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9660" windowHeight="5490" activeTab="2"/>
  </bookViews>
  <sheets>
    <sheet name="〓 목 차 〓" sheetId="1" r:id="rId1"/>
    <sheet name="※※안내※※" sheetId="2" r:id="rId2"/>
    <sheet name="공사원가계산서" sheetId="3" r:id="rId3"/>
    <sheet name="총괄설계내역서" sheetId="4" r:id="rId4"/>
    <sheet name="설계내역서" sheetId="5" r:id="rId5"/>
    <sheet name="일위대가목록표" sheetId="6" r:id="rId6"/>
    <sheet name="일위대가표" sheetId="7" r:id="rId7"/>
    <sheet name="단가산출근거목록표" sheetId="8" r:id="rId8"/>
    <sheet name="단가산출근거" sheetId="9" r:id="rId9"/>
    <sheet name="환율및기초자료" sheetId="10" r:id="rId10"/>
    <sheet name="중기목록표" sheetId="11" r:id="rId11"/>
    <sheet name="중기사용료" sheetId="12" r:id="rId12"/>
    <sheet name="재료비목록표" sheetId="13" r:id="rId13"/>
    <sheet name="노무비목록표" sheetId="14" r:id="rId14"/>
    <sheet name="경비목록표" sheetId="15" r:id="rId15"/>
    <sheet name="자재단가대비표" sheetId="16" r:id="rId16"/>
    <sheet name="재료비수량금액집계표" sheetId="17" r:id="rId17"/>
    <sheet name="노무비수량금액집계표" sheetId="18" r:id="rId18"/>
    <sheet name="경비수량금액집계표" sheetId="19" r:id="rId19"/>
    <sheet name="중기시간금액집계표" sheetId="20" r:id="rId20"/>
    <sheet name="〓 INITIAL 〓" sheetId="21" state="veryHidden" r:id="rId21"/>
  </sheets>
  <definedNames>
    <definedName name="_xlnm.Print_Area" localSheetId="0">'〓 목 차 〓'!$A:$C</definedName>
    <definedName name="_xlnm.Print_Area" localSheetId="14">경비목록표!$A:$F</definedName>
    <definedName name="_xlnm.Print_Area" localSheetId="18">경비수량금액집계표!$A:$H</definedName>
    <definedName name="_xlnm.Print_Area" localSheetId="2">공사원가계산서!$A:$F</definedName>
    <definedName name="_xlnm.Print_Area" localSheetId="13">노무비목록표!$A:$F</definedName>
    <definedName name="_xlnm.Print_Area" localSheetId="17">노무비수량금액집계표!$A:$H</definedName>
    <definedName name="_xlnm.Print_Area" localSheetId="8">단가산출근거!$A:$F</definedName>
    <definedName name="_xlnm.Print_Area" localSheetId="7">단가산출근거목록표!$A:$I</definedName>
    <definedName name="_xlnm.Print_Area" localSheetId="4">설계내역서!$A:$N</definedName>
    <definedName name="_xlnm.Print_Area" localSheetId="5">일위대가목록표!$A:$I</definedName>
    <definedName name="_xlnm.Print_Area" localSheetId="6">일위대가표!$A:$M</definedName>
    <definedName name="_xlnm.Print_Area" localSheetId="15">자재단가대비표!$A:$Q</definedName>
    <definedName name="_xlnm.Print_Area" localSheetId="12">재료비목록표!$A:$F</definedName>
    <definedName name="_xlnm.Print_Area" localSheetId="16">재료비수량금액집계표!$A:$H</definedName>
    <definedName name="_xlnm.Print_Area" localSheetId="10">중기목록표!$A:$I</definedName>
    <definedName name="_xlnm.Print_Area" localSheetId="11">중기사용료!$A:$M</definedName>
    <definedName name="_xlnm.Print_Area" localSheetId="19">중기시간금액집계표!$A:$J</definedName>
    <definedName name="_xlnm.Print_Area" localSheetId="3">총괄설계내역서!$A:$G</definedName>
    <definedName name="_xlnm.Print_Area" localSheetId="9">환율및기초자료!$A:$H</definedName>
    <definedName name="_xlnm.Print_Titles" localSheetId="14">경비목록표!$1:$3</definedName>
    <definedName name="_xlnm.Print_Titles" localSheetId="18">경비수량금액집계표!$1:$3</definedName>
    <definedName name="_xlnm.Print_Titles" localSheetId="2">공사원가계산서!$1:$4</definedName>
    <definedName name="_xlnm.Print_Titles" localSheetId="13">노무비목록표!$1:$3</definedName>
    <definedName name="_xlnm.Print_Titles" localSheetId="17">노무비수량금액집계표!$1:$3</definedName>
    <definedName name="_xlnm.Print_Titles" localSheetId="8">단가산출근거!$1:$4</definedName>
    <definedName name="_xlnm.Print_Titles" localSheetId="7">단가산출근거목록표!$1:$3</definedName>
    <definedName name="_xlnm.Print_Titles" localSheetId="4">설계내역서!$1:$4</definedName>
    <definedName name="_xlnm.Print_Titles" localSheetId="5">일위대가목록표!$1:$3</definedName>
    <definedName name="_xlnm.Print_Titles" localSheetId="6">일위대가표!$1:$4</definedName>
    <definedName name="_xlnm.Print_Titles" localSheetId="15">자재단가대비표!$1:$4</definedName>
    <definedName name="_xlnm.Print_Titles" localSheetId="12">재료비목록표!$1:$3</definedName>
    <definedName name="_xlnm.Print_Titles" localSheetId="16">재료비수량금액집계표!$1:$3</definedName>
    <definedName name="_xlnm.Print_Titles" localSheetId="10">중기목록표!$1:$3</definedName>
    <definedName name="_xlnm.Print_Titles" localSheetId="11">중기사용료!$1:$4</definedName>
    <definedName name="_xlnm.Print_Titles" localSheetId="19">중기시간금액집계표!$1:$3</definedName>
    <definedName name="_xlnm.Print_Titles" localSheetId="3">총괄설계내역서!$1:$3</definedName>
  </definedNames>
  <calcPr calcId="162913"/>
</workbook>
</file>

<file path=xl/calcChain.xml><?xml version="1.0" encoding="utf-8"?>
<calcChain xmlns="http://schemas.openxmlformats.org/spreadsheetml/2006/main">
  <c r="D4" i="21" l="1"/>
  <c r="D6" i="21"/>
  <c r="C6" i="21" s="1"/>
  <c r="D7" i="21"/>
  <c r="C7" i="21" s="1"/>
  <c r="D8" i="21"/>
  <c r="C8" i="21" s="1"/>
  <c r="D10" i="21"/>
  <c r="C10" i="21" s="1"/>
  <c r="D11" i="21"/>
  <c r="C11" i="21" s="1"/>
  <c r="D13" i="21"/>
  <c r="C13" i="21" s="1"/>
  <c r="D14" i="21"/>
  <c r="C14" i="21" s="1"/>
  <c r="D15" i="21"/>
  <c r="C15" i="21" s="1"/>
  <c r="V15" i="21" s="1"/>
  <c r="D16" i="21"/>
  <c r="C16" i="21" s="1"/>
  <c r="D17" i="21"/>
  <c r="C17" i="21" s="1"/>
  <c r="D18" i="21"/>
  <c r="C18" i="21" s="1"/>
  <c r="D19" i="21"/>
  <c r="C19" i="21" s="1"/>
  <c r="S19" i="21" s="1"/>
  <c r="D20" i="21"/>
  <c r="C20" i="21" s="1"/>
  <c r="D24" i="21"/>
  <c r="D33" i="21"/>
  <c r="C35" i="21"/>
  <c r="D35" i="21"/>
  <c r="E35" i="21"/>
  <c r="F35" i="21"/>
  <c r="G35" i="21"/>
  <c r="H35" i="21"/>
  <c r="I35" i="21"/>
  <c r="J35" i="21"/>
  <c r="D52" i="21"/>
  <c r="D75" i="21"/>
  <c r="D4" i="1"/>
  <c r="A2" i="2"/>
  <c r="G2" i="15"/>
  <c r="H3" i="15"/>
  <c r="I2" i="19"/>
  <c r="D21" i="1" s="1"/>
  <c r="J3" i="19"/>
  <c r="F4" i="19"/>
  <c r="G4" i="19" s="1"/>
  <c r="F5" i="19"/>
  <c r="G5" i="19"/>
  <c r="G2" i="3"/>
  <c r="D5" i="1" s="1"/>
  <c r="H4" i="3"/>
  <c r="F18" i="3"/>
  <c r="F23" i="3"/>
  <c r="F24" i="3"/>
  <c r="F26" i="3"/>
  <c r="G2" i="14"/>
  <c r="J4" i="18" s="1"/>
  <c r="H3" i="14"/>
  <c r="I2" i="18"/>
  <c r="D20" i="1" s="1"/>
  <c r="J3" i="18"/>
  <c r="F4" i="18"/>
  <c r="G4" i="18"/>
  <c r="F5" i="18"/>
  <c r="G5" i="18" s="1"/>
  <c r="J5" i="18"/>
  <c r="F6" i="18"/>
  <c r="G6" i="18"/>
  <c r="F7" i="18"/>
  <c r="G7" i="18" s="1"/>
  <c r="F8" i="18"/>
  <c r="G8" i="18" s="1"/>
  <c r="J8" i="18"/>
  <c r="F9" i="18"/>
  <c r="G9" i="18" s="1"/>
  <c r="F10" i="18"/>
  <c r="G10" i="18" s="1"/>
  <c r="J10" i="18"/>
  <c r="F11" i="18"/>
  <c r="G11" i="18"/>
  <c r="F12" i="18"/>
  <c r="G12" i="18" s="1"/>
  <c r="G2" i="9"/>
  <c r="Y4" i="9"/>
  <c r="G5" i="9"/>
  <c r="X13" i="9"/>
  <c r="AC13" i="9"/>
  <c r="H13" i="9" s="1"/>
  <c r="X15" i="9"/>
  <c r="AC15" i="9"/>
  <c r="H15" i="9" s="1"/>
  <c r="I21" i="9"/>
  <c r="AC21" i="9"/>
  <c r="H21" i="9" s="1"/>
  <c r="J30" i="9"/>
  <c r="X30" i="9"/>
  <c r="AC30" i="9"/>
  <c r="H30" i="9" s="1"/>
  <c r="F30" i="9" s="1"/>
  <c r="J32" i="9"/>
  <c r="I32" i="9" s="1"/>
  <c r="X32" i="9"/>
  <c r="AC32" i="9"/>
  <c r="H32" i="9" s="1"/>
  <c r="E32" i="9" s="1"/>
  <c r="H43" i="9"/>
  <c r="X43" i="9"/>
  <c r="AC43" i="9"/>
  <c r="X45" i="9"/>
  <c r="AC45" i="9"/>
  <c r="H45" i="9" s="1"/>
  <c r="F45" i="9" s="1"/>
  <c r="X47" i="9"/>
  <c r="AC47" i="9"/>
  <c r="H47" i="9" s="1"/>
  <c r="D47" i="9" s="1"/>
  <c r="AC52" i="9"/>
  <c r="H52" i="9" s="1"/>
  <c r="X63" i="9"/>
  <c r="AC63" i="9"/>
  <c r="H63" i="9" s="1"/>
  <c r="X65" i="9"/>
  <c r="AC65" i="9"/>
  <c r="H65" i="9" s="1"/>
  <c r="X67" i="9"/>
  <c r="AC67" i="9"/>
  <c r="H67" i="9" s="1"/>
  <c r="B74" i="9"/>
  <c r="AB74" i="9"/>
  <c r="AF74" i="9"/>
  <c r="AD81" i="9" s="1"/>
  <c r="AJ74" i="9"/>
  <c r="AD76" i="9"/>
  <c r="B76" i="9" s="1"/>
  <c r="B78" i="9"/>
  <c r="AB78" i="9"/>
  <c r="AH81" i="9"/>
  <c r="AJ81" i="9"/>
  <c r="X84" i="9"/>
  <c r="X87" i="9"/>
  <c r="X90" i="9"/>
  <c r="G110" i="9"/>
  <c r="AB117" i="9"/>
  <c r="AB121" i="9" s="1"/>
  <c r="AH117" i="9"/>
  <c r="B117" i="9" s="1"/>
  <c r="AL117" i="9"/>
  <c r="AD121" i="9" s="1"/>
  <c r="AB119" i="9"/>
  <c r="AJ121" i="9" s="1"/>
  <c r="AH119" i="9"/>
  <c r="B119" i="9" s="1"/>
  <c r="AF121" i="9"/>
  <c r="X125" i="9"/>
  <c r="X127" i="9"/>
  <c r="X129" i="9"/>
  <c r="G145" i="9"/>
  <c r="B152" i="9"/>
  <c r="AB152" i="9"/>
  <c r="AA155" i="9" s="1"/>
  <c r="X155" i="9"/>
  <c r="AC155" i="9"/>
  <c r="H155" i="9" s="1"/>
  <c r="F155" i="9" s="1"/>
  <c r="X158" i="9"/>
  <c r="AC158" i="9"/>
  <c r="H158" i="9" s="1"/>
  <c r="F158" i="9" s="1"/>
  <c r="X161" i="9"/>
  <c r="AC161" i="9"/>
  <c r="H161" i="9" s="1"/>
  <c r="B169" i="9"/>
  <c r="AB169" i="9"/>
  <c r="AD171" i="9" s="1"/>
  <c r="H171" i="9" s="1"/>
  <c r="F171" i="9" s="1"/>
  <c r="F172" i="9" s="1"/>
  <c r="X171" i="9"/>
  <c r="Z171" i="9"/>
  <c r="AB171" i="9"/>
  <c r="B178" i="9"/>
  <c r="AB178" i="9"/>
  <c r="AB185" i="9" s="1"/>
  <c r="AF178" i="9"/>
  <c r="AJ178" i="9"/>
  <c r="AH185" i="9" s="1"/>
  <c r="AD180" i="9"/>
  <c r="B182" i="9"/>
  <c r="AB182" i="9"/>
  <c r="AD185" i="9"/>
  <c r="AJ185" i="9"/>
  <c r="X188" i="9"/>
  <c r="X191" i="9"/>
  <c r="X194" i="9"/>
  <c r="G215" i="9"/>
  <c r="B222" i="9"/>
  <c r="AB222" i="9"/>
  <c r="AB226" i="9" s="1"/>
  <c r="AF222" i="9"/>
  <c r="AD226" i="9" s="1"/>
  <c r="X229" i="9"/>
  <c r="X232" i="9"/>
  <c r="X235" i="9"/>
  <c r="G250" i="9"/>
  <c r="B260" i="9"/>
  <c r="AB260" i="9"/>
  <c r="AB266" i="9" s="1"/>
  <c r="AF260" i="9"/>
  <c r="AF266" i="9" s="1"/>
  <c r="B262" i="9"/>
  <c r="AB262" i="9"/>
  <c r="AD266" i="9" s="1"/>
  <c r="B264" i="9"/>
  <c r="AB264" i="9"/>
  <c r="AJ266" i="9" s="1"/>
  <c r="AF264" i="9"/>
  <c r="AH266" i="9" s="1"/>
  <c r="X270" i="9"/>
  <c r="X272" i="9"/>
  <c r="X274" i="9"/>
  <c r="G285" i="9"/>
  <c r="J299" i="9"/>
  <c r="I299" i="9" s="1"/>
  <c r="X299" i="9"/>
  <c r="Y299" i="9"/>
  <c r="AC299" i="9"/>
  <c r="H299" i="9" s="1"/>
  <c r="H308" i="9"/>
  <c r="X308" i="9"/>
  <c r="AC308" i="9"/>
  <c r="X310" i="9"/>
  <c r="AC310" i="9"/>
  <c r="H310" i="9" s="1"/>
  <c r="X312" i="9"/>
  <c r="AC312" i="9"/>
  <c r="H312" i="9" s="1"/>
  <c r="E312" i="9" s="1"/>
  <c r="G355" i="9"/>
  <c r="AB372" i="9"/>
  <c r="AH372" i="9"/>
  <c r="B372" i="9" s="1"/>
  <c r="B374" i="9"/>
  <c r="AB374" i="9"/>
  <c r="B376" i="9"/>
  <c r="AB376" i="9"/>
  <c r="B378" i="9"/>
  <c r="AB378" i="9"/>
  <c r="AH380" i="9" s="1"/>
  <c r="AB380" i="9"/>
  <c r="AJ380" i="9"/>
  <c r="X382" i="9"/>
  <c r="X384" i="9"/>
  <c r="X386" i="9"/>
  <c r="B392" i="9"/>
  <c r="AB392" i="9"/>
  <c r="AA404" i="9" s="1"/>
  <c r="B394" i="9"/>
  <c r="AB394" i="9"/>
  <c r="AF412" i="9" s="1"/>
  <c r="AF394" i="9"/>
  <c r="AD412" i="9" s="1"/>
  <c r="AG396" i="9"/>
  <c r="Z400" i="9" s="1"/>
  <c r="AK404" i="9"/>
  <c r="AB410" i="9" s="1"/>
  <c r="B406" i="9"/>
  <c r="AB406" i="9"/>
  <c r="AD410" i="9" s="1"/>
  <c r="B408" i="9"/>
  <c r="AB408" i="9"/>
  <c r="AF410" i="9"/>
  <c r="X414" i="9"/>
  <c r="X416" i="9"/>
  <c r="X418" i="9"/>
  <c r="G425" i="9"/>
  <c r="D459" i="9"/>
  <c r="D425" i="9" s="1"/>
  <c r="E459" i="9"/>
  <c r="E425" i="9" s="1"/>
  <c r="F459" i="9"/>
  <c r="F425" i="9" s="1"/>
  <c r="G460" i="9"/>
  <c r="B471" i="9"/>
  <c r="AB471" i="9"/>
  <c r="AC478" i="9" s="1"/>
  <c r="H478" i="9" s="1"/>
  <c r="X474" i="9"/>
  <c r="X476" i="9"/>
  <c r="X478" i="9"/>
  <c r="AA478" i="9"/>
  <c r="G495" i="9"/>
  <c r="B508" i="9"/>
  <c r="AB508" i="9"/>
  <c r="AH508" i="9"/>
  <c r="AF514" i="9" s="1"/>
  <c r="B510" i="9"/>
  <c r="AB510" i="9"/>
  <c r="B512" i="9"/>
  <c r="AB512" i="9"/>
  <c r="AF512" i="9"/>
  <c r="AH514" i="9" s="1"/>
  <c r="AD514" i="9"/>
  <c r="AJ514" i="9"/>
  <c r="X516" i="9"/>
  <c r="X518" i="9"/>
  <c r="X520" i="9"/>
  <c r="G530" i="9"/>
  <c r="AD546" i="9"/>
  <c r="B546" i="9" s="1"/>
  <c r="AH546" i="9"/>
  <c r="AF552" i="9" s="1"/>
  <c r="B548" i="9"/>
  <c r="AB548" i="9"/>
  <c r="AD552" i="9" s="1"/>
  <c r="B550" i="9"/>
  <c r="AB550" i="9"/>
  <c r="AJ552" i="9" s="1"/>
  <c r="AF550" i="9"/>
  <c r="AH552" i="9" s="1"/>
  <c r="X554" i="9"/>
  <c r="X556" i="9"/>
  <c r="X558" i="9"/>
  <c r="AD568" i="9"/>
  <c r="B568" i="9" s="1"/>
  <c r="AH568" i="9"/>
  <c r="AF576" i="9" s="1"/>
  <c r="B570" i="9"/>
  <c r="AB570" i="9"/>
  <c r="B572" i="9"/>
  <c r="AB572" i="9"/>
  <c r="B574" i="9"/>
  <c r="AB574" i="9"/>
  <c r="AB576" i="9"/>
  <c r="AD576" i="9"/>
  <c r="AH576" i="9"/>
  <c r="X578" i="9"/>
  <c r="X580" i="9"/>
  <c r="X582" i="9"/>
  <c r="B589" i="9"/>
  <c r="AB589" i="9"/>
  <c r="AK601" i="9" s="1"/>
  <c r="B601" i="9" s="1"/>
  <c r="AD591" i="9"/>
  <c r="AB609" i="9" s="1"/>
  <c r="B593" i="9"/>
  <c r="AB593" i="9"/>
  <c r="AF609" i="9" s="1"/>
  <c r="AF593" i="9"/>
  <c r="AD609" i="9" s="1"/>
  <c r="AJ593" i="9"/>
  <c r="AD597" i="9" s="1"/>
  <c r="AD595" i="9"/>
  <c r="B595" i="9" s="1"/>
  <c r="AF599" i="9"/>
  <c r="AA601" i="9"/>
  <c r="AE601" i="9"/>
  <c r="B603" i="9"/>
  <c r="AB603" i="9"/>
  <c r="AD607" i="9" s="1"/>
  <c r="B605" i="9"/>
  <c r="AB605" i="9"/>
  <c r="AF607" i="9" s="1"/>
  <c r="X612" i="9"/>
  <c r="X614" i="9"/>
  <c r="X616" i="9"/>
  <c r="G635" i="9"/>
  <c r="B643" i="9"/>
  <c r="AB643" i="9"/>
  <c r="AB664" i="9" s="1"/>
  <c r="X646" i="9"/>
  <c r="AA646" i="9"/>
  <c r="AC646" i="9"/>
  <c r="H646" i="9" s="1"/>
  <c r="F646" i="9" s="1"/>
  <c r="X649" i="9"/>
  <c r="AA649" i="9"/>
  <c r="AC649" i="9"/>
  <c r="H649" i="9" s="1"/>
  <c r="X652" i="9"/>
  <c r="AA652" i="9"/>
  <c r="AC652" i="9"/>
  <c r="H652" i="9" s="1"/>
  <c r="B662" i="9"/>
  <c r="AB662" i="9"/>
  <c r="X664" i="9"/>
  <c r="B672" i="9"/>
  <c r="AB672" i="9"/>
  <c r="AF672" i="9"/>
  <c r="AD679" i="9" s="1"/>
  <c r="AJ672" i="9"/>
  <c r="AH679" i="9" s="1"/>
  <c r="AD674" i="9"/>
  <c r="B674" i="9" s="1"/>
  <c r="B676" i="9"/>
  <c r="AB676" i="9"/>
  <c r="AJ679" i="9" s="1"/>
  <c r="AB679" i="9"/>
  <c r="X682" i="9"/>
  <c r="X685" i="9"/>
  <c r="X688" i="9"/>
  <c r="G705" i="9"/>
  <c r="B712" i="9"/>
  <c r="AB712" i="9"/>
  <c r="AH712" i="9"/>
  <c r="B714" i="9"/>
  <c r="AB714" i="9"/>
  <c r="AD718" i="9" s="1"/>
  <c r="B716" i="9"/>
  <c r="AB716" i="9"/>
  <c r="AJ718" i="9" s="1"/>
  <c r="AF716" i="9"/>
  <c r="AH718" i="9" s="1"/>
  <c r="AF718" i="9"/>
  <c r="X721" i="9"/>
  <c r="X725" i="9"/>
  <c r="X729" i="9"/>
  <c r="G740" i="9"/>
  <c r="AB750" i="9"/>
  <c r="AH750" i="9"/>
  <c r="B752" i="9"/>
  <c r="AB752" i="9"/>
  <c r="AD758" i="9" s="1"/>
  <c r="B754" i="9"/>
  <c r="AB754" i="9"/>
  <c r="AJ758" i="9" s="1"/>
  <c r="AD756" i="9"/>
  <c r="B756" i="9" s="1"/>
  <c r="X761" i="9"/>
  <c r="X763" i="9"/>
  <c r="X765" i="9"/>
  <c r="G775" i="9"/>
  <c r="AB787" i="9"/>
  <c r="AH787" i="9"/>
  <c r="B787" i="9" s="1"/>
  <c r="B789" i="9"/>
  <c r="AB789" i="9"/>
  <c r="B791" i="9"/>
  <c r="AB791" i="9"/>
  <c r="AJ795" i="9" s="1"/>
  <c r="B793" i="9"/>
  <c r="AB793" i="9"/>
  <c r="AH795" i="9" s="1"/>
  <c r="AB795" i="9"/>
  <c r="AF795" i="9"/>
  <c r="X798" i="9"/>
  <c r="X801" i="9"/>
  <c r="X804" i="9"/>
  <c r="G810" i="9"/>
  <c r="AB819" i="9"/>
  <c r="B819" i="9" s="1"/>
  <c r="X822" i="9"/>
  <c r="AC822" i="9"/>
  <c r="H822" i="9" s="1"/>
  <c r="X825" i="9"/>
  <c r="AC825" i="9"/>
  <c r="H825" i="9" s="1"/>
  <c r="X828" i="9"/>
  <c r="AC828" i="9"/>
  <c r="H828" i="9" s="1"/>
  <c r="X837" i="9"/>
  <c r="AB837" i="9"/>
  <c r="B844" i="9"/>
  <c r="AB844" i="9"/>
  <c r="AB851" i="9" s="1"/>
  <c r="AF844" i="9"/>
  <c r="AJ844" i="9"/>
  <c r="AD846" i="9"/>
  <c r="B848" i="9"/>
  <c r="AB848" i="9"/>
  <c r="AD851" i="9"/>
  <c r="AH851" i="9"/>
  <c r="AJ851" i="9"/>
  <c r="X854" i="9"/>
  <c r="X857" i="9"/>
  <c r="X860" i="9"/>
  <c r="D866" i="9"/>
  <c r="E866" i="9"/>
  <c r="F866" i="9"/>
  <c r="D880" i="9"/>
  <c r="E880" i="9"/>
  <c r="G880" i="9"/>
  <c r="B885" i="9"/>
  <c r="AB885" i="9"/>
  <c r="B887" i="9"/>
  <c r="AB887" i="9"/>
  <c r="AB900" i="9"/>
  <c r="AF900" i="9"/>
  <c r="AF926" i="9" s="1"/>
  <c r="B902" i="9"/>
  <c r="AB902" i="9"/>
  <c r="B904" i="9"/>
  <c r="AB904" i="9"/>
  <c r="AF904" i="9"/>
  <c r="AG914" i="9" s="1"/>
  <c r="AJ904" i="9"/>
  <c r="AK914" i="9" s="1"/>
  <c r="AN904" i="9"/>
  <c r="AO914" i="9" s="1"/>
  <c r="B906" i="9"/>
  <c r="AB906" i="9"/>
  <c r="Z910" i="9" s="1"/>
  <c r="AE914" i="9"/>
  <c r="AM914" i="9"/>
  <c r="B916" i="9"/>
  <c r="AB916" i="9"/>
  <c r="B918" i="9"/>
  <c r="AB918" i="9"/>
  <c r="AF924" i="9" s="1"/>
  <c r="B920" i="9"/>
  <c r="AB920" i="9"/>
  <c r="B922" i="9"/>
  <c r="AB922" i="9"/>
  <c r="AJ924" i="9" s="1"/>
  <c r="AD924" i="9"/>
  <c r="AH924" i="9"/>
  <c r="AB926" i="9"/>
  <c r="X928" i="9"/>
  <c r="X930" i="9"/>
  <c r="X932" i="9"/>
  <c r="X934" i="9"/>
  <c r="AB944" i="9"/>
  <c r="B944" i="9" s="1"/>
  <c r="AF944" i="9"/>
  <c r="B946" i="9"/>
  <c r="AB946" i="9"/>
  <c r="AD954" i="9" s="1"/>
  <c r="B948" i="9"/>
  <c r="AB948" i="9"/>
  <c r="AF948" i="9"/>
  <c r="AJ948" i="9"/>
  <c r="AK958" i="9" s="1"/>
  <c r="AN948" i="9"/>
  <c r="AO958" i="9" s="1"/>
  <c r="B950" i="9"/>
  <c r="AB950" i="9"/>
  <c r="Z954" i="9"/>
  <c r="AC958" i="9"/>
  <c r="AG958" i="9"/>
  <c r="AM958" i="9"/>
  <c r="B960" i="9"/>
  <c r="AB960" i="9"/>
  <c r="AD968" i="9" s="1"/>
  <c r="B962" i="9"/>
  <c r="AB962" i="9"/>
  <c r="AF968" i="9" s="1"/>
  <c r="B964" i="9"/>
  <c r="AB964" i="9"/>
  <c r="AH968" i="9" s="1"/>
  <c r="B966" i="9"/>
  <c r="AB966" i="9"/>
  <c r="AJ968" i="9" s="1"/>
  <c r="AB972" i="9"/>
  <c r="AF972" i="9"/>
  <c r="X974" i="9"/>
  <c r="X976" i="9"/>
  <c r="X978" i="9"/>
  <c r="I980" i="9"/>
  <c r="L980" i="9"/>
  <c r="X980" i="9"/>
  <c r="G1020" i="9"/>
  <c r="AD1036" i="9"/>
  <c r="B1036" i="9" s="1"/>
  <c r="AH1036" i="9"/>
  <c r="AF1042" i="9" s="1"/>
  <c r="B1038" i="9"/>
  <c r="AB1038" i="9"/>
  <c r="AD1042" i="9" s="1"/>
  <c r="B1040" i="9"/>
  <c r="AB1040" i="9"/>
  <c r="AJ1042" i="9" s="1"/>
  <c r="AF1040" i="9"/>
  <c r="AH1042" i="9" s="1"/>
  <c r="AB1042" i="9"/>
  <c r="X1044" i="9"/>
  <c r="X1046" i="9"/>
  <c r="X1048" i="9"/>
  <c r="AD1058" i="9"/>
  <c r="AB1066" i="9" s="1"/>
  <c r="AH1058" i="9"/>
  <c r="AF1066" i="9" s="1"/>
  <c r="B1060" i="9"/>
  <c r="AB1060" i="9"/>
  <c r="B1062" i="9"/>
  <c r="AB1062" i="9"/>
  <c r="B1064" i="9"/>
  <c r="AB1064" i="9"/>
  <c r="AH1066" i="9" s="1"/>
  <c r="AD1066" i="9"/>
  <c r="X1068" i="9"/>
  <c r="X1070" i="9"/>
  <c r="X1072" i="9"/>
  <c r="B1079" i="9"/>
  <c r="AB1079" i="9"/>
  <c r="AD1081" i="9"/>
  <c r="B1083" i="9"/>
  <c r="AB1083" i="9"/>
  <c r="AF1083" i="9"/>
  <c r="AD1099" i="9" s="1"/>
  <c r="AJ1083" i="9"/>
  <c r="AD1087" i="9" s="1"/>
  <c r="AD1085" i="9"/>
  <c r="B1085" i="9" s="1"/>
  <c r="AF1089" i="9"/>
  <c r="AA1091" i="9"/>
  <c r="AE1091" i="9"/>
  <c r="AK1091" i="9"/>
  <c r="AB1097" i="9" s="1"/>
  <c r="B1093" i="9"/>
  <c r="AB1093" i="9"/>
  <c r="AD1097" i="9" s="1"/>
  <c r="B1095" i="9"/>
  <c r="AB1095" i="9"/>
  <c r="AF1097" i="9" s="1"/>
  <c r="AF1099" i="9"/>
  <c r="X1102" i="9"/>
  <c r="X1104" i="9"/>
  <c r="X1106" i="9"/>
  <c r="G1125" i="9"/>
  <c r="B1132" i="9"/>
  <c r="AB1132" i="9"/>
  <c r="AB1136" i="9" s="1"/>
  <c r="AH1132" i="9"/>
  <c r="AL1132" i="9"/>
  <c r="B1134" i="9"/>
  <c r="AB1134" i="9"/>
  <c r="AJ1136" i="9" s="1"/>
  <c r="AF1134" i="9"/>
  <c r="AH1136" i="9" s="1"/>
  <c r="AD1136" i="9"/>
  <c r="X1138" i="9"/>
  <c r="X1140" i="9"/>
  <c r="X1142" i="9"/>
  <c r="G1160" i="9"/>
  <c r="B1166" i="9"/>
  <c r="AB1166" i="9"/>
  <c r="AB1170" i="9" s="1"/>
  <c r="AF1166" i="9"/>
  <c r="AJ1166" i="9"/>
  <c r="AH1170" i="9" s="1"/>
  <c r="B1168" i="9"/>
  <c r="AB1168" i="9"/>
  <c r="AF1168" i="9"/>
  <c r="AJ1170" i="9" s="1"/>
  <c r="AF1170" i="9"/>
  <c r="X1172" i="9"/>
  <c r="X1174" i="9"/>
  <c r="X1176" i="9"/>
  <c r="D1195" i="9"/>
  <c r="E1195" i="9"/>
  <c r="G1195" i="9"/>
  <c r="B1205" i="9"/>
  <c r="AB1205" i="9"/>
  <c r="B1207" i="9"/>
  <c r="AB1207" i="9"/>
  <c r="B1209" i="9"/>
  <c r="AB1209" i="9"/>
  <c r="AC1219" i="9" s="1"/>
  <c r="B1211" i="9"/>
  <c r="AB1211" i="9"/>
  <c r="B1213" i="9"/>
  <c r="AB1213" i="9"/>
  <c r="AK1219" i="9" s="1"/>
  <c r="B1215" i="9"/>
  <c r="AB1215" i="9"/>
  <c r="B1217" i="9"/>
  <c r="AB1217" i="9"/>
  <c r="AC1229" i="9" s="1"/>
  <c r="AF1217" i="9"/>
  <c r="AE1219" i="9"/>
  <c r="AG1219" i="9"/>
  <c r="AI1219" i="9"/>
  <c r="AM1219" i="9"/>
  <c r="AO1219" i="9"/>
  <c r="B1221" i="9"/>
  <c r="AB1221" i="9"/>
  <c r="AE1229" i="9" s="1"/>
  <c r="B1223" i="9"/>
  <c r="AB1223" i="9"/>
  <c r="AF1225" i="9" s="1"/>
  <c r="AD1225" i="9"/>
  <c r="AB1227" i="9"/>
  <c r="X1231" i="9"/>
  <c r="X1233" i="9"/>
  <c r="X1235" i="9"/>
  <c r="D1265" i="9"/>
  <c r="E1265" i="9"/>
  <c r="G1265" i="9"/>
  <c r="B1269" i="9"/>
  <c r="AB1269" i="9"/>
  <c r="AE1336" i="9" s="1"/>
  <c r="B1271" i="9"/>
  <c r="AB1271" i="9"/>
  <c r="AI1296" i="9" s="1"/>
  <c r="B1282" i="9"/>
  <c r="AD1282" i="9"/>
  <c r="AD1308" i="9" s="1"/>
  <c r="AH1282" i="9"/>
  <c r="AL1282" i="9"/>
  <c r="B1284" i="9"/>
  <c r="AB1284" i="9"/>
  <c r="AC1296" i="9" s="1"/>
  <c r="AF1284" i="9"/>
  <c r="AG1296" i="9" s="1"/>
  <c r="AJ1284" i="9"/>
  <c r="AK1296" i="9" s="1"/>
  <c r="AN1284" i="9"/>
  <c r="AG1286" i="9"/>
  <c r="AH1292" i="9"/>
  <c r="AM1296" i="9"/>
  <c r="AO1296" i="9"/>
  <c r="B1298" i="9"/>
  <c r="AB1298" i="9"/>
  <c r="AD1306" i="9" s="1"/>
  <c r="B1300" i="9"/>
  <c r="AB1300" i="9"/>
  <c r="AF1306" i="9" s="1"/>
  <c r="B1302" i="9"/>
  <c r="AB1302" i="9"/>
  <c r="B1304" i="9"/>
  <c r="AB1304" i="9"/>
  <c r="AJ1306" i="9" s="1"/>
  <c r="AH1306" i="9"/>
  <c r="AF1308" i="9"/>
  <c r="X1310" i="9"/>
  <c r="X1312" i="9"/>
  <c r="X1314" i="9"/>
  <c r="X1316" i="9"/>
  <c r="B1322" i="9"/>
  <c r="AD1322" i="9"/>
  <c r="AH1322" i="9"/>
  <c r="AL1322" i="9"/>
  <c r="AD1330" i="9" s="1"/>
  <c r="B1324" i="9"/>
  <c r="AB1324" i="9"/>
  <c r="AC1336" i="9" s="1"/>
  <c r="AF1324" i="9"/>
  <c r="AG1336" i="9" s="1"/>
  <c r="AJ1324" i="9"/>
  <c r="AK1336" i="9" s="1"/>
  <c r="AN1324" i="9"/>
  <c r="AO1336" i="9" s="1"/>
  <c r="AG1326" i="9"/>
  <c r="B1326" i="9" s="1"/>
  <c r="AH1332" i="9"/>
  <c r="B1332" i="9" s="1"/>
  <c r="Z1334" i="9"/>
  <c r="AI1336" i="9"/>
  <c r="B1338" i="9"/>
  <c r="AB1338" i="9"/>
  <c r="AD1346" i="9" s="1"/>
  <c r="B1340" i="9"/>
  <c r="AB1340" i="9"/>
  <c r="AF1346" i="9" s="1"/>
  <c r="B1342" i="9"/>
  <c r="AB1342" i="9"/>
  <c r="AH1346" i="9" s="1"/>
  <c r="B1344" i="9"/>
  <c r="AB1344" i="9"/>
  <c r="AJ1346" i="9" s="1"/>
  <c r="AD1348" i="9"/>
  <c r="AF1348" i="9"/>
  <c r="X1350" i="9"/>
  <c r="X1352" i="9"/>
  <c r="X1354" i="9"/>
  <c r="X1356" i="9"/>
  <c r="D1370" i="9"/>
  <c r="E1370" i="9"/>
  <c r="G1370" i="9"/>
  <c r="B1375" i="9"/>
  <c r="AB1375" i="9"/>
  <c r="B1377" i="9"/>
  <c r="AB1377" i="9"/>
  <c r="B1388" i="9"/>
  <c r="AD1388" i="9"/>
  <c r="AD1414" i="9" s="1"/>
  <c r="AH1388" i="9"/>
  <c r="AF1414" i="9" s="1"/>
  <c r="AL1388" i="9"/>
  <c r="AD1396" i="9" s="1"/>
  <c r="B1390" i="9"/>
  <c r="AB1390" i="9"/>
  <c r="AC1402" i="9" s="1"/>
  <c r="AF1390" i="9"/>
  <c r="AG1402" i="9" s="1"/>
  <c r="AJ1390" i="9"/>
  <c r="AK1402" i="9" s="1"/>
  <c r="AN1390" i="9"/>
  <c r="AO1402" i="9" s="1"/>
  <c r="AG1392" i="9"/>
  <c r="B1392" i="9" s="1"/>
  <c r="AH1398" i="9"/>
  <c r="AA1402" i="9"/>
  <c r="AE1402" i="9"/>
  <c r="B1404" i="9"/>
  <c r="AB1404" i="9"/>
  <c r="B1406" i="9"/>
  <c r="AB1406" i="9"/>
  <c r="AF1412" i="9" s="1"/>
  <c r="B1408" i="9"/>
  <c r="AB1408" i="9"/>
  <c r="B1410" i="9"/>
  <c r="AB1410" i="9"/>
  <c r="AJ1412" i="9" s="1"/>
  <c r="AD1412" i="9"/>
  <c r="AH1412" i="9"/>
  <c r="X1416" i="9"/>
  <c r="X1418" i="9"/>
  <c r="X1420" i="9"/>
  <c r="X1422" i="9"/>
  <c r="B1428" i="9"/>
  <c r="AD1428" i="9"/>
  <c r="AD1456" i="9" s="1"/>
  <c r="AH1428" i="9"/>
  <c r="AL1428" i="9"/>
  <c r="B1430" i="9"/>
  <c r="AB1430" i="9"/>
  <c r="AF1430" i="9"/>
  <c r="AJ1430" i="9"/>
  <c r="AK1442" i="9" s="1"/>
  <c r="AN1430" i="9"/>
  <c r="AO1442" i="9" s="1"/>
  <c r="B1432" i="9"/>
  <c r="AG1432" i="9"/>
  <c r="Z1436" i="9" s="1"/>
  <c r="AD1436" i="9"/>
  <c r="AH1438" i="9"/>
  <c r="AA1442" i="9"/>
  <c r="AE1442" i="9"/>
  <c r="AG1442" i="9"/>
  <c r="B1444" i="9"/>
  <c r="AB1444" i="9"/>
  <c r="AD1452" i="9" s="1"/>
  <c r="B1446" i="9"/>
  <c r="AB1446" i="9"/>
  <c r="B1448" i="9"/>
  <c r="AB1448" i="9"/>
  <c r="B1450" i="9"/>
  <c r="AB1450" i="9"/>
  <c r="AJ1452" i="9" s="1"/>
  <c r="AF1452" i="9"/>
  <c r="AH1452" i="9"/>
  <c r="AB1456" i="9"/>
  <c r="AF1456" i="9"/>
  <c r="X1458" i="9"/>
  <c r="X1460" i="9"/>
  <c r="X1462" i="9"/>
  <c r="X1464" i="9"/>
  <c r="D1475" i="9"/>
  <c r="E1475" i="9"/>
  <c r="G1475" i="9"/>
  <c r="L1490" i="9"/>
  <c r="I1490" i="9" s="1"/>
  <c r="X1490" i="9"/>
  <c r="AG1490" i="9"/>
  <c r="H1490" i="9" s="1"/>
  <c r="J1502" i="9"/>
  <c r="I1502" i="9" s="1"/>
  <c r="X1502" i="9"/>
  <c r="AG1502" i="9"/>
  <c r="H1502" i="9" s="1"/>
  <c r="G1545" i="9"/>
  <c r="B1549" i="9"/>
  <c r="AB1549" i="9"/>
  <c r="AD1553" i="9"/>
  <c r="B1553" i="9" s="1"/>
  <c r="B1555" i="9"/>
  <c r="AB1555" i="9"/>
  <c r="AF1569" i="9" s="1"/>
  <c r="AF1555" i="9"/>
  <c r="B1557" i="9"/>
  <c r="AB1557" i="9"/>
  <c r="AB1563" i="9" s="1"/>
  <c r="Z1563" i="9"/>
  <c r="B1565" i="9"/>
  <c r="AB1565" i="9"/>
  <c r="AB1567" i="9" s="1"/>
  <c r="AF1565" i="9"/>
  <c r="X1572" i="9"/>
  <c r="X1574" i="9"/>
  <c r="X1576" i="9"/>
  <c r="G1615" i="9"/>
  <c r="B1619" i="9"/>
  <c r="AB1619" i="9"/>
  <c r="AD1623" i="9"/>
  <c r="B1625" i="9"/>
  <c r="AB1625" i="9"/>
  <c r="AF1639" i="9" s="1"/>
  <c r="AF1625" i="9"/>
  <c r="B1627" i="9"/>
  <c r="AB1627" i="9"/>
  <c r="AB1633" i="9" s="1"/>
  <c r="Z1633" i="9"/>
  <c r="B1635" i="9"/>
  <c r="AB1635" i="9"/>
  <c r="AB1637" i="9" s="1"/>
  <c r="AF1635" i="9"/>
  <c r="X1642" i="9"/>
  <c r="X1644" i="9"/>
  <c r="X1646" i="9"/>
  <c r="G1685" i="9"/>
  <c r="B1691" i="9"/>
  <c r="AB1691" i="9"/>
  <c r="B1695" i="9"/>
  <c r="AB1695" i="9"/>
  <c r="AB1701" i="9" s="1"/>
  <c r="AF1695" i="9"/>
  <c r="AD1697" i="9"/>
  <c r="B1697" i="9" s="1"/>
  <c r="B1699" i="9"/>
  <c r="AB1699" i="9"/>
  <c r="AF1701" i="9" s="1"/>
  <c r="AF1699" i="9"/>
  <c r="AJ1701" i="9" s="1"/>
  <c r="X1703" i="9"/>
  <c r="X1705" i="9"/>
  <c r="X1707" i="9"/>
  <c r="B1715" i="9"/>
  <c r="AB1715" i="9"/>
  <c r="AD1723" i="9" s="1"/>
  <c r="AF1715" i="9"/>
  <c r="AF1737" i="9" s="1"/>
  <c r="B1717" i="9"/>
  <c r="AD1717" i="9"/>
  <c r="AG1719" i="9"/>
  <c r="Z1723" i="9" s="1"/>
  <c r="AA1727" i="9"/>
  <c r="B1729" i="9"/>
  <c r="AB1729" i="9"/>
  <c r="B1731" i="9"/>
  <c r="AB1731" i="9"/>
  <c r="AD1733" i="9"/>
  <c r="AF1733" i="9"/>
  <c r="AD1737" i="9"/>
  <c r="X1739" i="9"/>
  <c r="X1741" i="9"/>
  <c r="X1743" i="9"/>
  <c r="B1750" i="9"/>
  <c r="AB1750" i="9"/>
  <c r="AB1754" i="9" s="1"/>
  <c r="AF1750" i="9"/>
  <c r="AD1754" i="9" s="1"/>
  <c r="AJ1750" i="9"/>
  <c r="AH1754" i="9" s="1"/>
  <c r="B1752" i="9"/>
  <c r="AB1752" i="9"/>
  <c r="AF1752" i="9"/>
  <c r="AJ1754" i="9" s="1"/>
  <c r="AF1754" i="9"/>
  <c r="X1756" i="9"/>
  <c r="X1758" i="9"/>
  <c r="X1760" i="9"/>
  <c r="G1790" i="9"/>
  <c r="B1796" i="9"/>
  <c r="AB1796" i="9"/>
  <c r="AK1830" i="9" s="1"/>
  <c r="B1800" i="9"/>
  <c r="AB1800" i="9"/>
  <c r="AF1800" i="9"/>
  <c r="AD1826" i="9" s="1"/>
  <c r="AJ1800" i="9"/>
  <c r="B1802" i="9"/>
  <c r="AD1802" i="9"/>
  <c r="AD1872" i="9" s="1"/>
  <c r="B1804" i="9"/>
  <c r="AB1804" i="9"/>
  <c r="AB1806" i="9"/>
  <c r="AH1806" i="9"/>
  <c r="AJ1806" i="9"/>
  <c r="X1808" i="9"/>
  <c r="X1810" i="9"/>
  <c r="X1812" i="9"/>
  <c r="B1820" i="9"/>
  <c r="AB1820" i="9"/>
  <c r="AF1840" i="9" s="1"/>
  <c r="AG1822" i="9"/>
  <c r="Z1826" i="9" s="1"/>
  <c r="B1832" i="9"/>
  <c r="AB1832" i="9"/>
  <c r="AD1836" i="9" s="1"/>
  <c r="B1834" i="9"/>
  <c r="AB1834" i="9"/>
  <c r="AF1836" i="9" s="1"/>
  <c r="AD1840" i="9"/>
  <c r="X1842" i="9"/>
  <c r="X1844" i="9"/>
  <c r="X1846" i="9"/>
  <c r="B1852" i="9"/>
  <c r="AB1852" i="9"/>
  <c r="AF1872" i="9" s="1"/>
  <c r="AG1854" i="9"/>
  <c r="Z1858" i="9" s="1"/>
  <c r="AA1862" i="9"/>
  <c r="B1864" i="9"/>
  <c r="AB1864" i="9"/>
  <c r="B1866" i="9"/>
  <c r="AB1866" i="9"/>
  <c r="AD1868" i="9"/>
  <c r="AF1868" i="9"/>
  <c r="X1874" i="9"/>
  <c r="X1876" i="9"/>
  <c r="X1878" i="9"/>
  <c r="B1884" i="9"/>
  <c r="AB1884" i="9"/>
  <c r="AB1888" i="9" s="1"/>
  <c r="AF1884" i="9"/>
  <c r="AD1888" i="9" s="1"/>
  <c r="AJ1884" i="9"/>
  <c r="AH1888" i="9" s="1"/>
  <c r="B1886" i="9"/>
  <c r="AB1886" i="9"/>
  <c r="AF1888" i="9" s="1"/>
  <c r="AF1886" i="9"/>
  <c r="AJ1888" i="9" s="1"/>
  <c r="X1890" i="9"/>
  <c r="X1892" i="9"/>
  <c r="X1894" i="9"/>
  <c r="G1930" i="9"/>
  <c r="X1938" i="9"/>
  <c r="AE1938" i="9"/>
  <c r="H1938" i="9" s="1"/>
  <c r="X1940" i="9"/>
  <c r="AE1940" i="9"/>
  <c r="H1940" i="9" s="1"/>
  <c r="D1940" i="9" s="1"/>
  <c r="AC1942" i="9"/>
  <c r="H1942" i="9" s="1"/>
  <c r="AC1944" i="9"/>
  <c r="H1944" i="9" s="1"/>
  <c r="D1944" i="9" s="1"/>
  <c r="J1951" i="9"/>
  <c r="I1951" i="9" s="1"/>
  <c r="X1951" i="9"/>
  <c r="AE1951" i="9"/>
  <c r="H1951" i="9" s="1"/>
  <c r="J1953" i="9"/>
  <c r="I1953" i="9" s="1"/>
  <c r="X1953" i="9"/>
  <c r="AE1953" i="9"/>
  <c r="H1953" i="9" s="1"/>
  <c r="AC1955" i="9"/>
  <c r="H1955" i="9" s="1"/>
  <c r="G1965" i="9"/>
  <c r="J1989" i="9"/>
  <c r="I1989" i="9" s="1"/>
  <c r="X1989" i="9"/>
  <c r="AF1989" i="9"/>
  <c r="H1989" i="9" s="1"/>
  <c r="J1991" i="9"/>
  <c r="I1991" i="9" s="1"/>
  <c r="X1991" i="9"/>
  <c r="AF1991" i="9"/>
  <c r="H1991" i="9" s="1"/>
  <c r="X1997" i="9"/>
  <c r="AC1997" i="9"/>
  <c r="H1997" i="9" s="1"/>
  <c r="D2035" i="9"/>
  <c r="E2035" i="9"/>
  <c r="G2035" i="9"/>
  <c r="L2051" i="9"/>
  <c r="I2051" i="9" s="1"/>
  <c r="X2051" i="9"/>
  <c r="AC2051" i="9"/>
  <c r="H2051" i="9" s="1"/>
  <c r="G2070" i="9"/>
  <c r="X2078" i="9"/>
  <c r="AE2078" i="9"/>
  <c r="H2078" i="9" s="1"/>
  <c r="X2080" i="9"/>
  <c r="AE2080" i="9"/>
  <c r="H2080" i="9" s="1"/>
  <c r="AC2082" i="9"/>
  <c r="H2082" i="9" s="1"/>
  <c r="AC2084" i="9"/>
  <c r="H2084" i="9" s="1"/>
  <c r="I2091" i="9"/>
  <c r="J2091" i="9"/>
  <c r="X2091" i="9"/>
  <c r="AE2091" i="9"/>
  <c r="H2091" i="9" s="1"/>
  <c r="J2093" i="9"/>
  <c r="I2093" i="9" s="1"/>
  <c r="X2093" i="9"/>
  <c r="AE2093" i="9"/>
  <c r="H2093" i="9" s="1"/>
  <c r="AC2095" i="9"/>
  <c r="H2095" i="9" s="1"/>
  <c r="G2105" i="9"/>
  <c r="J2111" i="9"/>
  <c r="I2111" i="9" s="1"/>
  <c r="X2111" i="9"/>
  <c r="AH2111" i="9"/>
  <c r="H2111" i="9" s="1"/>
  <c r="D2111" i="9" s="1"/>
  <c r="J2113" i="9"/>
  <c r="I2113" i="9" s="1"/>
  <c r="X2113" i="9"/>
  <c r="Y2113" i="9"/>
  <c r="AH2113" i="9"/>
  <c r="H2113" i="9" s="1"/>
  <c r="AC2115" i="9"/>
  <c r="H2115" i="9" s="1"/>
  <c r="G2140" i="9"/>
  <c r="J2150" i="9"/>
  <c r="I2150" i="9" s="1"/>
  <c r="X2150" i="9"/>
  <c r="AE2150" i="9"/>
  <c r="H2150" i="9" s="1"/>
  <c r="J2152" i="9"/>
  <c r="I2152" i="9" s="1"/>
  <c r="X2152" i="9"/>
  <c r="AE2152" i="9"/>
  <c r="H2152" i="9" s="1"/>
  <c r="AC2154" i="9"/>
  <c r="H2154" i="9" s="1"/>
  <c r="J2161" i="9"/>
  <c r="I2161" i="9" s="1"/>
  <c r="X2161" i="9"/>
  <c r="Y2161" i="9"/>
  <c r="AE2161" i="9"/>
  <c r="H2161" i="9" s="1"/>
  <c r="J2163" i="9"/>
  <c r="I2163" i="9" s="1"/>
  <c r="X2163" i="9"/>
  <c r="AE2163" i="9"/>
  <c r="H2163" i="9" s="1"/>
  <c r="F2163" i="9" s="1"/>
  <c r="AC2165" i="9"/>
  <c r="H2165" i="9" s="1"/>
  <c r="X2172" i="9"/>
  <c r="AC2172" i="9"/>
  <c r="H2172" i="9" s="1"/>
  <c r="D2210" i="9"/>
  <c r="E2210" i="9"/>
  <c r="G2210" i="9"/>
  <c r="B2213" i="9"/>
  <c r="AB2213" i="9"/>
  <c r="I2224" i="9"/>
  <c r="L2224" i="9"/>
  <c r="X2224" i="9"/>
  <c r="AE2224" i="9"/>
  <c r="H2224" i="9" s="1"/>
  <c r="J2232" i="9"/>
  <c r="I2232" i="9" s="1"/>
  <c r="X2232" i="9"/>
  <c r="AK2232" i="9"/>
  <c r="H2232" i="9" s="1"/>
  <c r="E2232" i="9" s="1"/>
  <c r="G2245" i="9"/>
  <c r="B2252" i="9"/>
  <c r="AB2252" i="9"/>
  <c r="AB2256" i="9" s="1"/>
  <c r="AF2252" i="9"/>
  <c r="AD2256" i="9" s="1"/>
  <c r="AJ2252" i="9"/>
  <c r="B2254" i="9"/>
  <c r="AB2254" i="9"/>
  <c r="AF2256" i="9" s="1"/>
  <c r="AF2254" i="9"/>
  <c r="AJ2256" i="9" s="1"/>
  <c r="AH2256" i="9"/>
  <c r="X2258" i="9"/>
  <c r="X2260" i="9"/>
  <c r="X2262" i="9"/>
  <c r="B2269" i="9"/>
  <c r="AB2269" i="9"/>
  <c r="AB2273" i="9" s="1"/>
  <c r="AF2269" i="9"/>
  <c r="AD2273" i="9" s="1"/>
  <c r="AJ2269" i="9"/>
  <c r="AH2273" i="9" s="1"/>
  <c r="B2271" i="9"/>
  <c r="AB2271" i="9"/>
  <c r="AF2273" i="9" s="1"/>
  <c r="AF2271" i="9"/>
  <c r="AJ2273" i="9" s="1"/>
  <c r="X2275" i="9"/>
  <c r="X2277" i="9"/>
  <c r="X2279" i="9"/>
  <c r="G2315" i="9"/>
  <c r="B2319" i="9"/>
  <c r="AB2319" i="9"/>
  <c r="AD2323" i="9"/>
  <c r="B2325" i="9"/>
  <c r="AB2325" i="9"/>
  <c r="AF2339" i="9" s="1"/>
  <c r="AF2325" i="9"/>
  <c r="Z2333" i="9" s="1"/>
  <c r="B2327" i="9"/>
  <c r="AB2327" i="9"/>
  <c r="AB2333" i="9" s="1"/>
  <c r="B2335" i="9"/>
  <c r="AB2335" i="9"/>
  <c r="AB2337" i="9" s="1"/>
  <c r="AF2335" i="9"/>
  <c r="X2342" i="9"/>
  <c r="X2344" i="9"/>
  <c r="X2346" i="9"/>
  <c r="G2385" i="9"/>
  <c r="B2389" i="9"/>
  <c r="AB2389" i="9"/>
  <c r="AD2393" i="9"/>
  <c r="B2395" i="9"/>
  <c r="AB2395" i="9"/>
  <c r="AF2409" i="9" s="1"/>
  <c r="AF2395" i="9"/>
  <c r="B2397" i="9"/>
  <c r="AB2397" i="9"/>
  <c r="AB2403" i="9" s="1"/>
  <c r="Z2403" i="9"/>
  <c r="B2405" i="9"/>
  <c r="AB2405" i="9"/>
  <c r="AF2405" i="9"/>
  <c r="AB2407" i="9"/>
  <c r="X2412" i="9"/>
  <c r="X2414" i="9"/>
  <c r="X2416" i="9"/>
  <c r="G2455" i="9"/>
  <c r="B2461" i="9"/>
  <c r="AB2461" i="9"/>
  <c r="AE2497" i="9" s="1"/>
  <c r="B2465" i="9"/>
  <c r="AB2465" i="9"/>
  <c r="AB2471" i="9" s="1"/>
  <c r="AF2465" i="9"/>
  <c r="AD2471" i="9" s="1"/>
  <c r="AD2467" i="9"/>
  <c r="B2469" i="9"/>
  <c r="AB2469" i="9"/>
  <c r="AF2471" i="9" s="1"/>
  <c r="AF2469" i="9"/>
  <c r="AJ2471" i="9" s="1"/>
  <c r="AH2471" i="9"/>
  <c r="X2473" i="9"/>
  <c r="X2475" i="9"/>
  <c r="X2477" i="9"/>
  <c r="B2485" i="9"/>
  <c r="AB2485" i="9"/>
  <c r="AF2485" i="9"/>
  <c r="AD2487" i="9"/>
  <c r="B2487" i="9" s="1"/>
  <c r="B2489" i="9"/>
  <c r="AG2489" i="9"/>
  <c r="Z2493" i="9" s="1"/>
  <c r="AA2497" i="9"/>
  <c r="AK2497" i="9"/>
  <c r="B2499" i="9"/>
  <c r="AB2499" i="9"/>
  <c r="B2501" i="9"/>
  <c r="AB2501" i="9"/>
  <c r="AF2503" i="9" s="1"/>
  <c r="AD2503" i="9"/>
  <c r="AB2507" i="9"/>
  <c r="AF2507" i="9"/>
  <c r="X2509" i="9"/>
  <c r="X2511" i="9"/>
  <c r="X2513" i="9"/>
  <c r="B2520" i="9"/>
  <c r="AB2520" i="9"/>
  <c r="AF2520" i="9"/>
  <c r="AD2524" i="9" s="1"/>
  <c r="AJ2520" i="9"/>
  <c r="B2522" i="9"/>
  <c r="AB2522" i="9"/>
  <c r="AF2524" i="9" s="1"/>
  <c r="AF2522" i="9"/>
  <c r="AH2524" i="9"/>
  <c r="AJ2524" i="9"/>
  <c r="X2526" i="9"/>
  <c r="X2528" i="9"/>
  <c r="X2530" i="9"/>
  <c r="G2560" i="9"/>
  <c r="B2566" i="9"/>
  <c r="AB2566" i="9"/>
  <c r="B2570" i="9"/>
  <c r="AB2570" i="9"/>
  <c r="AB2576" i="9" s="1"/>
  <c r="AF2570" i="9"/>
  <c r="AD2596" i="9" s="1"/>
  <c r="AJ2570" i="9"/>
  <c r="AF2576" i="9" s="1"/>
  <c r="AD2572" i="9"/>
  <c r="B2574" i="9"/>
  <c r="AB2574" i="9"/>
  <c r="AJ2576" i="9" s="1"/>
  <c r="AD2576" i="9"/>
  <c r="X2578" i="9"/>
  <c r="X2580" i="9"/>
  <c r="X2582" i="9"/>
  <c r="B2590" i="9"/>
  <c r="AB2590" i="9"/>
  <c r="AF2610" i="9" s="1"/>
  <c r="AG2592" i="9"/>
  <c r="B2592" i="9" s="1"/>
  <c r="Z2596" i="9"/>
  <c r="AG2596" i="9"/>
  <c r="B2602" i="9"/>
  <c r="AB2602" i="9"/>
  <c r="AD2606" i="9" s="1"/>
  <c r="B2604" i="9"/>
  <c r="AB2604" i="9"/>
  <c r="AF2606" i="9" s="1"/>
  <c r="AD2610" i="9"/>
  <c r="X2612" i="9"/>
  <c r="X2614" i="9"/>
  <c r="X2616" i="9"/>
  <c r="B2622" i="9"/>
  <c r="AB2622" i="9"/>
  <c r="AF2642" i="9" s="1"/>
  <c r="AG2624" i="9"/>
  <c r="B2634" i="9"/>
  <c r="AB2634" i="9"/>
  <c r="AD2638" i="9" s="1"/>
  <c r="B2636" i="9"/>
  <c r="AB2636" i="9"/>
  <c r="AF2638" i="9" s="1"/>
  <c r="AD2642" i="9"/>
  <c r="X2644" i="9"/>
  <c r="X2646" i="9"/>
  <c r="X2648" i="9"/>
  <c r="B2654" i="9"/>
  <c r="AB2654" i="9"/>
  <c r="AB2658" i="9" s="1"/>
  <c r="AF2654" i="9"/>
  <c r="AD2658" i="9" s="1"/>
  <c r="AJ2654" i="9"/>
  <c r="B2656" i="9"/>
  <c r="AB2656" i="9"/>
  <c r="AF2658" i="9" s="1"/>
  <c r="AF2656" i="9"/>
  <c r="AJ2658" i="9" s="1"/>
  <c r="AH2658" i="9"/>
  <c r="X2660" i="9"/>
  <c r="X2662" i="9"/>
  <c r="X2664" i="9"/>
  <c r="G2700" i="9"/>
  <c r="B2704" i="9"/>
  <c r="AB2704" i="9"/>
  <c r="Z2706" i="9" s="1"/>
  <c r="AD2708" i="9"/>
  <c r="B2710" i="9"/>
  <c r="AB2710" i="9"/>
  <c r="AF2710" i="9"/>
  <c r="B2712" i="9"/>
  <c r="AB2712" i="9"/>
  <c r="AB2718" i="9" s="1"/>
  <c r="B2720" i="9"/>
  <c r="AB2720" i="9"/>
  <c r="AB2722" i="9" s="1"/>
  <c r="AF2720" i="9"/>
  <c r="AF2722" i="9" s="1"/>
  <c r="AF2724" i="9"/>
  <c r="X2727" i="9"/>
  <c r="X2729" i="9"/>
  <c r="X2731" i="9"/>
  <c r="G2770" i="9"/>
  <c r="B2774" i="9"/>
  <c r="AB2774" i="9"/>
  <c r="Z2776" i="9" s="1"/>
  <c r="AD2778" i="9"/>
  <c r="B2778" i="9" s="1"/>
  <c r="B2780" i="9"/>
  <c r="AB2780" i="9"/>
  <c r="AF2794" i="9" s="1"/>
  <c r="AF2780" i="9"/>
  <c r="B2782" i="9"/>
  <c r="AB2782" i="9"/>
  <c r="Z2788" i="9"/>
  <c r="B2790" i="9"/>
  <c r="AB2790" i="9"/>
  <c r="AB2792" i="9" s="1"/>
  <c r="AF2790" i="9"/>
  <c r="AF2792" i="9" s="1"/>
  <c r="X2797" i="9"/>
  <c r="X2799" i="9"/>
  <c r="X2801" i="9"/>
  <c r="G2840" i="9"/>
  <c r="B2846" i="9"/>
  <c r="AB2846" i="9"/>
  <c r="AA2882" i="9" s="1"/>
  <c r="B2850" i="9"/>
  <c r="AB2850" i="9"/>
  <c r="AF2850" i="9"/>
  <c r="AD2856" i="9" s="1"/>
  <c r="AD2852" i="9"/>
  <c r="B2854" i="9"/>
  <c r="AB2854" i="9"/>
  <c r="AF2856" i="9" s="1"/>
  <c r="AF2854" i="9"/>
  <c r="AJ2856" i="9" s="1"/>
  <c r="AB2856" i="9"/>
  <c r="X2858" i="9"/>
  <c r="X2860" i="9"/>
  <c r="X2862" i="9"/>
  <c r="B2870" i="9"/>
  <c r="AB2870" i="9"/>
  <c r="AD2878" i="9" s="1"/>
  <c r="AF2870" i="9"/>
  <c r="AF2892" i="9" s="1"/>
  <c r="AD2872" i="9"/>
  <c r="B2872" i="9" s="1"/>
  <c r="AG2874" i="9"/>
  <c r="B2882" i="9"/>
  <c r="AK2882" i="9"/>
  <c r="AB2888" i="9" s="1"/>
  <c r="B2884" i="9"/>
  <c r="AB2884" i="9"/>
  <c r="AD2888" i="9" s="1"/>
  <c r="B2886" i="9"/>
  <c r="AB2886" i="9"/>
  <c r="AF2888" i="9" s="1"/>
  <c r="AD2892" i="9"/>
  <c r="X2894" i="9"/>
  <c r="X2896" i="9"/>
  <c r="X2898" i="9"/>
  <c r="B2905" i="9"/>
  <c r="AB2905" i="9"/>
  <c r="AB2909" i="9" s="1"/>
  <c r="AF2905" i="9"/>
  <c r="AD2909" i="9" s="1"/>
  <c r="AJ2905" i="9"/>
  <c r="B2907" i="9"/>
  <c r="AB2907" i="9"/>
  <c r="AF2909" i="9" s="1"/>
  <c r="AF2907" i="9"/>
  <c r="AJ2909" i="9" s="1"/>
  <c r="AH2909" i="9"/>
  <c r="X2911" i="9"/>
  <c r="X2913" i="9"/>
  <c r="X2915" i="9"/>
  <c r="G2945" i="9"/>
  <c r="B2951" i="9"/>
  <c r="AB2951" i="9"/>
  <c r="AA2985" i="9" s="1"/>
  <c r="B2955" i="9"/>
  <c r="AB2955" i="9"/>
  <c r="AF2955" i="9"/>
  <c r="AJ2955" i="9"/>
  <c r="AF2961" i="9" s="1"/>
  <c r="AD2957" i="9"/>
  <c r="B2957" i="9" s="1"/>
  <c r="B2959" i="9"/>
  <c r="AB2959" i="9"/>
  <c r="AJ2961" i="9" s="1"/>
  <c r="X2963" i="9"/>
  <c r="X2965" i="9"/>
  <c r="X2967" i="9"/>
  <c r="B2975" i="9"/>
  <c r="AB2975" i="9"/>
  <c r="AG2977" i="9"/>
  <c r="Z2981" i="9" s="1"/>
  <c r="AK2985" i="9"/>
  <c r="B2987" i="9"/>
  <c r="AB2987" i="9"/>
  <c r="B2989" i="9"/>
  <c r="AB2989" i="9"/>
  <c r="AF2991" i="9" s="1"/>
  <c r="AD2991" i="9"/>
  <c r="AD2995" i="9"/>
  <c r="AF2995" i="9"/>
  <c r="X2997" i="9"/>
  <c r="X2999" i="9"/>
  <c r="X3001" i="9"/>
  <c r="B3007" i="9"/>
  <c r="AB3007" i="9"/>
  <c r="AF3027" i="9" s="1"/>
  <c r="AG3009" i="9"/>
  <c r="AE3017" i="9"/>
  <c r="AK3017" i="9"/>
  <c r="B3019" i="9"/>
  <c r="AB3019" i="9"/>
  <c r="B3021" i="9"/>
  <c r="AB3021" i="9"/>
  <c r="AF3023" i="9" s="1"/>
  <c r="AD3023" i="9"/>
  <c r="X3029" i="9"/>
  <c r="X3031" i="9"/>
  <c r="X3033" i="9"/>
  <c r="B3039" i="9"/>
  <c r="AB3039" i="9"/>
  <c r="AB3043" i="9" s="1"/>
  <c r="AF3039" i="9"/>
  <c r="AD3043" i="9" s="1"/>
  <c r="AJ3039" i="9"/>
  <c r="AH3043" i="9" s="1"/>
  <c r="B3041" i="9"/>
  <c r="AB3041" i="9"/>
  <c r="AF3041" i="9"/>
  <c r="AJ3043" i="9" s="1"/>
  <c r="AF3043" i="9"/>
  <c r="X3045" i="9"/>
  <c r="X3047" i="9"/>
  <c r="X3049" i="9"/>
  <c r="G3085" i="9"/>
  <c r="B3090" i="9"/>
  <c r="AB3090" i="9"/>
  <c r="D3094" i="9"/>
  <c r="H3094" i="9"/>
  <c r="E3094" i="9" s="1"/>
  <c r="I3094" i="9"/>
  <c r="J3094" i="9"/>
  <c r="X3094" i="9"/>
  <c r="Y3094" i="9"/>
  <c r="AC3094" i="9"/>
  <c r="AE3094" i="9"/>
  <c r="D3096" i="9"/>
  <c r="H3096" i="9"/>
  <c r="E3096" i="9" s="1"/>
  <c r="I3096" i="9"/>
  <c r="J3096" i="9"/>
  <c r="X3096" i="9"/>
  <c r="Y3096" i="9"/>
  <c r="AC3096" i="9"/>
  <c r="AE3096" i="9"/>
  <c r="D3102" i="9"/>
  <c r="D3104" i="9" s="1"/>
  <c r="H3102" i="9"/>
  <c r="E3102" i="9" s="1"/>
  <c r="AC3102" i="9"/>
  <c r="B3108" i="9"/>
  <c r="AB3108" i="9"/>
  <c r="X3110" i="9"/>
  <c r="X3112" i="9"/>
  <c r="X3114" i="9"/>
  <c r="G3155" i="9"/>
  <c r="B3161" i="9"/>
  <c r="AB3161" i="9"/>
  <c r="B3166" i="9"/>
  <c r="AB3166" i="9"/>
  <c r="B3168" i="9"/>
  <c r="AB3168" i="9"/>
  <c r="AD3170" i="9"/>
  <c r="B3172" i="9"/>
  <c r="AB3172" i="9"/>
  <c r="AF3176" i="9" s="1"/>
  <c r="B3174" i="9"/>
  <c r="AB3174" i="9"/>
  <c r="AJ3176" i="9" s="1"/>
  <c r="AB3176" i="9"/>
  <c r="AD3176" i="9"/>
  <c r="X3178" i="9"/>
  <c r="X3180" i="9"/>
  <c r="X3182" i="9"/>
  <c r="B3193" i="9"/>
  <c r="AB3193" i="9"/>
  <c r="AD3201" i="9" s="1"/>
  <c r="B3195" i="9"/>
  <c r="AB3195" i="9"/>
  <c r="AF3211" i="9" s="1"/>
  <c r="B3197" i="9"/>
  <c r="AB3197" i="9"/>
  <c r="AG3199" i="9"/>
  <c r="B3205" i="9"/>
  <c r="AA3205" i="9"/>
  <c r="AE3205" i="9"/>
  <c r="AK3205" i="9"/>
  <c r="AB3209" i="9" s="1"/>
  <c r="B3207" i="9"/>
  <c r="AB3207" i="9"/>
  <c r="AD3209" i="9" s="1"/>
  <c r="AF3207" i="9"/>
  <c r="AF3209" i="9"/>
  <c r="AD3211" i="9"/>
  <c r="X3213" i="9"/>
  <c r="X3215" i="9"/>
  <c r="X3217" i="9"/>
  <c r="B3224" i="9"/>
  <c r="AB3224" i="9"/>
  <c r="B3226" i="9"/>
  <c r="AB3226" i="9"/>
  <c r="AF3242" i="9" s="1"/>
  <c r="B3228" i="9"/>
  <c r="AB3228" i="9"/>
  <c r="AG3230" i="9"/>
  <c r="AD3232" i="9"/>
  <c r="AA3236" i="9"/>
  <c r="AE3236" i="9"/>
  <c r="AK3236" i="9"/>
  <c r="B3238" i="9"/>
  <c r="AB3238" i="9"/>
  <c r="AF3238" i="9"/>
  <c r="AD3240" i="9"/>
  <c r="AF3240" i="9"/>
  <c r="AD3242" i="9"/>
  <c r="X3244" i="9"/>
  <c r="X3246" i="9"/>
  <c r="X3248" i="9"/>
  <c r="B3255" i="9"/>
  <c r="AB3255" i="9"/>
  <c r="B3257" i="9"/>
  <c r="AB3257" i="9"/>
  <c r="AD3265" i="9" s="1"/>
  <c r="B3259" i="9"/>
  <c r="AB3259" i="9"/>
  <c r="AH3265" i="9" s="1"/>
  <c r="B3261" i="9"/>
  <c r="AB3261" i="9"/>
  <c r="B3263" i="9"/>
  <c r="AB3263" i="9"/>
  <c r="AJ3265" i="9" s="1"/>
  <c r="AF3265" i="9"/>
  <c r="X3267" i="9"/>
  <c r="X3269" i="9"/>
  <c r="X3271" i="9"/>
  <c r="J2" i="8"/>
  <c r="AC221" i="5" s="1"/>
  <c r="K3" i="8"/>
  <c r="J4" i="8"/>
  <c r="K4" i="8"/>
  <c r="J5" i="8"/>
  <c r="J6" i="8"/>
  <c r="K6" i="8"/>
  <c r="J7" i="8"/>
  <c r="J8" i="8"/>
  <c r="K8" i="8"/>
  <c r="J9" i="8"/>
  <c r="J10" i="8"/>
  <c r="K10" i="8"/>
  <c r="F11" i="8"/>
  <c r="G11" i="8"/>
  <c r="J107" i="5" s="1"/>
  <c r="H11" i="8"/>
  <c r="J11" i="8"/>
  <c r="J12" i="8"/>
  <c r="J13" i="8"/>
  <c r="J14" i="8"/>
  <c r="J15" i="8"/>
  <c r="J16" i="8"/>
  <c r="J17" i="8"/>
  <c r="J18" i="8"/>
  <c r="J19" i="8"/>
  <c r="F20" i="8"/>
  <c r="G20" i="8"/>
  <c r="J20" i="8"/>
  <c r="J21" i="8"/>
  <c r="J22" i="8"/>
  <c r="J23" i="8"/>
  <c r="F24" i="8"/>
  <c r="G24" i="8"/>
  <c r="J24" i="8"/>
  <c r="F25" i="8"/>
  <c r="G25" i="8"/>
  <c r="J25" i="8"/>
  <c r="F26" i="8"/>
  <c r="G26" i="8"/>
  <c r="J26" i="8"/>
  <c r="F27" i="8"/>
  <c r="G27" i="8"/>
  <c r="J66" i="5" s="1"/>
  <c r="K66" i="5" s="1"/>
  <c r="J27" i="8"/>
  <c r="J28" i="8"/>
  <c r="J29" i="8"/>
  <c r="J30" i="8"/>
  <c r="J31" i="8"/>
  <c r="J32" i="8"/>
  <c r="J33" i="8"/>
  <c r="F34" i="8"/>
  <c r="G34" i="8"/>
  <c r="J34" i="8"/>
  <c r="J35" i="8"/>
  <c r="J36" i="8"/>
  <c r="J37" i="8"/>
  <c r="F38" i="8"/>
  <c r="G38" i="8"/>
  <c r="J38" i="8"/>
  <c r="J39" i="8"/>
  <c r="J40" i="8"/>
  <c r="J41" i="8"/>
  <c r="J42" i="8"/>
  <c r="J43" i="8"/>
  <c r="J44" i="8"/>
  <c r="J45" i="8"/>
  <c r="J46" i="8"/>
  <c r="J47" i="8"/>
  <c r="J48" i="8"/>
  <c r="J49" i="8"/>
  <c r="O2" i="5"/>
  <c r="Q6" i="4" s="1"/>
  <c r="AC4" i="5"/>
  <c r="O5" i="5"/>
  <c r="O6" i="5"/>
  <c r="O7" i="5"/>
  <c r="O8" i="5"/>
  <c r="O13" i="5"/>
  <c r="O18" i="5"/>
  <c r="O23" i="5"/>
  <c r="O27" i="5"/>
  <c r="J28" i="5"/>
  <c r="K28" i="5" s="1"/>
  <c r="L28" i="5"/>
  <c r="M28" i="5" s="1"/>
  <c r="O34" i="5"/>
  <c r="O39" i="5"/>
  <c r="O40" i="5"/>
  <c r="O47" i="5"/>
  <c r="O54" i="5"/>
  <c r="I57" i="5"/>
  <c r="M57" i="5"/>
  <c r="O60" i="5"/>
  <c r="J62" i="5"/>
  <c r="K62" i="5" s="1"/>
  <c r="J65" i="5"/>
  <c r="AC65" i="5"/>
  <c r="O68" i="5"/>
  <c r="I69" i="5"/>
  <c r="M69" i="5"/>
  <c r="I70" i="5"/>
  <c r="M70" i="5"/>
  <c r="I71" i="5"/>
  <c r="M71" i="5"/>
  <c r="I72" i="5"/>
  <c r="M72" i="5"/>
  <c r="O85" i="5"/>
  <c r="O86" i="5"/>
  <c r="O87" i="5"/>
  <c r="O92" i="5"/>
  <c r="O97" i="5"/>
  <c r="O102" i="5"/>
  <c r="O106" i="5"/>
  <c r="K107" i="5"/>
  <c r="L107" i="5"/>
  <c r="M107" i="5" s="1"/>
  <c r="AC108" i="5"/>
  <c r="O113" i="5"/>
  <c r="O118" i="5"/>
  <c r="O119" i="5"/>
  <c r="O124" i="5"/>
  <c r="O132" i="5"/>
  <c r="I135" i="5"/>
  <c r="M135" i="5"/>
  <c r="O137" i="5"/>
  <c r="J141" i="5"/>
  <c r="J142" i="5"/>
  <c r="K142" i="5" s="1"/>
  <c r="O145" i="5"/>
  <c r="I146" i="5"/>
  <c r="M146" i="5"/>
  <c r="I147" i="5"/>
  <c r="M147" i="5"/>
  <c r="I148" i="5"/>
  <c r="I145" i="5" s="1"/>
  <c r="M148" i="5"/>
  <c r="I149" i="5"/>
  <c r="M149" i="5"/>
  <c r="O165" i="5"/>
  <c r="O166" i="5"/>
  <c r="O167" i="5"/>
  <c r="O172" i="5"/>
  <c r="O177" i="5"/>
  <c r="O182" i="5"/>
  <c r="O186" i="5"/>
  <c r="L187" i="5"/>
  <c r="M187" i="5" s="1"/>
  <c r="O193" i="5"/>
  <c r="O198" i="5"/>
  <c r="O199" i="5"/>
  <c r="O204" i="5"/>
  <c r="O214" i="5"/>
  <c r="I216" i="5"/>
  <c r="M216" i="5"/>
  <c r="O218" i="5"/>
  <c r="AC220" i="5"/>
  <c r="H223" i="5"/>
  <c r="I223" i="5" s="1"/>
  <c r="J223" i="5"/>
  <c r="K223" i="5" s="1"/>
  <c r="H224" i="5"/>
  <c r="I224" i="5" s="1"/>
  <c r="J224" i="5"/>
  <c r="O227" i="5"/>
  <c r="I228" i="5"/>
  <c r="M228" i="5"/>
  <c r="I229" i="5"/>
  <c r="M229" i="5"/>
  <c r="I230" i="5"/>
  <c r="M230" i="5"/>
  <c r="I231" i="5"/>
  <c r="M231" i="5"/>
  <c r="I232" i="5"/>
  <c r="M232" i="5"/>
  <c r="I233" i="5"/>
  <c r="M233" i="5"/>
  <c r="O245" i="5"/>
  <c r="I246" i="5"/>
  <c r="M246" i="5"/>
  <c r="I247" i="5"/>
  <c r="M247" i="5"/>
  <c r="I248" i="5"/>
  <c r="M248" i="5"/>
  <c r="I249" i="5"/>
  <c r="M249" i="5"/>
  <c r="I250" i="5"/>
  <c r="M250" i="5"/>
  <c r="I251" i="5"/>
  <c r="M251" i="5"/>
  <c r="I252" i="5"/>
  <c r="M252" i="5"/>
  <c r="F253" i="5"/>
  <c r="I253" i="5"/>
  <c r="K253" i="5"/>
  <c r="M253" i="5"/>
  <c r="J2" i="6"/>
  <c r="AC208" i="5" s="1"/>
  <c r="K3" i="6"/>
  <c r="J4" i="6"/>
  <c r="J5" i="6"/>
  <c r="J6" i="6"/>
  <c r="K6" i="6"/>
  <c r="J7" i="6"/>
  <c r="J8" i="6"/>
  <c r="J9" i="6"/>
  <c r="J10" i="6"/>
  <c r="J11" i="6"/>
  <c r="J12" i="6"/>
  <c r="J13" i="6"/>
  <c r="J14" i="6"/>
  <c r="K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N2" i="7"/>
  <c r="K10" i="6" s="1"/>
  <c r="Z4" i="7"/>
  <c r="N5" i="7"/>
  <c r="H8" i="7"/>
  <c r="H11" i="7" s="1"/>
  <c r="F4" i="6" s="1"/>
  <c r="G207" i="7" s="1"/>
  <c r="H207" i="7" s="1"/>
  <c r="L8" i="7"/>
  <c r="H9" i="7"/>
  <c r="L9" i="7"/>
  <c r="E10" i="7"/>
  <c r="G10" i="7"/>
  <c r="H10" i="7" s="1"/>
  <c r="J10" i="7"/>
  <c r="L10" i="7"/>
  <c r="Z10" i="7"/>
  <c r="N12" i="7"/>
  <c r="H15" i="7"/>
  <c r="L15" i="7"/>
  <c r="G16" i="7"/>
  <c r="J16" i="7"/>
  <c r="L16" i="7"/>
  <c r="G17" i="7"/>
  <c r="J17" i="7"/>
  <c r="L17" i="7"/>
  <c r="E18" i="7"/>
  <c r="H18" i="7"/>
  <c r="J18" i="7"/>
  <c r="F18" i="7" s="1"/>
  <c r="L18" i="7"/>
  <c r="N21" i="7"/>
  <c r="H24" i="7"/>
  <c r="L24" i="7"/>
  <c r="G25" i="7"/>
  <c r="J25" i="7"/>
  <c r="L25" i="7"/>
  <c r="Z25" i="7"/>
  <c r="G26" i="7"/>
  <c r="H26" i="7" s="1"/>
  <c r="J26" i="7"/>
  <c r="L26" i="7"/>
  <c r="Z26" i="7"/>
  <c r="E27" i="7"/>
  <c r="H27" i="7"/>
  <c r="J27" i="7"/>
  <c r="L27" i="7"/>
  <c r="N30" i="7"/>
  <c r="G32" i="7"/>
  <c r="J32" i="7"/>
  <c r="L32" i="7"/>
  <c r="L33" i="7" s="1"/>
  <c r="H7" i="6" s="1"/>
  <c r="K54" i="7" s="1"/>
  <c r="L54" i="7" s="1"/>
  <c r="Z32" i="7"/>
  <c r="N34" i="7"/>
  <c r="H36" i="7"/>
  <c r="L36" i="7"/>
  <c r="H37" i="7"/>
  <c r="L37" i="7"/>
  <c r="H38" i="7"/>
  <c r="L38" i="7"/>
  <c r="G39" i="7"/>
  <c r="E39" i="7" s="1"/>
  <c r="J39" i="7"/>
  <c r="L39" i="7"/>
  <c r="Z39" i="7"/>
  <c r="G40" i="7"/>
  <c r="J40" i="7"/>
  <c r="L40" i="7"/>
  <c r="Z40" i="7"/>
  <c r="N42" i="7"/>
  <c r="G45" i="7"/>
  <c r="J45" i="7"/>
  <c r="L45" i="7"/>
  <c r="Z45" i="7"/>
  <c r="G46" i="7"/>
  <c r="E46" i="7" s="1"/>
  <c r="J46" i="7"/>
  <c r="L46" i="7"/>
  <c r="Z46" i="7"/>
  <c r="N49" i="7"/>
  <c r="H51" i="7"/>
  <c r="L51" i="7"/>
  <c r="Z52" i="7"/>
  <c r="Z54" i="7"/>
  <c r="N56" i="7"/>
  <c r="H58" i="7"/>
  <c r="L58" i="7"/>
  <c r="H59" i="7"/>
  <c r="L59" i="7"/>
  <c r="H60" i="7"/>
  <c r="L60" i="7"/>
  <c r="E61" i="7"/>
  <c r="G61" i="7"/>
  <c r="H61" i="7"/>
  <c r="J61" i="7"/>
  <c r="L61" i="7"/>
  <c r="G62" i="7"/>
  <c r="E62" i="7" s="1"/>
  <c r="J62" i="7"/>
  <c r="L62" i="7"/>
  <c r="N64" i="7"/>
  <c r="G67" i="7"/>
  <c r="E67" i="7" s="1"/>
  <c r="J67" i="7"/>
  <c r="L67" i="7"/>
  <c r="Z67" i="7"/>
  <c r="G68" i="7"/>
  <c r="H68" i="7" s="1"/>
  <c r="J68" i="7"/>
  <c r="L68" i="7"/>
  <c r="Z68" i="7"/>
  <c r="N71" i="7"/>
  <c r="G74" i="7"/>
  <c r="E74" i="7" s="1"/>
  <c r="J74" i="7"/>
  <c r="L74" i="7"/>
  <c r="Z74" i="7"/>
  <c r="G75" i="7"/>
  <c r="H75" i="7" s="1"/>
  <c r="F75" i="7" s="1"/>
  <c r="J75" i="7"/>
  <c r="L75" i="7"/>
  <c r="Z75" i="7"/>
  <c r="N78" i="7"/>
  <c r="G81" i="7"/>
  <c r="E81" i="7" s="1"/>
  <c r="J81" i="7"/>
  <c r="L81" i="7"/>
  <c r="Z81" i="7"/>
  <c r="G82" i="7"/>
  <c r="H82" i="7" s="1"/>
  <c r="F82" i="7" s="1"/>
  <c r="J82" i="7"/>
  <c r="L82" i="7"/>
  <c r="Z82" i="7"/>
  <c r="N85" i="7"/>
  <c r="G89" i="7"/>
  <c r="E89" i="7" s="1"/>
  <c r="H89" i="7"/>
  <c r="J89" i="7"/>
  <c r="L89" i="7"/>
  <c r="Z89" i="7"/>
  <c r="N91" i="7"/>
  <c r="N96" i="7"/>
  <c r="Z102" i="7"/>
  <c r="N104" i="7"/>
  <c r="Z107" i="7"/>
  <c r="Z108" i="7"/>
  <c r="Z109" i="7"/>
  <c r="Z110" i="7"/>
  <c r="Z111" i="7"/>
  <c r="Z112" i="7"/>
  <c r="Z113" i="7"/>
  <c r="H116" i="7"/>
  <c r="L116" i="7"/>
  <c r="N118" i="7"/>
  <c r="Z123" i="7"/>
  <c r="Z124" i="7"/>
  <c r="Z128" i="7"/>
  <c r="H130" i="7"/>
  <c r="L130" i="7"/>
  <c r="N132" i="7"/>
  <c r="H134" i="7"/>
  <c r="L134" i="7"/>
  <c r="Z135" i="7"/>
  <c r="Z136" i="7"/>
  <c r="H139" i="7"/>
  <c r="L139" i="7"/>
  <c r="N143" i="7"/>
  <c r="H145" i="7"/>
  <c r="L145" i="7"/>
  <c r="N151" i="7"/>
  <c r="H153" i="7"/>
  <c r="L153" i="7"/>
  <c r="Z154" i="7"/>
  <c r="Z155" i="7"/>
  <c r="N159" i="7"/>
  <c r="Z161" i="7"/>
  <c r="Z162" i="7"/>
  <c r="H164" i="7"/>
  <c r="L164" i="7"/>
  <c r="N166" i="7"/>
  <c r="H169" i="7"/>
  <c r="L169" i="7"/>
  <c r="H170" i="7"/>
  <c r="L170" i="7"/>
  <c r="H171" i="7"/>
  <c r="L171" i="7"/>
  <c r="G172" i="7"/>
  <c r="H172" i="7" s="1"/>
  <c r="J172" i="7"/>
  <c r="L172" i="7"/>
  <c r="Z172" i="7"/>
  <c r="G173" i="7"/>
  <c r="H173" i="7" s="1"/>
  <c r="J173" i="7"/>
  <c r="L173" i="7"/>
  <c r="Z173" i="7"/>
  <c r="N176" i="7"/>
  <c r="Z179" i="7"/>
  <c r="N181" i="7"/>
  <c r="H185" i="7"/>
  <c r="L185" i="7"/>
  <c r="N187" i="7"/>
  <c r="H189" i="7"/>
  <c r="L189" i="7"/>
  <c r="Z190" i="7"/>
  <c r="Z193" i="7"/>
  <c r="H194" i="7"/>
  <c r="L194" i="7"/>
  <c r="N198" i="7"/>
  <c r="H200" i="7"/>
  <c r="L200" i="7"/>
  <c r="Z203" i="7"/>
  <c r="Z204" i="7"/>
  <c r="H205" i="7"/>
  <c r="L205" i="7"/>
  <c r="Z206" i="7"/>
  <c r="Z207" i="7"/>
  <c r="N209" i="7"/>
  <c r="H211" i="7"/>
  <c r="L211" i="7"/>
  <c r="Z212" i="7"/>
  <c r="Z213" i="7"/>
  <c r="Z214" i="7"/>
  <c r="N217" i="7"/>
  <c r="G220" i="7"/>
  <c r="H220" i="7" s="1"/>
  <c r="J220" i="7"/>
  <c r="L220" i="7"/>
  <c r="Z220" i="7"/>
  <c r="G221" i="7"/>
  <c r="E221" i="7" s="1"/>
  <c r="J221" i="7"/>
  <c r="L221" i="7"/>
  <c r="Z221" i="7"/>
  <c r="N224" i="7"/>
  <c r="Z227" i="7"/>
  <c r="Z228" i="7"/>
  <c r="N230" i="7"/>
  <c r="H232" i="7"/>
  <c r="L232" i="7"/>
  <c r="G233" i="7"/>
  <c r="E233" i="7" s="1"/>
  <c r="J233" i="7"/>
  <c r="L233" i="7"/>
  <c r="Z233" i="7"/>
  <c r="G234" i="7"/>
  <c r="H234" i="7" s="1"/>
  <c r="J234" i="7"/>
  <c r="L234" i="7"/>
  <c r="Z234" i="7"/>
  <c r="E235" i="7"/>
  <c r="H235" i="7"/>
  <c r="J235" i="7"/>
  <c r="L235" i="7"/>
  <c r="N238" i="7"/>
  <c r="H240" i="7"/>
  <c r="L240" i="7"/>
  <c r="Z241" i="7"/>
  <c r="Z242" i="7"/>
  <c r="Z243" i="7"/>
  <c r="H245" i="7"/>
  <c r="L245" i="7"/>
  <c r="Z246" i="7"/>
  <c r="N251" i="7"/>
  <c r="Z254" i="7"/>
  <c r="Z255" i="7"/>
  <c r="Z258" i="7"/>
  <c r="Z259" i="7"/>
  <c r="N261" i="7"/>
  <c r="Z264" i="7"/>
  <c r="Z265" i="7"/>
  <c r="Z268" i="7"/>
  <c r="Z269" i="7"/>
  <c r="N271" i="7"/>
  <c r="H274" i="7"/>
  <c r="L274" i="7"/>
  <c r="G275" i="7"/>
  <c r="E275" i="7" s="1"/>
  <c r="J275" i="7"/>
  <c r="L275" i="7"/>
  <c r="Z275" i="7"/>
  <c r="G276" i="7"/>
  <c r="J276" i="7"/>
  <c r="L276" i="7"/>
  <c r="Z276" i="7"/>
  <c r="Z278" i="7"/>
  <c r="Z279" i="7"/>
  <c r="Z280" i="7"/>
  <c r="N282" i="7"/>
  <c r="G286" i="7"/>
  <c r="J286" i="7"/>
  <c r="L286" i="7"/>
  <c r="Z286" i="7"/>
  <c r="G287" i="7"/>
  <c r="J287" i="7"/>
  <c r="L287" i="7"/>
  <c r="Z287" i="7"/>
  <c r="Z289" i="7"/>
  <c r="R2" i="16"/>
  <c r="H11" i="13" s="1"/>
  <c r="S4" i="16"/>
  <c r="V5" i="16"/>
  <c r="U5" i="16" s="1"/>
  <c r="W5" i="16" s="1"/>
  <c r="V6" i="16"/>
  <c r="U6" i="16" s="1"/>
  <c r="W6" i="16" s="1"/>
  <c r="V7" i="16"/>
  <c r="U7" i="16" s="1"/>
  <c r="W7" i="16" s="1"/>
  <c r="V8" i="16"/>
  <c r="U8" i="16" s="1"/>
  <c r="W8" i="16" s="1"/>
  <c r="V9" i="16"/>
  <c r="U9" i="16" s="1"/>
  <c r="W9" i="16" s="1"/>
  <c r="V10" i="16"/>
  <c r="U10" i="16" s="1"/>
  <c r="W10" i="16" s="1"/>
  <c r="V11" i="16"/>
  <c r="U11" i="16" s="1"/>
  <c r="W11" i="16" s="1"/>
  <c r="V12" i="16"/>
  <c r="U12" i="16" s="1"/>
  <c r="W12" i="16" s="1"/>
  <c r="V13" i="16"/>
  <c r="U13" i="16" s="1"/>
  <c r="W13" i="16" s="1"/>
  <c r="V14" i="16"/>
  <c r="U14" i="16" s="1"/>
  <c r="W14" i="16" s="1"/>
  <c r="V15" i="16"/>
  <c r="U15" i="16" s="1"/>
  <c r="W15" i="16" s="1"/>
  <c r="V16" i="16"/>
  <c r="U16" i="16" s="1"/>
  <c r="W16" i="16" s="1"/>
  <c r="V17" i="16"/>
  <c r="U17" i="16" s="1"/>
  <c r="W17" i="16" s="1"/>
  <c r="V18" i="16"/>
  <c r="U18" i="16" s="1"/>
  <c r="W18" i="16" s="1"/>
  <c r="V19" i="16"/>
  <c r="U19" i="16" s="1"/>
  <c r="W19" i="16" s="1"/>
  <c r="V20" i="16"/>
  <c r="U20" i="16" s="1"/>
  <c r="W20" i="16" s="1"/>
  <c r="V21" i="16"/>
  <c r="U21" i="16" s="1"/>
  <c r="W21" i="16" s="1"/>
  <c r="V22" i="16"/>
  <c r="U22" i="16" s="1"/>
  <c r="W22" i="16" s="1"/>
  <c r="U23" i="16"/>
  <c r="W23" i="16" s="1"/>
  <c r="V23" i="16"/>
  <c r="V24" i="16"/>
  <c r="U24" i="16" s="1"/>
  <c r="W24" i="16" s="1"/>
  <c r="V25" i="16"/>
  <c r="U25" i="16" s="1"/>
  <c r="W25" i="16" s="1"/>
  <c r="V26" i="16"/>
  <c r="U26" i="16" s="1"/>
  <c r="W26" i="16" s="1"/>
  <c r="U27" i="16"/>
  <c r="W27" i="16" s="1"/>
  <c r="V27" i="16"/>
  <c r="V28" i="16"/>
  <c r="U28" i="16" s="1"/>
  <c r="W28" i="16" s="1"/>
  <c r="U29" i="16"/>
  <c r="W29" i="16" s="1"/>
  <c r="V29" i="16"/>
  <c r="V30" i="16"/>
  <c r="U30" i="16" s="1"/>
  <c r="W30" i="16" s="1"/>
  <c r="V31" i="16"/>
  <c r="U31" i="16" s="1"/>
  <c r="W31" i="16" s="1"/>
  <c r="V32" i="16"/>
  <c r="U32" i="16" s="1"/>
  <c r="W32" i="16" s="1"/>
  <c r="V33" i="16"/>
  <c r="U33" i="16" s="1"/>
  <c r="W33" i="16" s="1"/>
  <c r="V34" i="16"/>
  <c r="U34" i="16" s="1"/>
  <c r="W34" i="16"/>
  <c r="U35" i="16"/>
  <c r="W35" i="16" s="1"/>
  <c r="V35" i="16"/>
  <c r="V36" i="16"/>
  <c r="U36" i="16" s="1"/>
  <c r="W36" i="16" s="1"/>
  <c r="V37" i="16"/>
  <c r="U37" i="16" s="1"/>
  <c r="W37" i="16"/>
  <c r="V38" i="16"/>
  <c r="U38" i="16" s="1"/>
  <c r="W38" i="16"/>
  <c r="U39" i="16"/>
  <c r="W39" i="16" s="1"/>
  <c r="V39" i="16"/>
  <c r="V40" i="16"/>
  <c r="U40" i="16" s="1"/>
  <c r="W40" i="16" s="1"/>
  <c r="V41" i="16"/>
  <c r="U41" i="16" s="1"/>
  <c r="W41" i="16" s="1"/>
  <c r="V42" i="16"/>
  <c r="U42" i="16" s="1"/>
  <c r="W42" i="16" s="1"/>
  <c r="U43" i="16"/>
  <c r="W43" i="16" s="1"/>
  <c r="V43" i="16"/>
  <c r="V44" i="16"/>
  <c r="U44" i="16" s="1"/>
  <c r="W44" i="16" s="1"/>
  <c r="V45" i="16"/>
  <c r="U45" i="16" s="1"/>
  <c r="W45" i="16"/>
  <c r="V46" i="16"/>
  <c r="U46" i="16" s="1"/>
  <c r="W46" i="16"/>
  <c r="U47" i="16"/>
  <c r="W47" i="16" s="1"/>
  <c r="V47" i="16"/>
  <c r="V48" i="16"/>
  <c r="U48" i="16" s="1"/>
  <c r="W48" i="16" s="1"/>
  <c r="V49" i="16"/>
  <c r="U49" i="16" s="1"/>
  <c r="W49" i="16" s="1"/>
  <c r="V50" i="16"/>
  <c r="U50" i="16" s="1"/>
  <c r="W50" i="16"/>
  <c r="G2" i="13"/>
  <c r="H3" i="13"/>
  <c r="E4" i="13"/>
  <c r="G4" i="13"/>
  <c r="E5" i="13"/>
  <c r="I91" i="12" s="1"/>
  <c r="G5" i="13"/>
  <c r="E6" i="13"/>
  <c r="F4" i="17" s="1"/>
  <c r="G4" i="17" s="1"/>
  <c r="G6" i="13"/>
  <c r="E7" i="13"/>
  <c r="G7" i="13"/>
  <c r="E8" i="13"/>
  <c r="G8" i="13"/>
  <c r="E9" i="13"/>
  <c r="G9" i="13"/>
  <c r="E10" i="13"/>
  <c r="K13" i="9" s="1"/>
  <c r="G10" i="13"/>
  <c r="E11" i="13"/>
  <c r="I51" i="7" s="1"/>
  <c r="G11" i="13"/>
  <c r="E12" i="13"/>
  <c r="F10" i="17" s="1"/>
  <c r="G10" i="17" s="1"/>
  <c r="G12" i="13"/>
  <c r="E13" i="13"/>
  <c r="G13" i="13"/>
  <c r="E14" i="13"/>
  <c r="G14" i="13"/>
  <c r="E15" i="13"/>
  <c r="G15" i="13"/>
  <c r="H15" i="13"/>
  <c r="E16" i="13"/>
  <c r="G16" i="13"/>
  <c r="E17" i="13"/>
  <c r="G17" i="13"/>
  <c r="E18" i="13"/>
  <c r="F12" i="17" s="1"/>
  <c r="G12" i="17" s="1"/>
  <c r="G18" i="13"/>
  <c r="H18" i="13"/>
  <c r="E19" i="13"/>
  <c r="F13" i="17" s="1"/>
  <c r="G13" i="17" s="1"/>
  <c r="G19" i="13"/>
  <c r="E20" i="13"/>
  <c r="K1940" i="9" s="1"/>
  <c r="I1940" i="9" s="1"/>
  <c r="G20" i="13"/>
  <c r="E21" i="13"/>
  <c r="I24" i="7" s="1"/>
  <c r="G21" i="13"/>
  <c r="E22" i="13"/>
  <c r="G22" i="13"/>
  <c r="E23" i="13"/>
  <c r="F16" i="17" s="1"/>
  <c r="G16" i="17" s="1"/>
  <c r="G23" i="13"/>
  <c r="H23" i="13"/>
  <c r="E24" i="13"/>
  <c r="G24" i="13"/>
  <c r="E25" i="13"/>
  <c r="G25" i="13"/>
  <c r="E26" i="13"/>
  <c r="G26" i="13"/>
  <c r="E27" i="13"/>
  <c r="G27" i="13"/>
  <c r="E28" i="13"/>
  <c r="F20" i="17" s="1"/>
  <c r="G20" i="17" s="1"/>
  <c r="G28" i="13"/>
  <c r="E29" i="13"/>
  <c r="J247" i="5" s="1"/>
  <c r="G29" i="13"/>
  <c r="E30" i="13"/>
  <c r="G30" i="13"/>
  <c r="E31" i="13"/>
  <c r="F21" i="17" s="1"/>
  <c r="G21" i="17" s="1"/>
  <c r="G31" i="13"/>
  <c r="E32" i="13"/>
  <c r="F22" i="17" s="1"/>
  <c r="G22" i="17" s="1"/>
  <c r="G32" i="13"/>
  <c r="E33" i="13"/>
  <c r="J248" i="5" s="1"/>
  <c r="G33" i="13"/>
  <c r="E34" i="13"/>
  <c r="F23" i="17" s="1"/>
  <c r="G23" i="17" s="1"/>
  <c r="G34" i="13"/>
  <c r="E35" i="13"/>
  <c r="K2080" i="9" s="1"/>
  <c r="G35" i="13"/>
  <c r="E36" i="13"/>
  <c r="J231" i="5" s="1"/>
  <c r="G36" i="13"/>
  <c r="E37" i="13"/>
  <c r="I171" i="7" s="1"/>
  <c r="G37" i="13"/>
  <c r="H37" i="13"/>
  <c r="E38" i="13"/>
  <c r="K2172" i="9" s="1"/>
  <c r="I2172" i="9" s="1"/>
  <c r="G38" i="13"/>
  <c r="E39" i="13"/>
  <c r="J232" i="5" s="1"/>
  <c r="G39" i="13"/>
  <c r="E40" i="13"/>
  <c r="J250" i="5" s="1"/>
  <c r="G40" i="13"/>
  <c r="E41" i="13"/>
  <c r="J251" i="5" s="1"/>
  <c r="G41" i="13"/>
  <c r="E42" i="13"/>
  <c r="I167" i="12" s="1"/>
  <c r="E167" i="12" s="1"/>
  <c r="G42" i="13"/>
  <c r="H42" i="13"/>
  <c r="E43" i="13"/>
  <c r="I240" i="7" s="1"/>
  <c r="G43" i="13"/>
  <c r="E44" i="13"/>
  <c r="G44" i="13"/>
  <c r="E45" i="13"/>
  <c r="G45" i="13"/>
  <c r="H45" i="13"/>
  <c r="E46" i="13"/>
  <c r="I274" i="7" s="1"/>
  <c r="E274" i="7" s="1"/>
  <c r="G46" i="13"/>
  <c r="E47" i="13"/>
  <c r="J246" i="5" s="1"/>
  <c r="G47" i="13"/>
  <c r="E48" i="13"/>
  <c r="J249" i="5" s="1"/>
  <c r="G48" i="13"/>
  <c r="E49" i="13"/>
  <c r="J252" i="5" s="1"/>
  <c r="G49" i="13"/>
  <c r="I2" i="17"/>
  <c r="D19" i="1" s="1"/>
  <c r="J3" i="17"/>
  <c r="F5" i="17"/>
  <c r="G5" i="17" s="1"/>
  <c r="F6" i="17"/>
  <c r="G6" i="17" s="1"/>
  <c r="F9" i="17"/>
  <c r="G9" i="17" s="1"/>
  <c r="F11" i="17"/>
  <c r="G11" i="17" s="1"/>
  <c r="F17" i="17"/>
  <c r="G17" i="17" s="1"/>
  <c r="F19" i="17"/>
  <c r="G19" i="17" s="1"/>
  <c r="F29" i="17"/>
  <c r="G29" i="17" s="1"/>
  <c r="F31" i="17"/>
  <c r="G31" i="17" s="1"/>
  <c r="J2" i="11"/>
  <c r="L6" i="20" s="1"/>
  <c r="K3" i="11"/>
  <c r="J4" i="11"/>
  <c r="J5" i="11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N2" i="12"/>
  <c r="K28" i="11" s="1"/>
  <c r="Z4" i="12"/>
  <c r="N5" i="12"/>
  <c r="H7" i="12"/>
  <c r="J7" i="12"/>
  <c r="K7" i="12"/>
  <c r="E7" i="12" s="1"/>
  <c r="Z7" i="12"/>
  <c r="J8" i="12"/>
  <c r="L8" i="12"/>
  <c r="H9" i="12"/>
  <c r="L9" i="12"/>
  <c r="H10" i="12"/>
  <c r="L10" i="12"/>
  <c r="N12" i="12"/>
  <c r="H14" i="12"/>
  <c r="J14" i="12"/>
  <c r="K14" i="12"/>
  <c r="E14" i="12" s="1"/>
  <c r="J15" i="12"/>
  <c r="L15" i="12"/>
  <c r="H16" i="12"/>
  <c r="L16" i="12"/>
  <c r="H17" i="12"/>
  <c r="L17" i="12"/>
  <c r="N19" i="12"/>
  <c r="H21" i="12"/>
  <c r="J21" i="12"/>
  <c r="K21" i="12"/>
  <c r="E21" i="12" s="1"/>
  <c r="J22" i="12"/>
  <c r="L22" i="12"/>
  <c r="H23" i="12"/>
  <c r="L23" i="12"/>
  <c r="H24" i="12"/>
  <c r="L24" i="12"/>
  <c r="N26" i="12"/>
  <c r="H28" i="12"/>
  <c r="J28" i="12"/>
  <c r="K28" i="12"/>
  <c r="E28" i="12" s="1"/>
  <c r="Z28" i="12"/>
  <c r="J29" i="12"/>
  <c r="L29" i="12"/>
  <c r="H30" i="12"/>
  <c r="L30" i="12"/>
  <c r="H31" i="12"/>
  <c r="L31" i="12"/>
  <c r="Z31" i="12"/>
  <c r="N33" i="12"/>
  <c r="H35" i="12"/>
  <c r="J35" i="12"/>
  <c r="K35" i="12"/>
  <c r="E35" i="12" s="1"/>
  <c r="Z35" i="12"/>
  <c r="J36" i="12"/>
  <c r="L36" i="12"/>
  <c r="H37" i="12"/>
  <c r="L37" i="12"/>
  <c r="H38" i="12"/>
  <c r="L38" i="12"/>
  <c r="N40" i="12"/>
  <c r="H42" i="12"/>
  <c r="J42" i="12"/>
  <c r="K42" i="12"/>
  <c r="E42" i="12" s="1"/>
  <c r="Z42" i="12"/>
  <c r="J43" i="12"/>
  <c r="L43" i="12"/>
  <c r="H44" i="12"/>
  <c r="L44" i="12"/>
  <c r="H45" i="12"/>
  <c r="L45" i="12"/>
  <c r="N47" i="12"/>
  <c r="H49" i="12"/>
  <c r="J49" i="12"/>
  <c r="K49" i="12"/>
  <c r="E49" i="12" s="1"/>
  <c r="H50" i="12"/>
  <c r="J50" i="12"/>
  <c r="K50" i="12"/>
  <c r="E50" i="12" s="1"/>
  <c r="J51" i="12"/>
  <c r="L51" i="12"/>
  <c r="H52" i="12"/>
  <c r="L52" i="12"/>
  <c r="H53" i="12"/>
  <c r="L53" i="12"/>
  <c r="N55" i="12"/>
  <c r="H57" i="12"/>
  <c r="J57" i="12"/>
  <c r="K57" i="12"/>
  <c r="E57" i="12" s="1"/>
  <c r="Z57" i="12"/>
  <c r="J58" i="12"/>
  <c r="L58" i="12"/>
  <c r="H59" i="12"/>
  <c r="I59" i="12"/>
  <c r="L59" i="12"/>
  <c r="H60" i="12"/>
  <c r="L60" i="12"/>
  <c r="Z60" i="12"/>
  <c r="N62" i="12"/>
  <c r="H64" i="12"/>
  <c r="J64" i="12"/>
  <c r="K64" i="12"/>
  <c r="E64" i="12" s="1"/>
  <c r="J65" i="12"/>
  <c r="L65" i="12"/>
  <c r="H66" i="12"/>
  <c r="L66" i="12"/>
  <c r="H67" i="12"/>
  <c r="L67" i="12"/>
  <c r="N69" i="12"/>
  <c r="H71" i="12"/>
  <c r="J71" i="12"/>
  <c r="K71" i="12"/>
  <c r="E71" i="12" s="1"/>
  <c r="Z71" i="12"/>
  <c r="J72" i="12"/>
  <c r="L72" i="12"/>
  <c r="H73" i="12"/>
  <c r="I73" i="12"/>
  <c r="E73" i="12" s="1"/>
  <c r="L73" i="12"/>
  <c r="H74" i="12"/>
  <c r="L74" i="12"/>
  <c r="N76" i="12"/>
  <c r="H78" i="12"/>
  <c r="H79" i="12" s="1"/>
  <c r="F14" i="11" s="1"/>
  <c r="J78" i="12"/>
  <c r="J79" i="12" s="1"/>
  <c r="K78" i="12"/>
  <c r="E78" i="12" s="1"/>
  <c r="Z78" i="12"/>
  <c r="N80" i="12"/>
  <c r="H82" i="12"/>
  <c r="J82" i="12"/>
  <c r="K82" i="12"/>
  <c r="E82" i="12" s="1"/>
  <c r="Z82" i="12"/>
  <c r="J83" i="12"/>
  <c r="L83" i="12"/>
  <c r="H84" i="12"/>
  <c r="L84" i="12"/>
  <c r="H85" i="12"/>
  <c r="L85" i="12"/>
  <c r="N87" i="12"/>
  <c r="H89" i="12"/>
  <c r="J89" i="12"/>
  <c r="K89" i="12"/>
  <c r="E89" i="12" s="1"/>
  <c r="Z89" i="12"/>
  <c r="J90" i="12"/>
  <c r="L90" i="12"/>
  <c r="H91" i="12"/>
  <c r="L91" i="12"/>
  <c r="H92" i="12"/>
  <c r="L92" i="12"/>
  <c r="N94" i="12"/>
  <c r="H96" i="12"/>
  <c r="J96" i="12"/>
  <c r="K96" i="12"/>
  <c r="E96" i="12" s="1"/>
  <c r="Z96" i="12"/>
  <c r="J97" i="12"/>
  <c r="L97" i="12"/>
  <c r="H98" i="12"/>
  <c r="I98" i="12"/>
  <c r="E98" i="12" s="1"/>
  <c r="L98" i="12"/>
  <c r="Z98" i="12"/>
  <c r="H99" i="12"/>
  <c r="L99" i="12"/>
  <c r="N101" i="12"/>
  <c r="H103" i="12"/>
  <c r="J103" i="12"/>
  <c r="K103" i="12"/>
  <c r="E103" i="12" s="1"/>
  <c r="Z103" i="12"/>
  <c r="J104" i="12"/>
  <c r="L104" i="12"/>
  <c r="H105" i="12"/>
  <c r="I105" i="12"/>
  <c r="J105" i="12" s="1"/>
  <c r="F105" i="12" s="1"/>
  <c r="L105" i="12"/>
  <c r="E106" i="12"/>
  <c r="H106" i="12"/>
  <c r="J106" i="12"/>
  <c r="L106" i="12"/>
  <c r="N108" i="12"/>
  <c r="H110" i="12"/>
  <c r="J110" i="12"/>
  <c r="K110" i="12"/>
  <c r="E110" i="12" s="1"/>
  <c r="Z110" i="12"/>
  <c r="J111" i="12"/>
  <c r="L111" i="12"/>
  <c r="H112" i="12"/>
  <c r="I112" i="12"/>
  <c r="J112" i="12" s="1"/>
  <c r="L112" i="12"/>
  <c r="H113" i="12"/>
  <c r="L113" i="12"/>
  <c r="N115" i="12"/>
  <c r="H117" i="12"/>
  <c r="J117" i="12"/>
  <c r="K117" i="12"/>
  <c r="E117" i="12" s="1"/>
  <c r="L117" i="12"/>
  <c r="L121" i="12" s="1"/>
  <c r="H20" i="11" s="1"/>
  <c r="J118" i="12"/>
  <c r="L118" i="12"/>
  <c r="H119" i="12"/>
  <c r="L119" i="12"/>
  <c r="H120" i="12"/>
  <c r="L120" i="12"/>
  <c r="N122" i="12"/>
  <c r="H124" i="12"/>
  <c r="J124" i="12"/>
  <c r="K124" i="12"/>
  <c r="E124" i="12" s="1"/>
  <c r="Z124" i="12"/>
  <c r="H125" i="12"/>
  <c r="F21" i="11" s="1"/>
  <c r="G19" i="20" s="1"/>
  <c r="J125" i="12"/>
  <c r="G21" i="11" s="1"/>
  <c r="H19" i="20" s="1"/>
  <c r="N126" i="12"/>
  <c r="H128" i="12"/>
  <c r="J128" i="12"/>
  <c r="K128" i="12"/>
  <c r="E128" i="12" s="1"/>
  <c r="Z128" i="12"/>
  <c r="J129" i="12"/>
  <c r="L129" i="12"/>
  <c r="H130" i="12"/>
  <c r="L130" i="12"/>
  <c r="H131" i="12"/>
  <c r="L131" i="12"/>
  <c r="N133" i="12"/>
  <c r="H135" i="12"/>
  <c r="J135" i="12"/>
  <c r="K135" i="12"/>
  <c r="E135" i="12" s="1"/>
  <c r="Z135" i="12"/>
  <c r="H136" i="12"/>
  <c r="J136" i="12"/>
  <c r="K136" i="12"/>
  <c r="E136" i="12" s="1"/>
  <c r="Z136" i="12"/>
  <c r="J137" i="12"/>
  <c r="L137" i="12"/>
  <c r="H138" i="12"/>
  <c r="L138" i="12"/>
  <c r="H139" i="12"/>
  <c r="L139" i="12"/>
  <c r="N141" i="12"/>
  <c r="H143" i="12"/>
  <c r="J143" i="12"/>
  <c r="K143" i="12"/>
  <c r="E143" i="12" s="1"/>
  <c r="L143" i="12"/>
  <c r="L147" i="12" s="1"/>
  <c r="H24" i="11" s="1"/>
  <c r="Z143" i="12"/>
  <c r="J144" i="12"/>
  <c r="L144" i="12"/>
  <c r="H145" i="12"/>
  <c r="L145" i="12"/>
  <c r="H146" i="12"/>
  <c r="L146" i="12"/>
  <c r="N148" i="12"/>
  <c r="H150" i="12"/>
  <c r="J150" i="12"/>
  <c r="K150" i="12"/>
  <c r="E150" i="12" s="1"/>
  <c r="Z150" i="12"/>
  <c r="H151" i="12"/>
  <c r="J151" i="12"/>
  <c r="K151" i="12"/>
  <c r="E151" i="12" s="1"/>
  <c r="Z151" i="12"/>
  <c r="J152" i="12"/>
  <c r="L152" i="12"/>
  <c r="H153" i="12"/>
  <c r="L153" i="12"/>
  <c r="Z153" i="12"/>
  <c r="H154" i="12"/>
  <c r="L154" i="12"/>
  <c r="N156" i="12"/>
  <c r="H158" i="12"/>
  <c r="J158" i="12"/>
  <c r="K158" i="12"/>
  <c r="E158" i="12" s="1"/>
  <c r="Z158" i="12"/>
  <c r="J159" i="12"/>
  <c r="L159" i="12"/>
  <c r="H160" i="12"/>
  <c r="L160" i="12"/>
  <c r="H161" i="12"/>
  <c r="L161" i="12"/>
  <c r="Z161" i="12"/>
  <c r="N163" i="12"/>
  <c r="H165" i="12"/>
  <c r="J165" i="12"/>
  <c r="K165" i="12"/>
  <c r="E165" i="12" s="1"/>
  <c r="Z165" i="12"/>
  <c r="J166" i="12"/>
  <c r="L166" i="12"/>
  <c r="H167" i="12"/>
  <c r="L167" i="12"/>
  <c r="H168" i="12"/>
  <c r="L168" i="12"/>
  <c r="N170" i="12"/>
  <c r="H172" i="12"/>
  <c r="J172" i="12"/>
  <c r="K172" i="12"/>
  <c r="E172" i="12" s="1"/>
  <c r="Z172" i="12"/>
  <c r="J173" i="12"/>
  <c r="L173" i="12"/>
  <c r="H174" i="12"/>
  <c r="I174" i="12"/>
  <c r="E174" i="12" s="1"/>
  <c r="L174" i="12"/>
  <c r="Z174" i="12"/>
  <c r="H175" i="12"/>
  <c r="L175" i="12"/>
  <c r="H176" i="12"/>
  <c r="J176" i="12"/>
  <c r="K176" i="12"/>
  <c r="E176" i="12" s="1"/>
  <c r="Z176" i="12"/>
  <c r="K2" i="20"/>
  <c r="D22" i="1" s="1"/>
  <c r="L3" i="20"/>
  <c r="L7" i="20"/>
  <c r="L8" i="20"/>
  <c r="L12" i="20"/>
  <c r="L13" i="20"/>
  <c r="L17" i="20"/>
  <c r="L19" i="20"/>
  <c r="L23" i="20"/>
  <c r="L24" i="20"/>
  <c r="H2" i="4"/>
  <c r="Q3" i="4"/>
  <c r="Q4" i="4"/>
  <c r="Q8" i="4"/>
  <c r="Q12" i="4"/>
  <c r="Q16" i="4"/>
  <c r="Q20" i="4"/>
  <c r="Q24" i="4"/>
  <c r="Q28" i="4"/>
  <c r="E32" i="4"/>
  <c r="Q35" i="4"/>
  <c r="Q39" i="4"/>
  <c r="Q43" i="4"/>
  <c r="Q47" i="4"/>
  <c r="E49" i="4"/>
  <c r="F10" i="3" s="1"/>
  <c r="E50" i="4"/>
  <c r="F13" i="3" s="1"/>
  <c r="E51" i="4"/>
  <c r="F14" i="3" s="1"/>
  <c r="E52" i="4"/>
  <c r="F15" i="3" s="1"/>
  <c r="E53" i="4"/>
  <c r="F16" i="3" s="1"/>
  <c r="E54" i="4"/>
  <c r="F17" i="3" s="1"/>
  <c r="E56" i="4"/>
  <c r="F19" i="3" s="1"/>
  <c r="E57" i="4"/>
  <c r="F20" i="3" s="1"/>
  <c r="E58" i="4"/>
  <c r="F21" i="3" s="1"/>
  <c r="E60" i="4"/>
  <c r="E64" i="4"/>
  <c r="D66" i="4"/>
  <c r="D28" i="3" s="1"/>
  <c r="E66" i="4"/>
  <c r="F28" i="3" s="1"/>
  <c r="J66" i="4"/>
  <c r="L66" i="4"/>
  <c r="I2" i="10"/>
  <c r="D12" i="1" s="1"/>
  <c r="D6" i="10"/>
  <c r="G6" i="10" s="1"/>
  <c r="J6" i="10"/>
  <c r="D7" i="10"/>
  <c r="G7" i="10" s="1"/>
  <c r="G83" i="12" s="1"/>
  <c r="J7" i="10"/>
  <c r="D8" i="10"/>
  <c r="G8" i="10" s="1"/>
  <c r="G97" i="12" s="1"/>
  <c r="J8" i="10"/>
  <c r="F12" i="10"/>
  <c r="J12" i="10"/>
  <c r="F13" i="10"/>
  <c r="J13" i="10"/>
  <c r="F14" i="10"/>
  <c r="J14" i="10"/>
  <c r="F15" i="10"/>
  <c r="F16" i="10"/>
  <c r="F17" i="10"/>
  <c r="J91" i="12" l="1"/>
  <c r="I92" i="12" s="1"/>
  <c r="E91" i="12"/>
  <c r="J59" i="12"/>
  <c r="I60" i="12" s="1"/>
  <c r="J60" i="12" s="1"/>
  <c r="E59" i="12"/>
  <c r="J15" i="17"/>
  <c r="J7" i="17"/>
  <c r="Z9" i="12"/>
  <c r="Z24" i="12"/>
  <c r="Z44" i="12"/>
  <c r="Z53" i="12"/>
  <c r="Z59" i="12"/>
  <c r="Z92" i="12"/>
  <c r="Z120" i="12"/>
  <c r="H16" i="7"/>
  <c r="F16" i="7" s="1"/>
  <c r="E16" i="7"/>
  <c r="J17" i="10"/>
  <c r="J15" i="10"/>
  <c r="Z106" i="12"/>
  <c r="H43" i="13"/>
  <c r="H26" i="13"/>
  <c r="H143" i="5"/>
  <c r="I143" i="5" s="1"/>
  <c r="H66" i="5"/>
  <c r="I66" i="5" s="1"/>
  <c r="H225" i="5"/>
  <c r="I225" i="5" s="1"/>
  <c r="I218" i="5" s="1"/>
  <c r="E45" i="4" s="1"/>
  <c r="AG3232" i="9"/>
  <c r="B3232" i="9" s="1"/>
  <c r="B3230" i="9"/>
  <c r="AB2788" i="9"/>
  <c r="AD2788" i="9"/>
  <c r="B2788" i="9" s="1"/>
  <c r="AD1621" i="9"/>
  <c r="AD1637" i="9" s="1"/>
  <c r="Z1621" i="9"/>
  <c r="L16" i="20"/>
  <c r="L11" i="20"/>
  <c r="L5" i="20"/>
  <c r="I153" i="12"/>
  <c r="E153" i="12" s="1"/>
  <c r="Z131" i="12"/>
  <c r="I130" i="12"/>
  <c r="J130" i="12" s="1"/>
  <c r="I131" i="12" s="1"/>
  <c r="E131" i="12" s="1"/>
  <c r="Z105" i="12"/>
  <c r="Z73" i="12"/>
  <c r="J16" i="10"/>
  <c r="Q48" i="4"/>
  <c r="Q44" i="4"/>
  <c r="Q40" i="4"/>
  <c r="Q36" i="4"/>
  <c r="Q32" i="4"/>
  <c r="Q29" i="4"/>
  <c r="Q25" i="4"/>
  <c r="Q21" i="4"/>
  <c r="Q17" i="4"/>
  <c r="Q13" i="4"/>
  <c r="Q9" i="4"/>
  <c r="Q5" i="4"/>
  <c r="L25" i="20"/>
  <c r="L20" i="20"/>
  <c r="L15" i="20"/>
  <c r="L9" i="20"/>
  <c r="L4" i="20"/>
  <c r="Z160" i="12"/>
  <c r="Z146" i="12"/>
  <c r="I145" i="12"/>
  <c r="E145" i="12" s="1"/>
  <c r="Z138" i="12"/>
  <c r="Z84" i="12"/>
  <c r="Z74" i="12"/>
  <c r="Z66" i="12"/>
  <c r="Z52" i="12"/>
  <c r="Z45" i="12"/>
  <c r="Z38" i="12"/>
  <c r="Z30" i="12"/>
  <c r="Z23" i="12"/>
  <c r="Z10" i="12"/>
  <c r="J29" i="17"/>
  <c r="J20" i="17"/>
  <c r="F14" i="17"/>
  <c r="G14" i="17" s="1"/>
  <c r="F8" i="17"/>
  <c r="G8" i="17" s="1"/>
  <c r="H39" i="13"/>
  <c r="H34" i="13"/>
  <c r="H31" i="13"/>
  <c r="H17" i="13"/>
  <c r="H14" i="13"/>
  <c r="E173" i="7"/>
  <c r="F172" i="7"/>
  <c r="H63" i="5"/>
  <c r="I63" i="5" s="1"/>
  <c r="H140" i="5"/>
  <c r="I140" i="5" s="1"/>
  <c r="H221" i="5"/>
  <c r="I221" i="5" s="1"/>
  <c r="B2572" i="9"/>
  <c r="AH2576" i="9"/>
  <c r="D1953" i="9"/>
  <c r="AA914" i="9"/>
  <c r="AE958" i="9"/>
  <c r="AA958" i="9"/>
  <c r="H62" i="5"/>
  <c r="I62" i="5" s="1"/>
  <c r="H220" i="5"/>
  <c r="I220" i="5" s="1"/>
  <c r="AD2981" i="9"/>
  <c r="AD2961" i="9"/>
  <c r="Z1440" i="9"/>
  <c r="B1438" i="9"/>
  <c r="AD926" i="9"/>
  <c r="B900" i="9"/>
  <c r="B750" i="9"/>
  <c r="AF758" i="9"/>
  <c r="Z664" i="9"/>
  <c r="AD664" i="9"/>
  <c r="H664" i="9" s="1"/>
  <c r="E52" i="9"/>
  <c r="E54" i="9" s="1"/>
  <c r="D52" i="9"/>
  <c r="D54" i="9" s="1"/>
  <c r="F17" i="21"/>
  <c r="O17" i="21"/>
  <c r="K17" i="21"/>
  <c r="I30" i="12"/>
  <c r="E30" i="12" s="1"/>
  <c r="I66" i="12"/>
  <c r="E66" i="12" s="1"/>
  <c r="I119" i="12"/>
  <c r="E119" i="12" s="1"/>
  <c r="D18" i="1"/>
  <c r="H6" i="13"/>
  <c r="H9" i="13"/>
  <c r="H19" i="13"/>
  <c r="H22" i="13"/>
  <c r="H25" i="13"/>
  <c r="H35" i="13"/>
  <c r="H38" i="13"/>
  <c r="H41" i="13"/>
  <c r="H64" i="5"/>
  <c r="I64" i="5" s="1"/>
  <c r="H141" i="5"/>
  <c r="I141" i="5" s="1"/>
  <c r="H222" i="5"/>
  <c r="I222" i="5" s="1"/>
  <c r="Q46" i="4"/>
  <c r="Q42" i="4"/>
  <c r="Q38" i="4"/>
  <c r="Q34" i="4"/>
  <c r="Q31" i="4"/>
  <c r="Q27" i="4"/>
  <c r="Q23" i="4"/>
  <c r="Q19" i="4"/>
  <c r="Q15" i="4"/>
  <c r="Q11" i="4"/>
  <c r="Q7" i="4"/>
  <c r="Z167" i="12"/>
  <c r="Z154" i="12"/>
  <c r="I138" i="12"/>
  <c r="E138" i="12" s="1"/>
  <c r="Z91" i="12"/>
  <c r="I84" i="12"/>
  <c r="E84" i="12" s="1"/>
  <c r="K24" i="11"/>
  <c r="K21" i="11"/>
  <c r="F25" i="17"/>
  <c r="G25" i="17" s="1"/>
  <c r="J18" i="17"/>
  <c r="J10" i="17"/>
  <c r="H49" i="13"/>
  <c r="H46" i="13"/>
  <c r="H29" i="13"/>
  <c r="H21" i="13"/>
  <c r="H7" i="13"/>
  <c r="E286" i="7"/>
  <c r="H286" i="7"/>
  <c r="B2985" i="9"/>
  <c r="Z2993" i="9"/>
  <c r="B1398" i="9"/>
  <c r="Z1400" i="9"/>
  <c r="Q45" i="4"/>
  <c r="Q41" i="4"/>
  <c r="Q37" i="4"/>
  <c r="Q33" i="4"/>
  <c r="Q30" i="4"/>
  <c r="Q26" i="4"/>
  <c r="Q22" i="4"/>
  <c r="Q18" i="4"/>
  <c r="Q14" i="4"/>
  <c r="Q10" i="4"/>
  <c r="L21" i="20"/>
  <c r="E105" i="12"/>
  <c r="Z37" i="12"/>
  <c r="Z16" i="12"/>
  <c r="J24" i="17"/>
  <c r="J4" i="17"/>
  <c r="H47" i="13"/>
  <c r="H33" i="13"/>
  <c r="H30" i="13"/>
  <c r="H27" i="13"/>
  <c r="H13" i="13"/>
  <c r="H10" i="13"/>
  <c r="H5" i="13"/>
  <c r="G196" i="7"/>
  <c r="H196" i="7" s="1"/>
  <c r="H139" i="5"/>
  <c r="I139" i="5" s="1"/>
  <c r="H61" i="5"/>
  <c r="I61" i="5" s="1"/>
  <c r="H138" i="5"/>
  <c r="I138" i="5" s="1"/>
  <c r="I137" i="5" s="1"/>
  <c r="E31" i="4" s="1"/>
  <c r="H219" i="5"/>
  <c r="I219" i="5" s="1"/>
  <c r="K5" i="8"/>
  <c r="K7" i="8"/>
  <c r="K9" i="8"/>
  <c r="K12" i="8"/>
  <c r="K14" i="8"/>
  <c r="K16" i="8"/>
  <c r="K18" i="8"/>
  <c r="K21" i="8"/>
  <c r="K23" i="8"/>
  <c r="K24" i="8"/>
  <c r="K25" i="8"/>
  <c r="K26" i="8"/>
  <c r="K27" i="8"/>
  <c r="K29" i="8"/>
  <c r="K31" i="8"/>
  <c r="K33" i="8"/>
  <c r="K34" i="8"/>
  <c r="K36" i="8"/>
  <c r="K39" i="8"/>
  <c r="K41" i="8"/>
  <c r="K43" i="8"/>
  <c r="K45" i="8"/>
  <c r="K47" i="8"/>
  <c r="K49" i="8"/>
  <c r="K11" i="8"/>
  <c r="K13" i="8"/>
  <c r="K15" i="8"/>
  <c r="K17" i="8"/>
  <c r="K19" i="8"/>
  <c r="K20" i="8"/>
  <c r="K22" i="8"/>
  <c r="K28" i="8"/>
  <c r="K30" i="8"/>
  <c r="K32" i="8"/>
  <c r="K35" i="8"/>
  <c r="K37" i="8"/>
  <c r="K38" i="8"/>
  <c r="K40" i="8"/>
  <c r="K42" i="8"/>
  <c r="K44" i="8"/>
  <c r="K46" i="8"/>
  <c r="K48" i="8"/>
  <c r="Z14" i="12"/>
  <c r="Z21" i="12"/>
  <c r="Z49" i="12"/>
  <c r="Z50" i="12"/>
  <c r="Z64" i="12"/>
  <c r="Z117" i="12"/>
  <c r="Y980" i="9"/>
  <c r="Y2224" i="9"/>
  <c r="AD1806" i="9"/>
  <c r="AD1563" i="9"/>
  <c r="AL718" i="9"/>
  <c r="AL576" i="9"/>
  <c r="AB552" i="9"/>
  <c r="F27" i="7"/>
  <c r="AC183" i="5"/>
  <c r="J143" i="5"/>
  <c r="AC95" i="5"/>
  <c r="AA3017" i="9"/>
  <c r="AE2985" i="9"/>
  <c r="AD2718" i="9"/>
  <c r="B2718" i="9" s="1"/>
  <c r="AD2706" i="9"/>
  <c r="D1991" i="9"/>
  <c r="AL758" i="9"/>
  <c r="F106" i="12"/>
  <c r="Z98" i="7"/>
  <c r="K22" i="6"/>
  <c r="J225" i="5"/>
  <c r="K225" i="5" s="1"/>
  <c r="AG1826" i="9"/>
  <c r="B1826" i="9" s="1"/>
  <c r="AD1633" i="9"/>
  <c r="AG1436" i="9"/>
  <c r="Z1225" i="9"/>
  <c r="AL552" i="9"/>
  <c r="AC556" i="9" s="1"/>
  <c r="H556" i="9" s="1"/>
  <c r="B404" i="9"/>
  <c r="D171" i="9"/>
  <c r="D172" i="9" s="1"/>
  <c r="D30" i="9"/>
  <c r="F112" i="12"/>
  <c r="I113" i="12"/>
  <c r="E113" i="12" s="1"/>
  <c r="F117" i="12"/>
  <c r="E112" i="12"/>
  <c r="J73" i="12"/>
  <c r="L50" i="12"/>
  <c r="F50" i="12" s="1"/>
  <c r="L42" i="12"/>
  <c r="L28" i="12"/>
  <c r="I23" i="12"/>
  <c r="I16" i="12"/>
  <c r="E16" i="12" s="1"/>
  <c r="I9" i="12"/>
  <c r="J30" i="17"/>
  <c r="J26" i="17"/>
  <c r="G278" i="7"/>
  <c r="H278" i="7" s="1"/>
  <c r="H40" i="7"/>
  <c r="E40" i="7"/>
  <c r="F26" i="7"/>
  <c r="H25" i="7"/>
  <c r="E25" i="7"/>
  <c r="Z3201" i="9"/>
  <c r="AG3201" i="9"/>
  <c r="B3201" i="9" s="1"/>
  <c r="AC914" i="9"/>
  <c r="AS914" i="9"/>
  <c r="B914" i="9" s="1"/>
  <c r="AL514" i="9"/>
  <c r="AB514" i="9"/>
  <c r="F20" i="21"/>
  <c r="L20" i="21"/>
  <c r="L172" i="12"/>
  <c r="L96" i="12"/>
  <c r="L82" i="12"/>
  <c r="L86" i="12" s="1"/>
  <c r="H15" i="11" s="1"/>
  <c r="K19" i="7" s="1"/>
  <c r="L19" i="7" s="1"/>
  <c r="L20" i="7" s="1"/>
  <c r="H5" i="6" s="1"/>
  <c r="L78" i="12"/>
  <c r="L79" i="12" s="1"/>
  <c r="H14" i="11" s="1"/>
  <c r="L1422" i="9" s="1"/>
  <c r="I1422" i="9" s="1"/>
  <c r="L64" i="12"/>
  <c r="L68" i="12" s="1"/>
  <c r="H12" i="11" s="1"/>
  <c r="I12" i="20" s="1"/>
  <c r="L14" i="12"/>
  <c r="I232" i="7"/>
  <c r="J232" i="7" s="1"/>
  <c r="F30" i="17"/>
  <c r="G30" i="17" s="1"/>
  <c r="J6" i="17"/>
  <c r="J11" i="17"/>
  <c r="J14" i="17"/>
  <c r="J19" i="17"/>
  <c r="J22" i="17"/>
  <c r="J27" i="17"/>
  <c r="J31" i="17"/>
  <c r="J5" i="17"/>
  <c r="J8" i="17"/>
  <c r="J13" i="17"/>
  <c r="J17" i="17"/>
  <c r="J21" i="17"/>
  <c r="J25" i="17"/>
  <c r="J28" i="17"/>
  <c r="F173" i="7"/>
  <c r="L41" i="7"/>
  <c r="H8" i="6" s="1"/>
  <c r="L168" i="5" s="1"/>
  <c r="M168" i="5" s="1"/>
  <c r="J139" i="5"/>
  <c r="J220" i="5"/>
  <c r="J64" i="5"/>
  <c r="K64" i="5" s="1"/>
  <c r="J222" i="5"/>
  <c r="J63" i="5"/>
  <c r="J140" i="5"/>
  <c r="K140" i="5" s="1"/>
  <c r="J221" i="5"/>
  <c r="K221" i="5" s="1"/>
  <c r="J61" i="5"/>
  <c r="K61" i="5" s="1"/>
  <c r="J138" i="5"/>
  <c r="K138" i="5" s="1"/>
  <c r="J219" i="5"/>
  <c r="K219" i="5" s="1"/>
  <c r="H28" i="5"/>
  <c r="I28" i="5" s="1"/>
  <c r="G28" i="5" s="1"/>
  <c r="H187" i="5"/>
  <c r="I187" i="5" s="1"/>
  <c r="H107" i="5"/>
  <c r="I107" i="5" s="1"/>
  <c r="AC14" i="5"/>
  <c r="AC62" i="5"/>
  <c r="AC93" i="5"/>
  <c r="AC98" i="5"/>
  <c r="AC103" i="5"/>
  <c r="AC110" i="5"/>
  <c r="AC115" i="5"/>
  <c r="AC139" i="5"/>
  <c r="AC141" i="5"/>
  <c r="AC143" i="5"/>
  <c r="AC175" i="5"/>
  <c r="AC180" i="5"/>
  <c r="AC187" i="5"/>
  <c r="AC191" i="5"/>
  <c r="AC196" i="5"/>
  <c r="AC19" i="5"/>
  <c r="AC61" i="5"/>
  <c r="AC94" i="5"/>
  <c r="AC99" i="5"/>
  <c r="AC104" i="5"/>
  <c r="AC107" i="5"/>
  <c r="AC111" i="5"/>
  <c r="AC116" i="5"/>
  <c r="AC138" i="5"/>
  <c r="AC140" i="5"/>
  <c r="AC142" i="5"/>
  <c r="AC29" i="5"/>
  <c r="AC109" i="5"/>
  <c r="AC178" i="5"/>
  <c r="AC184" i="5"/>
  <c r="AC188" i="5"/>
  <c r="AC194" i="5"/>
  <c r="AC219" i="5"/>
  <c r="Z53" i="7"/>
  <c r="Z93" i="7"/>
  <c r="Z100" i="7"/>
  <c r="Z114" i="7"/>
  <c r="Z129" i="7"/>
  <c r="Z137" i="7"/>
  <c r="Z140" i="7"/>
  <c r="Z147" i="7"/>
  <c r="Z156" i="7"/>
  <c r="Z191" i="7"/>
  <c r="Z215" i="7"/>
  <c r="Z226" i="7"/>
  <c r="Z244" i="7"/>
  <c r="Z247" i="7"/>
  <c r="Z256" i="7"/>
  <c r="Z266" i="7"/>
  <c r="AC64" i="5"/>
  <c r="AC66" i="5"/>
  <c r="AC100" i="5"/>
  <c r="AC173" i="5"/>
  <c r="AC179" i="5"/>
  <c r="AC189" i="5"/>
  <c r="AC195" i="5"/>
  <c r="AC224" i="5"/>
  <c r="AC225" i="5"/>
  <c r="Z94" i="7"/>
  <c r="Z101" i="7"/>
  <c r="Z115" i="7"/>
  <c r="Z120" i="7"/>
  <c r="Z125" i="7"/>
  <c r="Z138" i="7"/>
  <c r="Z148" i="7"/>
  <c r="Z157" i="7"/>
  <c r="Z163" i="7"/>
  <c r="Z174" i="7"/>
  <c r="Z184" i="7"/>
  <c r="Z192" i="7"/>
  <c r="Z195" i="7"/>
  <c r="Z202" i="7"/>
  <c r="Z248" i="7"/>
  <c r="Z253" i="7"/>
  <c r="Z257" i="7"/>
  <c r="Z263" i="7"/>
  <c r="Z267" i="7"/>
  <c r="Z285" i="7"/>
  <c r="AC63" i="5"/>
  <c r="AC114" i="5"/>
  <c r="AC174" i="5"/>
  <c r="AC190" i="5"/>
  <c r="AC222" i="5"/>
  <c r="AC223" i="5"/>
  <c r="Z106" i="7"/>
  <c r="Z121" i="7"/>
  <c r="Z127" i="7"/>
  <c r="Z149" i="7"/>
  <c r="AI3234" i="9"/>
  <c r="AE3246" i="9" s="1"/>
  <c r="AA2600" i="9"/>
  <c r="AK2632" i="9"/>
  <c r="AK2600" i="9"/>
  <c r="AA2632" i="9"/>
  <c r="AE2632" i="9"/>
  <c r="AE2600" i="9"/>
  <c r="I15" i="7"/>
  <c r="F15" i="17"/>
  <c r="G15" i="17" s="1"/>
  <c r="K15" i="9"/>
  <c r="I15" i="9" s="1"/>
  <c r="F7" i="17"/>
  <c r="G7" i="17" s="1"/>
  <c r="G112" i="7"/>
  <c r="H112" i="7" s="1"/>
  <c r="G141" i="7"/>
  <c r="H141" i="7" s="1"/>
  <c r="G102" i="7"/>
  <c r="H102" i="7" s="1"/>
  <c r="G126" i="7"/>
  <c r="H126" i="7" s="1"/>
  <c r="Z3013" i="9"/>
  <c r="AG3013" i="9"/>
  <c r="B3013" i="9" s="1"/>
  <c r="E1502" i="9"/>
  <c r="F1502" i="9"/>
  <c r="F1505" i="9" s="1"/>
  <c r="F172" i="12"/>
  <c r="L165" i="12"/>
  <c r="L169" i="12" s="1"/>
  <c r="H27" i="11" s="1"/>
  <c r="I160" i="12"/>
  <c r="L151" i="12"/>
  <c r="F151" i="12" s="1"/>
  <c r="Z145" i="12"/>
  <c r="Z139" i="12"/>
  <c r="L135" i="12"/>
  <c r="F135" i="12" s="1"/>
  <c r="Z130" i="12"/>
  <c r="Z119" i="12"/>
  <c r="Z113" i="12"/>
  <c r="Z112" i="12"/>
  <c r="Z99" i="12"/>
  <c r="Z85" i="12"/>
  <c r="Z67" i="12"/>
  <c r="I52" i="12"/>
  <c r="E52" i="12" s="1"/>
  <c r="I44" i="12"/>
  <c r="E44" i="12" s="1"/>
  <c r="I37" i="12"/>
  <c r="Z17" i="12"/>
  <c r="K23" i="11"/>
  <c r="K25" i="11"/>
  <c r="K27" i="11"/>
  <c r="K26" i="11"/>
  <c r="F27" i="17"/>
  <c r="G27" i="17" s="1"/>
  <c r="J23" i="17"/>
  <c r="J16" i="17"/>
  <c r="J12" i="17"/>
  <c r="J9" i="17"/>
  <c r="G249" i="7"/>
  <c r="H249" i="7" s="1"/>
  <c r="E220" i="7"/>
  <c r="H45" i="7"/>
  <c r="F45" i="7" s="1"/>
  <c r="E45" i="7"/>
  <c r="H32" i="7"/>
  <c r="H33" i="7" s="1"/>
  <c r="F7" i="6" s="1"/>
  <c r="G54" i="7" s="1"/>
  <c r="H54" i="7" s="1"/>
  <c r="E32" i="7"/>
  <c r="B3017" i="9"/>
  <c r="Z3025" i="9"/>
  <c r="Z2391" i="9"/>
  <c r="AD2391" i="9"/>
  <c r="F2152" i="9"/>
  <c r="E2152" i="9"/>
  <c r="F68" i="7"/>
  <c r="H39" i="7"/>
  <c r="L11" i="7"/>
  <c r="H4" i="6" s="1"/>
  <c r="K30" i="6"/>
  <c r="J187" i="5"/>
  <c r="AD3027" i="9"/>
  <c r="AG2981" i="9"/>
  <c r="B2981" i="9" s="1"/>
  <c r="AD2794" i="9"/>
  <c r="B2624" i="9"/>
  <c r="AG2628" i="9"/>
  <c r="AB2630" i="9" s="1"/>
  <c r="Z2628" i="9"/>
  <c r="AG2493" i="9"/>
  <c r="AI2495" i="9" s="1"/>
  <c r="AH2503" i="9" s="1"/>
  <c r="AJ2507" i="9" s="1"/>
  <c r="AD2493" i="9"/>
  <c r="Z2321" i="9"/>
  <c r="AD2321" i="9"/>
  <c r="B1081" i="9"/>
  <c r="Z1087" i="9"/>
  <c r="AB1099" i="9"/>
  <c r="F286" i="7"/>
  <c r="F40" i="7"/>
  <c r="F25" i="7"/>
  <c r="AH3176" i="9"/>
  <c r="B3170" i="9"/>
  <c r="AC3110" i="9"/>
  <c r="AE3110" i="9"/>
  <c r="H3110" i="9" s="1"/>
  <c r="AE3114" i="9"/>
  <c r="H3114" i="9" s="1"/>
  <c r="D3098" i="9"/>
  <c r="AB2961" i="9"/>
  <c r="AL2961" i="9"/>
  <c r="Z2878" i="9"/>
  <c r="AG2878" i="9"/>
  <c r="AB2892" i="9"/>
  <c r="B2852" i="9"/>
  <c r="AH2856" i="9"/>
  <c r="AB2524" i="9"/>
  <c r="AL2524" i="9"/>
  <c r="AA2526" i="9" s="1"/>
  <c r="D2080" i="9"/>
  <c r="F2080" i="9"/>
  <c r="AL1701" i="9"/>
  <c r="AD1701" i="9"/>
  <c r="AM1402" i="9"/>
  <c r="AI1442" i="9"/>
  <c r="AI1402" i="9"/>
  <c r="AM1442" i="9"/>
  <c r="AF185" i="9"/>
  <c r="B180" i="9"/>
  <c r="H16" i="21"/>
  <c r="P16" i="21"/>
  <c r="F235" i="7"/>
  <c r="F220" i="7"/>
  <c r="F89" i="7"/>
  <c r="F61" i="7"/>
  <c r="L63" i="7"/>
  <c r="H11" i="6" s="1"/>
  <c r="F10" i="7"/>
  <c r="G253" i="5"/>
  <c r="H65" i="5"/>
  <c r="I65" i="5" s="1"/>
  <c r="I60" i="5" s="1"/>
  <c r="E17" i="4" s="1"/>
  <c r="H142" i="5"/>
  <c r="I142" i="5" s="1"/>
  <c r="Z3232" i="9"/>
  <c r="AB3242" i="9"/>
  <c r="AL3176" i="9"/>
  <c r="AA3180" i="9" s="1"/>
  <c r="AE3112" i="9"/>
  <c r="H3112" i="9" s="1"/>
  <c r="AL2856" i="9"/>
  <c r="AA2858" i="9" s="1"/>
  <c r="AB2794" i="9"/>
  <c r="B2596" i="9"/>
  <c r="AB2598" i="9"/>
  <c r="E2224" i="9"/>
  <c r="E2226" i="9" s="1"/>
  <c r="D2224" i="9"/>
  <c r="D2226" i="9" s="1"/>
  <c r="F2161" i="9"/>
  <c r="E2161" i="9"/>
  <c r="D2093" i="9"/>
  <c r="F2093" i="9"/>
  <c r="E2093" i="9"/>
  <c r="Z1838" i="9"/>
  <c r="B1830" i="9"/>
  <c r="AS1402" i="9"/>
  <c r="B1402" i="9" s="1"/>
  <c r="Z1089" i="9"/>
  <c r="AJ1066" i="9"/>
  <c r="AD380" i="9"/>
  <c r="AD400" i="9"/>
  <c r="AG400" i="9"/>
  <c r="B400" i="9" s="1"/>
  <c r="AL81" i="9"/>
  <c r="AB81" i="9"/>
  <c r="D67" i="9"/>
  <c r="E67" i="9"/>
  <c r="AE2882" i="9"/>
  <c r="AD2776" i="9"/>
  <c r="B2776" i="9" s="1"/>
  <c r="AB2724" i="9"/>
  <c r="Z2718" i="9"/>
  <c r="AD2628" i="9"/>
  <c r="AL2576" i="9"/>
  <c r="AA2580" i="9" s="1"/>
  <c r="AD2507" i="9"/>
  <c r="Z1551" i="9"/>
  <c r="AD1551" i="9"/>
  <c r="Z1290" i="9"/>
  <c r="AB1308" i="9"/>
  <c r="AD1170" i="9"/>
  <c r="AL1170" i="9"/>
  <c r="AL1042" i="9"/>
  <c r="AA1048" i="9" s="1"/>
  <c r="AL851" i="9"/>
  <c r="AF851" i="9"/>
  <c r="AL795" i="9"/>
  <c r="AD795" i="9"/>
  <c r="AB718" i="9"/>
  <c r="B591" i="9"/>
  <c r="Z597" i="9"/>
  <c r="AA476" i="9"/>
  <c r="AL266" i="9"/>
  <c r="AL121" i="9"/>
  <c r="E43" i="9"/>
  <c r="F43" i="9"/>
  <c r="D13" i="9"/>
  <c r="F13" i="9"/>
  <c r="D17" i="1"/>
  <c r="Y1490" i="9"/>
  <c r="Y2051" i="9"/>
  <c r="AE1727" i="9"/>
  <c r="AK1727" i="9"/>
  <c r="AB1733" i="9" s="1"/>
  <c r="B1621" i="9"/>
  <c r="Z1637" i="9"/>
  <c r="AS1336" i="9"/>
  <c r="B1336" i="9" s="1"/>
  <c r="B1286" i="9"/>
  <c r="AA1296" i="9"/>
  <c r="AE1296" i="9"/>
  <c r="AA1336" i="9"/>
  <c r="AA1219" i="9"/>
  <c r="AS1219" i="9"/>
  <c r="B1219" i="9" s="1"/>
  <c r="AG954" i="9"/>
  <c r="AI958" i="9"/>
  <c r="AI914" i="9"/>
  <c r="C866" i="9"/>
  <c r="B846" i="9"/>
  <c r="Z599" i="9"/>
  <c r="AJ576" i="9"/>
  <c r="AH226" i="9"/>
  <c r="F2113" i="9"/>
  <c r="E2113" i="9"/>
  <c r="AL1806" i="9"/>
  <c r="AA1810" i="9" s="1"/>
  <c r="AF1806" i="9"/>
  <c r="AA1830" i="9"/>
  <c r="AE1862" i="9"/>
  <c r="AE1830" i="9"/>
  <c r="AK1862" i="9"/>
  <c r="B1563" i="9"/>
  <c r="AB1569" i="9"/>
  <c r="Z1294" i="9"/>
  <c r="B1292" i="9"/>
  <c r="B1058" i="9"/>
  <c r="AL1066" i="9"/>
  <c r="B576" i="9"/>
  <c r="AC580" i="9"/>
  <c r="H580" i="9" s="1"/>
  <c r="AC554" i="9"/>
  <c r="H554" i="9" s="1"/>
  <c r="AC558" i="9"/>
  <c r="H558" i="9" s="1"/>
  <c r="E558" i="9" s="1"/>
  <c r="AA474" i="9"/>
  <c r="AC476" i="9"/>
  <c r="H476" i="9" s="1"/>
  <c r="AC474" i="9"/>
  <c r="H474" i="9" s="1"/>
  <c r="AG1858" i="9"/>
  <c r="B1858" i="9" s="1"/>
  <c r="AG1396" i="9"/>
  <c r="B1396" i="9" s="1"/>
  <c r="AB1348" i="9"/>
  <c r="AM1336" i="9"/>
  <c r="AG1330" i="9"/>
  <c r="B1330" i="9" s="1"/>
  <c r="AS958" i="9"/>
  <c r="AD837" i="9"/>
  <c r="H837" i="9" s="1"/>
  <c r="AD2403" i="9"/>
  <c r="B2403" i="9" s="1"/>
  <c r="AD2333" i="9"/>
  <c r="AS1442" i="9"/>
  <c r="AG1290" i="9"/>
  <c r="AG910" i="9"/>
  <c r="AL380" i="9"/>
  <c r="AE384" i="9" s="1"/>
  <c r="H384" i="9" s="1"/>
  <c r="AL185" i="9"/>
  <c r="E30" i="9"/>
  <c r="J8" i="21"/>
  <c r="I8" i="21"/>
  <c r="X8" i="21"/>
  <c r="X18" i="21"/>
  <c r="H18" i="21"/>
  <c r="L18" i="21"/>
  <c r="P18" i="21"/>
  <c r="L26" i="20"/>
  <c r="L22" i="20"/>
  <c r="L18" i="20"/>
  <c r="L14" i="20"/>
  <c r="L10" i="20"/>
  <c r="H48" i="13"/>
  <c r="H44" i="13"/>
  <c r="H40" i="13"/>
  <c r="H36" i="13"/>
  <c r="H32" i="13"/>
  <c r="H28" i="13"/>
  <c r="H24" i="13"/>
  <c r="H20" i="13"/>
  <c r="H16" i="13"/>
  <c r="H12" i="13"/>
  <c r="H8" i="13"/>
  <c r="H4" i="13"/>
  <c r="Z249" i="7"/>
  <c r="Z201" i="7"/>
  <c r="Z196" i="7"/>
  <c r="Z178" i="7"/>
  <c r="Z146" i="7"/>
  <c r="Z141" i="7"/>
  <c r="Z126" i="7"/>
  <c r="Z122" i="7"/>
  <c r="Z99" i="7"/>
  <c r="Z62" i="7"/>
  <c r="Z61" i="7"/>
  <c r="Z17" i="7"/>
  <c r="Z16" i="7"/>
  <c r="K36" i="6"/>
  <c r="K28" i="6"/>
  <c r="K20" i="6"/>
  <c r="K12" i="6"/>
  <c r="K4" i="6"/>
  <c r="AC36" i="5"/>
  <c r="Y2152" i="9"/>
  <c r="J7" i="18"/>
  <c r="P20" i="21"/>
  <c r="X16" i="21"/>
  <c r="I68" i="5"/>
  <c r="E18" i="4" s="1"/>
  <c r="D16" i="1"/>
  <c r="K32" i="6"/>
  <c r="K24" i="6"/>
  <c r="K16" i="6"/>
  <c r="K8" i="6"/>
  <c r="I245" i="5"/>
  <c r="E47" i="4" s="1"/>
  <c r="M227" i="5"/>
  <c r="G46" i="4" s="1"/>
  <c r="AC212" i="5"/>
  <c r="M145" i="5"/>
  <c r="G32" i="4" s="1"/>
  <c r="M68" i="5"/>
  <c r="G18" i="4" s="1"/>
  <c r="Y2150" i="9"/>
  <c r="Y2091" i="9"/>
  <c r="Y1991" i="9"/>
  <c r="Y1953" i="9"/>
  <c r="Y1502" i="9"/>
  <c r="J11" i="18"/>
  <c r="J6" i="18"/>
  <c r="J4" i="19"/>
  <c r="J20" i="21"/>
  <c r="K34" i="6"/>
  <c r="K26" i="6"/>
  <c r="K18" i="6"/>
  <c r="M245" i="5"/>
  <c r="G47" i="4" s="1"/>
  <c r="I227" i="5"/>
  <c r="E46" i="4" s="1"/>
  <c r="Y2232" i="9"/>
  <c r="Y2163" i="9"/>
  <c r="Y2111" i="9"/>
  <c r="Y2093" i="9"/>
  <c r="Y1989" i="9"/>
  <c r="Y1951" i="9"/>
  <c r="Y32" i="9"/>
  <c r="Y30" i="9"/>
  <c r="J12" i="18"/>
  <c r="J9" i="18"/>
  <c r="X20" i="21"/>
  <c r="E20" i="21"/>
  <c r="G15" i="12"/>
  <c r="G43" i="12"/>
  <c r="G51" i="12"/>
  <c r="G118" i="12"/>
  <c r="G173" i="12"/>
  <c r="G22" i="12"/>
  <c r="G58" i="12"/>
  <c r="G90" i="12"/>
  <c r="G129" i="12"/>
  <c r="G137" i="12"/>
  <c r="G29" i="12"/>
  <c r="G152" i="12"/>
  <c r="G8" i="12"/>
  <c r="G36" i="12"/>
  <c r="G72" i="12"/>
  <c r="G104" i="12"/>
  <c r="G159" i="12"/>
  <c r="L3248" i="9"/>
  <c r="I3248" i="9" s="1"/>
  <c r="I25" i="20"/>
  <c r="L1646" i="9"/>
  <c r="I1646" i="9" s="1"/>
  <c r="L2801" i="9"/>
  <c r="I2801" i="9" s="1"/>
  <c r="L2416" i="9"/>
  <c r="I2416" i="9" s="1"/>
  <c r="I18" i="20"/>
  <c r="E92" i="12"/>
  <c r="J92" i="12"/>
  <c r="E60" i="12"/>
  <c r="H83" i="12"/>
  <c r="H86" i="12" s="1"/>
  <c r="F15" i="11" s="1"/>
  <c r="E83" i="12"/>
  <c r="L934" i="9"/>
  <c r="I934" i="9" s="1"/>
  <c r="L1878" i="9"/>
  <c r="I1878" i="9" s="1"/>
  <c r="L3033" i="9"/>
  <c r="I3033" i="9" s="1"/>
  <c r="L2648" i="9"/>
  <c r="I2648" i="9" s="1"/>
  <c r="E97" i="12"/>
  <c r="H97" i="12"/>
  <c r="H100" i="12" s="1"/>
  <c r="F17" i="11" s="1"/>
  <c r="L616" i="9"/>
  <c r="I616" i="9" s="1"/>
  <c r="L1106" i="9"/>
  <c r="I1106" i="9" s="1"/>
  <c r="I22" i="20"/>
  <c r="K28" i="7"/>
  <c r="L28" i="7" s="1"/>
  <c r="L29" i="7" s="1"/>
  <c r="H6" i="6" s="1"/>
  <c r="L176" i="12"/>
  <c r="L177" i="12" s="1"/>
  <c r="H28" i="11" s="1"/>
  <c r="Z159" i="12"/>
  <c r="L158" i="12"/>
  <c r="L162" i="12" s="1"/>
  <c r="H26" i="11" s="1"/>
  <c r="J153" i="12"/>
  <c r="L150" i="12"/>
  <c r="J145" i="12"/>
  <c r="Z111" i="12"/>
  <c r="G111" i="12"/>
  <c r="L110" i="12"/>
  <c r="L114" i="12" s="1"/>
  <c r="H19" i="11" s="1"/>
  <c r="J107" i="12"/>
  <c r="Z104" i="12"/>
  <c r="L103" i="12"/>
  <c r="L107" i="12" s="1"/>
  <c r="H18" i="11" s="1"/>
  <c r="J98" i="12"/>
  <c r="F91" i="12"/>
  <c r="Z72" i="12"/>
  <c r="L71" i="12"/>
  <c r="L75" i="12" s="1"/>
  <c r="H13" i="11" s="1"/>
  <c r="Z36" i="12"/>
  <c r="L35" i="12"/>
  <c r="L39" i="12" s="1"/>
  <c r="H8" i="11" s="1"/>
  <c r="J30" i="12"/>
  <c r="Z8" i="12"/>
  <c r="L7" i="12"/>
  <c r="L11" i="12" s="1"/>
  <c r="H4" i="11" s="1"/>
  <c r="B22" i="2"/>
  <c r="D14" i="1"/>
  <c r="G14" i="11"/>
  <c r="D13" i="1"/>
  <c r="Y47" i="9"/>
  <c r="Y63" i="9"/>
  <c r="Y84" i="9"/>
  <c r="Y87" i="9"/>
  <c r="Y90" i="9"/>
  <c r="Y45" i="9"/>
  <c r="Y43" i="9"/>
  <c r="Y67" i="9"/>
  <c r="Y65" i="9"/>
  <c r="Y125" i="9"/>
  <c r="Y127" i="9"/>
  <c r="Y129" i="9"/>
  <c r="Y161" i="9"/>
  <c r="Y232" i="9"/>
  <c r="Y270" i="9"/>
  <c r="Y274" i="9"/>
  <c r="Y308" i="9"/>
  <c r="Y414" i="9"/>
  <c r="Y416" i="9"/>
  <c r="Y418" i="9"/>
  <c r="Y158" i="9"/>
  <c r="Y188" i="9"/>
  <c r="Y194" i="9"/>
  <c r="Y155" i="9"/>
  <c r="Y229" i="9"/>
  <c r="Y235" i="9"/>
  <c r="Y272" i="9"/>
  <c r="Y312" i="9"/>
  <c r="Y382" i="9"/>
  <c r="Y384" i="9"/>
  <c r="Y386" i="9"/>
  <c r="Y191" i="9"/>
  <c r="Y310" i="9"/>
  <c r="Y646" i="9"/>
  <c r="Y649" i="9"/>
  <c r="Y652" i="9"/>
  <c r="Y476" i="9"/>
  <c r="Y478" i="9"/>
  <c r="Y516" i="9"/>
  <c r="Y518" i="9"/>
  <c r="Y520" i="9"/>
  <c r="Y554" i="9"/>
  <c r="Y556" i="9"/>
  <c r="Y558" i="9"/>
  <c r="Y578" i="9"/>
  <c r="Y580" i="9"/>
  <c r="Y582" i="9"/>
  <c r="Y612" i="9"/>
  <c r="Y614" i="9"/>
  <c r="Y616" i="9"/>
  <c r="Y474" i="9"/>
  <c r="Y682" i="9"/>
  <c r="Y1044" i="9"/>
  <c r="Y1046" i="9"/>
  <c r="Y1048" i="9"/>
  <c r="Y1068" i="9"/>
  <c r="Y1070" i="9"/>
  <c r="Y1072" i="9"/>
  <c r="Y1102" i="9"/>
  <c r="Y1104" i="9"/>
  <c r="Y1106" i="9"/>
  <c r="Y685" i="9"/>
  <c r="Y721" i="9"/>
  <c r="Y725" i="9"/>
  <c r="Y729" i="9"/>
  <c r="Y854" i="9"/>
  <c r="Y857" i="9"/>
  <c r="Y860" i="9"/>
  <c r="Y928" i="9"/>
  <c r="Y930" i="9"/>
  <c r="Y932" i="9"/>
  <c r="Y934" i="9"/>
  <c r="Y974" i="9"/>
  <c r="Y976" i="9"/>
  <c r="Y688" i="9"/>
  <c r="Y761" i="9"/>
  <c r="Y763" i="9"/>
  <c r="Y765" i="9"/>
  <c r="Y822" i="9"/>
  <c r="Y825" i="9"/>
  <c r="Y828" i="9"/>
  <c r="Y978" i="9"/>
  <c r="Y798" i="9"/>
  <c r="Y801" i="9"/>
  <c r="Y804" i="9"/>
  <c r="Y1138" i="9"/>
  <c r="Y1140" i="9"/>
  <c r="Y1142" i="9"/>
  <c r="Y1235" i="9"/>
  <c r="Y1310" i="9"/>
  <c r="Y1312" i="9"/>
  <c r="Y1314" i="9"/>
  <c r="Y1316" i="9"/>
  <c r="Y1462" i="9"/>
  <c r="Y1464" i="9"/>
  <c r="Y1172" i="9"/>
  <c r="Y1174" i="9"/>
  <c r="Y1176" i="9"/>
  <c r="Y1350" i="9"/>
  <c r="Y1352" i="9"/>
  <c r="Y1354" i="9"/>
  <c r="Y1356" i="9"/>
  <c r="Y1416" i="9"/>
  <c r="Y1418" i="9"/>
  <c r="Y1420" i="9"/>
  <c r="Y1422" i="9"/>
  <c r="Y1231" i="9"/>
  <c r="Y1233" i="9"/>
  <c r="Y1458" i="9"/>
  <c r="Y1460" i="9"/>
  <c r="Y1572" i="9"/>
  <c r="Y1574" i="9"/>
  <c r="Y1576" i="9"/>
  <c r="Y1642" i="9"/>
  <c r="Y1644" i="9"/>
  <c r="Y1646" i="9"/>
  <c r="Y1756" i="9"/>
  <c r="Y1758" i="9"/>
  <c r="Y1760" i="9"/>
  <c r="Y1890" i="9"/>
  <c r="Y1892" i="9"/>
  <c r="Y1894" i="9"/>
  <c r="Y1707" i="9"/>
  <c r="Y1739" i="9"/>
  <c r="Y1741" i="9"/>
  <c r="Y1842" i="9"/>
  <c r="Y1844" i="9"/>
  <c r="Y1874" i="9"/>
  <c r="Y1876" i="9"/>
  <c r="Y1705" i="9"/>
  <c r="Y1743" i="9"/>
  <c r="Y1808" i="9"/>
  <c r="Y1810" i="9"/>
  <c r="Y1812" i="9"/>
  <c r="Y1846" i="9"/>
  <c r="Y1878" i="9"/>
  <c r="Y1703" i="9"/>
  <c r="Y2509" i="9"/>
  <c r="Y2511" i="9"/>
  <c r="Y2612" i="9"/>
  <c r="Y2614" i="9"/>
  <c r="Y2644" i="9"/>
  <c r="Y2646" i="9"/>
  <c r="Y2275" i="9"/>
  <c r="Y2277" i="9"/>
  <c r="Y2279" i="9"/>
  <c r="Y2342" i="9"/>
  <c r="Y2344" i="9"/>
  <c r="Y2346" i="9"/>
  <c r="Y2412" i="9"/>
  <c r="Y2414" i="9"/>
  <c r="Y2416" i="9"/>
  <c r="Y2526" i="9"/>
  <c r="Y2528" i="9"/>
  <c r="Y2530" i="9"/>
  <c r="Y2578" i="9"/>
  <c r="Y2727" i="9"/>
  <c r="Y2797" i="9"/>
  <c r="Y2799" i="9"/>
  <c r="Y2801" i="9"/>
  <c r="Y2911" i="9"/>
  <c r="Y2913" i="9"/>
  <c r="Y2915" i="9"/>
  <c r="Y3045" i="9"/>
  <c r="Y3047" i="9"/>
  <c r="Y3049" i="9"/>
  <c r="Y2580" i="9"/>
  <c r="Y2664" i="9"/>
  <c r="Y2894" i="9"/>
  <c r="Y2896" i="9"/>
  <c r="Y2997" i="9"/>
  <c r="Y2999" i="9"/>
  <c r="Y3029" i="9"/>
  <c r="Y3031" i="9"/>
  <c r="Y3244" i="9"/>
  <c r="Y3246" i="9"/>
  <c r="Y3267" i="9"/>
  <c r="Y3269" i="9"/>
  <c r="Y3271" i="9"/>
  <c r="Y2258" i="9"/>
  <c r="Y2260" i="9"/>
  <c r="Y2262" i="9"/>
  <c r="Y2473" i="9"/>
  <c r="Y2475" i="9"/>
  <c r="Y2477" i="9"/>
  <c r="Y2582" i="9"/>
  <c r="Y2616" i="9"/>
  <c r="Y2662" i="9"/>
  <c r="Y2731" i="9"/>
  <c r="Y2858" i="9"/>
  <c r="Y2860" i="9"/>
  <c r="Y2862" i="9"/>
  <c r="Y2898" i="9"/>
  <c r="Y2963" i="9"/>
  <c r="Y2965" i="9"/>
  <c r="Y2967" i="9"/>
  <c r="Y3001" i="9"/>
  <c r="Y3033" i="9"/>
  <c r="Y3110" i="9"/>
  <c r="Y3112" i="9"/>
  <c r="Y3114" i="9"/>
  <c r="Y3178" i="9"/>
  <c r="Y3180" i="9"/>
  <c r="Y3182" i="9"/>
  <c r="Y2513" i="9"/>
  <c r="Y2648" i="9"/>
  <c r="Y2660" i="9"/>
  <c r="Y2729" i="9"/>
  <c r="Y3217" i="9"/>
  <c r="Y3213" i="9"/>
  <c r="Y3215" i="9"/>
  <c r="Y3248" i="9"/>
  <c r="Z88" i="7"/>
  <c r="Z236" i="7"/>
  <c r="Z69" i="7"/>
  <c r="Z76" i="7"/>
  <c r="Z83" i="7"/>
  <c r="Z277" i="7"/>
  <c r="Z288" i="7"/>
  <c r="Z19" i="7"/>
  <c r="Z28" i="7"/>
  <c r="Z47" i="7"/>
  <c r="Z222" i="7"/>
  <c r="F28" i="17"/>
  <c r="G28" i="17" s="1"/>
  <c r="F24" i="17"/>
  <c r="G24" i="17" s="1"/>
  <c r="F249" i="5"/>
  <c r="K249" i="5"/>
  <c r="G249" i="5" s="1"/>
  <c r="F250" i="5"/>
  <c r="K250" i="5"/>
  <c r="G250" i="5" s="1"/>
  <c r="F231" i="5"/>
  <c r="K231" i="5"/>
  <c r="G231" i="5" s="1"/>
  <c r="J71" i="5"/>
  <c r="J230" i="5"/>
  <c r="J148" i="5"/>
  <c r="I211" i="7"/>
  <c r="I134" i="7"/>
  <c r="I145" i="7"/>
  <c r="I153" i="7"/>
  <c r="I189" i="7"/>
  <c r="I200" i="7"/>
  <c r="J72" i="5"/>
  <c r="J149" i="5"/>
  <c r="J233" i="5"/>
  <c r="I139" i="7"/>
  <c r="I245" i="7"/>
  <c r="I130" i="7"/>
  <c r="I194" i="7"/>
  <c r="I205" i="7"/>
  <c r="I116" i="7"/>
  <c r="I59" i="7"/>
  <c r="I37" i="7"/>
  <c r="J274" i="7"/>
  <c r="H25" i="3"/>
  <c r="H26" i="3"/>
  <c r="H9" i="3"/>
  <c r="H10" i="3"/>
  <c r="D6" i="1"/>
  <c r="H5" i="3"/>
  <c r="H12" i="3"/>
  <c r="H14" i="3"/>
  <c r="H16" i="3"/>
  <c r="H18" i="3"/>
  <c r="H20" i="3"/>
  <c r="H28" i="3"/>
  <c r="H13" i="3"/>
  <c r="H15" i="3"/>
  <c r="H17" i="3"/>
  <c r="H24" i="3"/>
  <c r="H29" i="3"/>
  <c r="B17" i="2"/>
  <c r="H19" i="3"/>
  <c r="H21" i="3"/>
  <c r="H23" i="3"/>
  <c r="H27" i="3"/>
  <c r="Z152" i="12"/>
  <c r="Z144" i="12"/>
  <c r="G144" i="12"/>
  <c r="F143" i="12"/>
  <c r="Z97" i="12"/>
  <c r="Z65" i="12"/>
  <c r="G65" i="12"/>
  <c r="F64" i="12"/>
  <c r="Z29" i="12"/>
  <c r="K22" i="11"/>
  <c r="K20" i="11"/>
  <c r="K18" i="11"/>
  <c r="K16" i="11"/>
  <c r="K14" i="11"/>
  <c r="K12" i="11"/>
  <c r="K10" i="11"/>
  <c r="K8" i="11"/>
  <c r="K6" i="11"/>
  <c r="K4" i="11"/>
  <c r="F252" i="5"/>
  <c r="K252" i="5"/>
  <c r="G252" i="5" s="1"/>
  <c r="F251" i="5"/>
  <c r="K251" i="5"/>
  <c r="G251" i="5" s="1"/>
  <c r="E171" i="7"/>
  <c r="J171" i="7"/>
  <c r="F171" i="7" s="1"/>
  <c r="F248" i="5"/>
  <c r="K248" i="5"/>
  <c r="G248" i="5" s="1"/>
  <c r="F247" i="5"/>
  <c r="K247" i="5"/>
  <c r="G247" i="5" s="1"/>
  <c r="J147" i="5"/>
  <c r="J70" i="5"/>
  <c r="J229" i="5"/>
  <c r="J24" i="7"/>
  <c r="E24" i="7"/>
  <c r="I8" i="7"/>
  <c r="I169" i="7"/>
  <c r="H276" i="7"/>
  <c r="F276" i="7" s="1"/>
  <c r="E276" i="7"/>
  <c r="F234" i="7"/>
  <c r="J174" i="12"/>
  <c r="J167" i="12"/>
  <c r="Z137" i="12"/>
  <c r="L136" i="12"/>
  <c r="F136" i="12" s="1"/>
  <c r="Z129" i="12"/>
  <c r="L128" i="12"/>
  <c r="L132" i="12" s="1"/>
  <c r="H22" i="11" s="1"/>
  <c r="L124" i="12"/>
  <c r="L125" i="12" s="1"/>
  <c r="H21" i="11" s="1"/>
  <c r="J119" i="12"/>
  <c r="Z90" i="12"/>
  <c r="L89" i="12"/>
  <c r="L93" i="12" s="1"/>
  <c r="H16" i="11" s="1"/>
  <c r="J84" i="12"/>
  <c r="Z58" i="12"/>
  <c r="L57" i="12"/>
  <c r="L61" i="12" s="1"/>
  <c r="H11" i="11" s="1"/>
  <c r="L49" i="12"/>
  <c r="L54" i="12" s="1"/>
  <c r="H10" i="11" s="1"/>
  <c r="J44" i="12"/>
  <c r="Z22" i="12"/>
  <c r="L21" i="12"/>
  <c r="L25" i="12" s="1"/>
  <c r="H6" i="11" s="1"/>
  <c r="J16" i="12"/>
  <c r="F26" i="17"/>
  <c r="G26" i="17" s="1"/>
  <c r="F18" i="17"/>
  <c r="G18" i="17" s="1"/>
  <c r="I164" i="7"/>
  <c r="I185" i="7"/>
  <c r="J15" i="7"/>
  <c r="E15" i="7"/>
  <c r="I170" i="7"/>
  <c r="I9" i="7"/>
  <c r="I13" i="9"/>
  <c r="E13" i="9"/>
  <c r="I36" i="7"/>
  <c r="I58" i="7"/>
  <c r="D15" i="1"/>
  <c r="Y171" i="9"/>
  <c r="Y13" i="9"/>
  <c r="Y15" i="9"/>
  <c r="Y664" i="9"/>
  <c r="Y837" i="9"/>
  <c r="Y1940" i="9"/>
  <c r="Y1938" i="9"/>
  <c r="Y2172" i="9"/>
  <c r="Y2080" i="9"/>
  <c r="Y2078" i="9"/>
  <c r="AC72" i="5"/>
  <c r="AC146" i="5"/>
  <c r="AC231" i="5"/>
  <c r="AC248" i="5"/>
  <c r="AC252" i="5"/>
  <c r="Z15" i="7"/>
  <c r="Z18" i="7"/>
  <c r="AC71" i="5"/>
  <c r="AC135" i="5"/>
  <c r="AC149" i="5"/>
  <c r="AC230" i="5"/>
  <c r="AC247" i="5"/>
  <c r="AC251" i="5"/>
  <c r="Z9" i="7"/>
  <c r="AC70" i="5"/>
  <c r="AC148" i="5"/>
  <c r="AC229" i="5"/>
  <c r="AC233" i="5"/>
  <c r="AC246" i="5"/>
  <c r="AC250" i="5"/>
  <c r="AC253" i="5"/>
  <c r="AC57" i="5"/>
  <c r="AC69" i="5"/>
  <c r="AC147" i="5"/>
  <c r="AC216" i="5"/>
  <c r="AC228" i="5"/>
  <c r="AC232" i="5"/>
  <c r="AC249" i="5"/>
  <c r="Z24" i="7"/>
  <c r="Z60" i="7"/>
  <c r="Z130" i="7"/>
  <c r="Z134" i="7"/>
  <c r="Z164" i="7"/>
  <c r="Z169" i="7"/>
  <c r="Z194" i="7"/>
  <c r="Z240" i="7"/>
  <c r="Z38" i="7"/>
  <c r="Z59" i="7"/>
  <c r="Z145" i="7"/>
  <c r="Z153" i="7"/>
  <c r="Z185" i="7"/>
  <c r="Z189" i="7"/>
  <c r="Z205" i="7"/>
  <c r="Z37" i="7"/>
  <c r="Z58" i="7"/>
  <c r="Z116" i="7"/>
  <c r="Z171" i="7"/>
  <c r="Z200" i="7"/>
  <c r="S5" i="16"/>
  <c r="S6" i="16"/>
  <c r="S7" i="16"/>
  <c r="S8" i="16"/>
  <c r="S9" i="16"/>
  <c r="S10" i="16"/>
  <c r="S11" i="16"/>
  <c r="S12" i="16"/>
  <c r="S13" i="16"/>
  <c r="S14" i="16"/>
  <c r="S15" i="16"/>
  <c r="S16" i="16"/>
  <c r="S17" i="16"/>
  <c r="S18" i="16"/>
  <c r="S19" i="16"/>
  <c r="S20" i="16"/>
  <c r="S21" i="16"/>
  <c r="S22" i="16"/>
  <c r="S23" i="16"/>
  <c r="S24" i="16"/>
  <c r="S25" i="16"/>
  <c r="S26" i="16"/>
  <c r="S27" i="16"/>
  <c r="S28" i="16"/>
  <c r="S29" i="16"/>
  <c r="S30" i="16"/>
  <c r="S31" i="16"/>
  <c r="S32" i="16"/>
  <c r="S33" i="16"/>
  <c r="Z8" i="7"/>
  <c r="Z27" i="7"/>
  <c r="Z36" i="7"/>
  <c r="Z51" i="7"/>
  <c r="Z139" i="7"/>
  <c r="Z170" i="7"/>
  <c r="Z211" i="7"/>
  <c r="Z232" i="7"/>
  <c r="Z235" i="7"/>
  <c r="Z245" i="7"/>
  <c r="Z274" i="7"/>
  <c r="S50" i="16"/>
  <c r="S49" i="16"/>
  <c r="S48" i="16"/>
  <c r="S47" i="16"/>
  <c r="S46" i="16"/>
  <c r="S45" i="16"/>
  <c r="S44" i="16"/>
  <c r="S43" i="16"/>
  <c r="S42" i="16"/>
  <c r="S41" i="16"/>
  <c r="S40" i="16"/>
  <c r="S39" i="16"/>
  <c r="S38" i="16"/>
  <c r="S37" i="16"/>
  <c r="S36" i="16"/>
  <c r="S35" i="16"/>
  <c r="S34" i="16"/>
  <c r="L10" i="5"/>
  <c r="M10" i="5" s="1"/>
  <c r="L169" i="5"/>
  <c r="M169" i="5" s="1"/>
  <c r="L89" i="5"/>
  <c r="M89" i="5" s="1"/>
  <c r="Z173" i="12"/>
  <c r="Z166" i="12"/>
  <c r="G166" i="12"/>
  <c r="Z118" i="12"/>
  <c r="Z83" i="12"/>
  <c r="Z51" i="12"/>
  <c r="Z43" i="12"/>
  <c r="Z15" i="12"/>
  <c r="K19" i="11"/>
  <c r="K17" i="11"/>
  <c r="K15" i="11"/>
  <c r="K13" i="11"/>
  <c r="K11" i="11"/>
  <c r="K9" i="11"/>
  <c r="K7" i="11"/>
  <c r="K5" i="11"/>
  <c r="F246" i="5"/>
  <c r="K246" i="5"/>
  <c r="E240" i="7"/>
  <c r="J240" i="7"/>
  <c r="F232" i="5"/>
  <c r="K232" i="5"/>
  <c r="G232" i="5" s="1"/>
  <c r="E2080" i="9"/>
  <c r="I2080" i="9"/>
  <c r="J57" i="5"/>
  <c r="J216" i="5"/>
  <c r="J135" i="5"/>
  <c r="J69" i="5"/>
  <c r="J228" i="5"/>
  <c r="J146" i="5"/>
  <c r="K171" i="9"/>
  <c r="K664" i="9"/>
  <c r="I664" i="9" s="1"/>
  <c r="K837" i="9"/>
  <c r="I837" i="9" s="1"/>
  <c r="K2078" i="9"/>
  <c r="I2078" i="9" s="1"/>
  <c r="K1938" i="9"/>
  <c r="I1938" i="9" s="1"/>
  <c r="E51" i="7"/>
  <c r="J51" i="7"/>
  <c r="I60" i="7"/>
  <c r="I38" i="7"/>
  <c r="H287" i="7"/>
  <c r="F287" i="7" s="1"/>
  <c r="E287" i="7"/>
  <c r="L9" i="5"/>
  <c r="M9" i="5" s="1"/>
  <c r="H275" i="7"/>
  <c r="E234" i="7"/>
  <c r="H233" i="7"/>
  <c r="H221" i="7"/>
  <c r="F221" i="7" s="1"/>
  <c r="E172" i="7"/>
  <c r="E82" i="7"/>
  <c r="H81" i="7"/>
  <c r="E75" i="7"/>
  <c r="H74" i="7"/>
  <c r="E68" i="7"/>
  <c r="H67" i="7"/>
  <c r="H62" i="7"/>
  <c r="F62" i="7" s="1"/>
  <c r="H46" i="7"/>
  <c r="E17" i="7"/>
  <c r="H17" i="7"/>
  <c r="F17" i="7" s="1"/>
  <c r="J33" i="7"/>
  <c r="E26" i="7"/>
  <c r="D8" i="1"/>
  <c r="AC10" i="5"/>
  <c r="AC11" i="5"/>
  <c r="K224" i="5"/>
  <c r="K220" i="5"/>
  <c r="AC209" i="5"/>
  <c r="AC205" i="5"/>
  <c r="AC200" i="5"/>
  <c r="AC170" i="5"/>
  <c r="K141" i="5"/>
  <c r="AC130" i="5"/>
  <c r="AC126" i="5"/>
  <c r="AC121" i="5"/>
  <c r="K65" i="5"/>
  <c r="AC55" i="5"/>
  <c r="AC50" i="5"/>
  <c r="AC45" i="5"/>
  <c r="AC41" i="5"/>
  <c r="AC24" i="5"/>
  <c r="Z3240" i="9"/>
  <c r="AH3240" i="9"/>
  <c r="B3234" i="9"/>
  <c r="AC169" i="5"/>
  <c r="AC134" i="5"/>
  <c r="AC129" i="5"/>
  <c r="AC125" i="5"/>
  <c r="AC120" i="5"/>
  <c r="AC90" i="5"/>
  <c r="AC49" i="5"/>
  <c r="AC44" i="5"/>
  <c r="B3236" i="9"/>
  <c r="AB3240" i="9"/>
  <c r="F3112" i="9"/>
  <c r="D3112" i="9"/>
  <c r="E3104" i="9"/>
  <c r="E3098" i="9"/>
  <c r="B18" i="2"/>
  <c r="B19" i="2"/>
  <c r="D9" i="1"/>
  <c r="B20" i="2"/>
  <c r="K222" i="5"/>
  <c r="AC211" i="5"/>
  <c r="AC207" i="5"/>
  <c r="AC202" i="5"/>
  <c r="K187" i="5"/>
  <c r="AC168" i="5"/>
  <c r="K143" i="5"/>
  <c r="K139" i="5"/>
  <c r="AC133" i="5"/>
  <c r="AC128" i="5"/>
  <c r="AC89" i="5"/>
  <c r="K63" i="5"/>
  <c r="AC52" i="5"/>
  <c r="AC48" i="5"/>
  <c r="AC43" i="5"/>
  <c r="AB3265" i="9"/>
  <c r="AL3265" i="9"/>
  <c r="K37" i="6"/>
  <c r="K35" i="6"/>
  <c r="K33" i="6"/>
  <c r="K31" i="6"/>
  <c r="K29" i="6"/>
  <c r="K27" i="6"/>
  <c r="K25" i="6"/>
  <c r="K23" i="6"/>
  <c r="K21" i="6"/>
  <c r="K19" i="6"/>
  <c r="K17" i="6"/>
  <c r="K15" i="6"/>
  <c r="K13" i="6"/>
  <c r="K11" i="6"/>
  <c r="K9" i="6"/>
  <c r="K7" i="6"/>
  <c r="K5" i="6"/>
  <c r="AC215" i="5"/>
  <c r="AC210" i="5"/>
  <c r="AC206" i="5"/>
  <c r="AC201" i="5"/>
  <c r="AC127" i="5"/>
  <c r="AC122" i="5"/>
  <c r="G107" i="5"/>
  <c r="AC88" i="5"/>
  <c r="AC58" i="5"/>
  <c r="AC56" i="5"/>
  <c r="AC51" i="5"/>
  <c r="AC42" i="5"/>
  <c r="AC9" i="5"/>
  <c r="D10" i="1"/>
  <c r="Y1997" i="9"/>
  <c r="AC15" i="5"/>
  <c r="AC20" i="5"/>
  <c r="AC25" i="5"/>
  <c r="AC30" i="5"/>
  <c r="AC35" i="5"/>
  <c r="AC16" i="5"/>
  <c r="AC21" i="5"/>
  <c r="AC31" i="5"/>
  <c r="AC28" i="5"/>
  <c r="AC32" i="5"/>
  <c r="AC37" i="5"/>
  <c r="E3114" i="9"/>
  <c r="D3114" i="9"/>
  <c r="E3110" i="9"/>
  <c r="F3110" i="9"/>
  <c r="AB3234" i="9"/>
  <c r="AI3203" i="9"/>
  <c r="B3199" i="9"/>
  <c r="AA3182" i="9"/>
  <c r="AC3114" i="9"/>
  <c r="AC3112" i="9"/>
  <c r="AB3027" i="9"/>
  <c r="AI3015" i="9"/>
  <c r="AD3013" i="9"/>
  <c r="B3009" i="9"/>
  <c r="AB2995" i="9"/>
  <c r="AI2983" i="9"/>
  <c r="B2977" i="9"/>
  <c r="AA2967" i="9"/>
  <c r="AA2965" i="9"/>
  <c r="AA2963" i="9"/>
  <c r="AA2862" i="9"/>
  <c r="AA2860" i="9"/>
  <c r="AA2530" i="9"/>
  <c r="B2467" i="9"/>
  <c r="AL2471" i="9"/>
  <c r="AB2409" i="9"/>
  <c r="AF2407" i="9"/>
  <c r="AJ2407" i="9"/>
  <c r="D7" i="1"/>
  <c r="B16" i="2"/>
  <c r="AB3211" i="9"/>
  <c r="AB3203" i="9"/>
  <c r="F3096" i="9"/>
  <c r="C3096" i="9" s="1"/>
  <c r="B3096" i="9" s="1"/>
  <c r="F3094" i="9"/>
  <c r="AL3043" i="9"/>
  <c r="AB3023" i="9"/>
  <c r="AB3015" i="9"/>
  <c r="AB2991" i="9"/>
  <c r="AB2983" i="9"/>
  <c r="AH2961" i="9"/>
  <c r="AL2909" i="9"/>
  <c r="AI2880" i="9"/>
  <c r="B2874" i="9"/>
  <c r="AF2337" i="9"/>
  <c r="AJ2337" i="9"/>
  <c r="AL2273" i="9"/>
  <c r="E2234" i="9"/>
  <c r="AL2658" i="9"/>
  <c r="B2628" i="9"/>
  <c r="AI2630" i="9"/>
  <c r="B2495" i="9"/>
  <c r="B2493" i="9"/>
  <c r="AJ2409" i="9"/>
  <c r="B2393" i="9"/>
  <c r="AD2409" i="9"/>
  <c r="F2084" i="9"/>
  <c r="D2084" i="9"/>
  <c r="F1989" i="9"/>
  <c r="D1989" i="9"/>
  <c r="D1993" i="9" s="1"/>
  <c r="E1989" i="9"/>
  <c r="F1951" i="9"/>
  <c r="D1951" i="9"/>
  <c r="E1951" i="9"/>
  <c r="AA1703" i="9"/>
  <c r="AA1705" i="9"/>
  <c r="AA1707" i="9"/>
  <c r="B1701" i="9"/>
  <c r="AC1703" i="9"/>
  <c r="H1703" i="9" s="1"/>
  <c r="AC1707" i="9"/>
  <c r="H1707" i="9" s="1"/>
  <c r="AC1705" i="9"/>
  <c r="H1705" i="9" s="1"/>
  <c r="B2708" i="9"/>
  <c r="AD2724" i="9"/>
  <c r="AB2503" i="9"/>
  <c r="B2497" i="9"/>
  <c r="B2323" i="9"/>
  <c r="AD2339" i="9"/>
  <c r="E2150" i="9"/>
  <c r="F2150" i="9"/>
  <c r="D2150" i="9"/>
  <c r="D2117" i="9"/>
  <c r="D2139" i="9" s="1"/>
  <c r="AL2256" i="9"/>
  <c r="E2172" i="9"/>
  <c r="D2172" i="9"/>
  <c r="D2174" i="9" s="1"/>
  <c r="D2115" i="9"/>
  <c r="E2115" i="9"/>
  <c r="C2113" i="9"/>
  <c r="B2113" i="9" s="1"/>
  <c r="C2093" i="9"/>
  <c r="D2078" i="9"/>
  <c r="F2078" i="9"/>
  <c r="D1955" i="9"/>
  <c r="E1955" i="9"/>
  <c r="AB2642" i="9"/>
  <c r="AB2610" i="9"/>
  <c r="AI2598" i="9"/>
  <c r="F2224" i="9"/>
  <c r="F2226" i="9" s="1"/>
  <c r="D2165" i="9"/>
  <c r="E2165" i="9"/>
  <c r="D2154" i="9"/>
  <c r="E2154" i="9"/>
  <c r="E2111" i="9"/>
  <c r="F2111" i="9"/>
  <c r="D2095" i="9"/>
  <c r="E2095" i="9"/>
  <c r="B2093" i="9"/>
  <c r="D2091" i="9"/>
  <c r="E2091" i="9"/>
  <c r="F2091" i="9"/>
  <c r="D1942" i="9"/>
  <c r="F1942" i="9"/>
  <c r="F1938" i="9"/>
  <c r="D1938" i="9"/>
  <c r="E1938" i="9"/>
  <c r="F2232" i="9"/>
  <c r="F2234" i="9" s="1"/>
  <c r="D2232" i="9"/>
  <c r="D2234" i="9" s="1"/>
  <c r="D2236" i="9" s="1"/>
  <c r="F2172" i="9"/>
  <c r="F2174" i="9" s="1"/>
  <c r="D2163" i="9"/>
  <c r="E2163" i="9"/>
  <c r="F2082" i="9"/>
  <c r="D2082" i="9"/>
  <c r="F2051" i="9"/>
  <c r="F2054" i="9" s="1"/>
  <c r="D2051" i="9"/>
  <c r="D2054" i="9" s="1"/>
  <c r="E2051" i="9"/>
  <c r="D2161" i="9"/>
  <c r="D2152" i="9"/>
  <c r="C2152" i="9" s="1"/>
  <c r="B2152" i="9" s="1"/>
  <c r="D2113" i="9"/>
  <c r="L2115" i="9" s="1"/>
  <c r="F1991" i="9"/>
  <c r="F1953" i="9"/>
  <c r="F1944" i="9"/>
  <c r="F1940" i="9"/>
  <c r="AB1872" i="9"/>
  <c r="AD1858" i="9"/>
  <c r="B1854" i="9"/>
  <c r="AB1840" i="9"/>
  <c r="AI1828" i="9"/>
  <c r="B1822" i="9"/>
  <c r="AH1701" i="9"/>
  <c r="D1490" i="9"/>
  <c r="D1492" i="9" s="1"/>
  <c r="E1490" i="9"/>
  <c r="F1490" i="9"/>
  <c r="F1492" i="9" s="1"/>
  <c r="E1991" i="9"/>
  <c r="C1991" i="9" s="1"/>
  <c r="B1991" i="9" s="1"/>
  <c r="E1953" i="9"/>
  <c r="E1940" i="9"/>
  <c r="AL1888" i="9"/>
  <c r="AB1868" i="9"/>
  <c r="AB1836" i="9"/>
  <c r="AB1828" i="9"/>
  <c r="AL1754" i="9"/>
  <c r="AB1737" i="9"/>
  <c r="AG1723" i="9"/>
  <c r="B1719" i="9"/>
  <c r="B1442" i="9"/>
  <c r="AB1452" i="9"/>
  <c r="B1290" i="9"/>
  <c r="AB1294" i="9"/>
  <c r="AI1294" i="9"/>
  <c r="E1505" i="9"/>
  <c r="AF1637" i="9"/>
  <c r="AJ1637" i="9"/>
  <c r="B1623" i="9"/>
  <c r="AD1639" i="9"/>
  <c r="AF1567" i="9"/>
  <c r="AJ1567" i="9"/>
  <c r="AI1440" i="9"/>
  <c r="B1436" i="9"/>
  <c r="AB1440" i="9"/>
  <c r="D1502" i="9"/>
  <c r="D1505" i="9" s="1"/>
  <c r="AC1442" i="9"/>
  <c r="AB1414" i="9"/>
  <c r="AI1400" i="9"/>
  <c r="Z1396" i="9"/>
  <c r="Z1330" i="9"/>
  <c r="AD1290" i="9"/>
  <c r="AH1225" i="9"/>
  <c r="B1170" i="9"/>
  <c r="B958" i="9"/>
  <c r="AB968" i="9"/>
  <c r="F837" i="9"/>
  <c r="F839" i="9" s="1"/>
  <c r="D837" i="9"/>
  <c r="D839" i="9" s="1"/>
  <c r="AD1569" i="9"/>
  <c r="AB1400" i="9"/>
  <c r="AB1334" i="9"/>
  <c r="AA1176" i="9"/>
  <c r="AA1174" i="9"/>
  <c r="AL1136" i="9"/>
  <c r="B910" i="9"/>
  <c r="AB912" i="9"/>
  <c r="AI912" i="9"/>
  <c r="F825" i="9"/>
  <c r="D825" i="9"/>
  <c r="B851" i="9"/>
  <c r="AA854" i="9"/>
  <c r="AA857" i="9"/>
  <c r="AA860" i="9"/>
  <c r="AE854" i="9"/>
  <c r="H854" i="9" s="1"/>
  <c r="AE857" i="9"/>
  <c r="H857" i="9" s="1"/>
  <c r="AE860" i="9"/>
  <c r="H860" i="9" s="1"/>
  <c r="AC761" i="9"/>
  <c r="H761" i="9" s="1"/>
  <c r="AC763" i="9"/>
  <c r="H763" i="9" s="1"/>
  <c r="AC765" i="9"/>
  <c r="H765" i="9" s="1"/>
  <c r="B758" i="9"/>
  <c r="AA761" i="9"/>
  <c r="AA763" i="9"/>
  <c r="AA765" i="9"/>
  <c r="B718" i="9"/>
  <c r="AA721" i="9"/>
  <c r="AA725" i="9"/>
  <c r="AA729" i="9"/>
  <c r="AC721" i="9"/>
  <c r="H721" i="9" s="1"/>
  <c r="AC725" i="9"/>
  <c r="H725" i="9" s="1"/>
  <c r="AC729" i="9"/>
  <c r="H729" i="9" s="1"/>
  <c r="AB1412" i="9"/>
  <c r="AB1346" i="9"/>
  <c r="AS1296" i="9"/>
  <c r="AB1225" i="9"/>
  <c r="AF1136" i="9"/>
  <c r="E828" i="9"/>
  <c r="D828" i="9"/>
  <c r="E822" i="9"/>
  <c r="F822" i="9"/>
  <c r="B1091" i="9"/>
  <c r="AB1087" i="9"/>
  <c r="AD910" i="9"/>
  <c r="AA828" i="9"/>
  <c r="AA825" i="9"/>
  <c r="AA822" i="9"/>
  <c r="B795" i="9"/>
  <c r="AB758" i="9"/>
  <c r="AF679" i="9"/>
  <c r="AL679" i="9"/>
  <c r="D649" i="9"/>
  <c r="F580" i="9"/>
  <c r="D580" i="9"/>
  <c r="E474" i="9"/>
  <c r="F474" i="9"/>
  <c r="AH758" i="9"/>
  <c r="E646" i="9"/>
  <c r="D558" i="9"/>
  <c r="F554" i="9"/>
  <c r="E554" i="9"/>
  <c r="F476" i="9"/>
  <c r="D476" i="9"/>
  <c r="AG1087" i="9"/>
  <c r="AA1072" i="9"/>
  <c r="AA1070" i="9"/>
  <c r="AA1068" i="9"/>
  <c r="AA1044" i="9"/>
  <c r="D478" i="9"/>
  <c r="E478" i="9"/>
  <c r="AD972" i="9"/>
  <c r="AB924" i="9"/>
  <c r="AA804" i="9"/>
  <c r="AA801" i="9"/>
  <c r="E664" i="9"/>
  <c r="F664" i="9"/>
  <c r="F666" i="9" s="1"/>
  <c r="D664" i="9"/>
  <c r="D666" i="9" s="1"/>
  <c r="D652" i="9"/>
  <c r="E652" i="9"/>
  <c r="F649" i="9"/>
  <c r="F556" i="9"/>
  <c r="D556" i="9"/>
  <c r="F299" i="9"/>
  <c r="F302" i="9" s="1"/>
  <c r="D299" i="9"/>
  <c r="D302" i="9" s="1"/>
  <c r="E299" i="9"/>
  <c r="AB607" i="9"/>
  <c r="AG597" i="9"/>
  <c r="AA582" i="9"/>
  <c r="AA580" i="9"/>
  <c r="AA578" i="9"/>
  <c r="AA558" i="9"/>
  <c r="AA556" i="9"/>
  <c r="AA554" i="9"/>
  <c r="AA520" i="9"/>
  <c r="AA518" i="9"/>
  <c r="AA516" i="9"/>
  <c r="B380" i="9"/>
  <c r="B185" i="9"/>
  <c r="AA191" i="9"/>
  <c r="AC191" i="9"/>
  <c r="H191" i="9" s="1"/>
  <c r="AA188" i="9"/>
  <c r="AA194" i="9"/>
  <c r="AC188" i="9"/>
  <c r="H188" i="9" s="1"/>
  <c r="AC194" i="9"/>
  <c r="H194" i="9" s="1"/>
  <c r="C459" i="9"/>
  <c r="AB597" i="9"/>
  <c r="D310" i="9"/>
  <c r="F310" i="9"/>
  <c r="D312" i="9"/>
  <c r="F308" i="9"/>
  <c r="AA272" i="9"/>
  <c r="B266" i="9"/>
  <c r="AA235" i="9"/>
  <c r="AA229" i="9"/>
  <c r="D158" i="9"/>
  <c r="F21" i="9"/>
  <c r="F23" i="9" s="1"/>
  <c r="D21" i="9"/>
  <c r="D23" i="9" s="1"/>
  <c r="E21" i="9"/>
  <c r="AB412" i="9"/>
  <c r="AI402" i="9"/>
  <c r="B396" i="9"/>
  <c r="E308" i="9"/>
  <c r="AG274" i="9"/>
  <c r="H274" i="9" s="1"/>
  <c r="AG270" i="9"/>
  <c r="H270" i="9" s="1"/>
  <c r="E161" i="9"/>
  <c r="D161" i="9"/>
  <c r="AA125" i="9"/>
  <c r="AA127" i="9"/>
  <c r="AA129" i="9"/>
  <c r="B121" i="9"/>
  <c r="D65" i="9"/>
  <c r="F65" i="9"/>
  <c r="AE404" i="9"/>
  <c r="AB402" i="9"/>
  <c r="AF380" i="9"/>
  <c r="AA274" i="9"/>
  <c r="AA232" i="9"/>
  <c r="E15" i="9"/>
  <c r="D15" i="9"/>
  <c r="D17" i="9" s="1"/>
  <c r="F15" i="9"/>
  <c r="F17" i="9" s="1"/>
  <c r="F25" i="9" s="1"/>
  <c r="E155" i="9"/>
  <c r="B81" i="9"/>
  <c r="AA84" i="9"/>
  <c r="AA87" i="9"/>
  <c r="AA90" i="9"/>
  <c r="AE84" i="9"/>
  <c r="H84" i="9" s="1"/>
  <c r="AE87" i="9"/>
  <c r="H87" i="9" s="1"/>
  <c r="AE90" i="9"/>
  <c r="H90" i="9" s="1"/>
  <c r="E63" i="9"/>
  <c r="F63" i="9"/>
  <c r="C30" i="9"/>
  <c r="AA161" i="9"/>
  <c r="AA158" i="9"/>
  <c r="AH121" i="9"/>
  <c r="AF81" i="9"/>
  <c r="E33" i="9"/>
  <c r="F32" i="9"/>
  <c r="F33" i="9" s="1"/>
  <c r="I30" i="9"/>
  <c r="H19" i="21"/>
  <c r="L19" i="21"/>
  <c r="P19" i="21"/>
  <c r="X19" i="21"/>
  <c r="I19" i="21"/>
  <c r="M19" i="21"/>
  <c r="Q19" i="21"/>
  <c r="F19" i="21"/>
  <c r="J19" i="21"/>
  <c r="N19" i="21"/>
  <c r="R19" i="21"/>
  <c r="F15" i="21"/>
  <c r="K15" i="21"/>
  <c r="O15" i="21"/>
  <c r="S15" i="21"/>
  <c r="W15" i="21"/>
  <c r="G15" i="21"/>
  <c r="L15" i="21"/>
  <c r="P15" i="21"/>
  <c r="T15" i="21"/>
  <c r="X15" i="21"/>
  <c r="I15" i="21"/>
  <c r="M15" i="21"/>
  <c r="Q15" i="21"/>
  <c r="U15" i="21"/>
  <c r="F10" i="21"/>
  <c r="K10" i="21"/>
  <c r="G10" i="21"/>
  <c r="L10" i="21"/>
  <c r="I10" i="21"/>
  <c r="X10" i="21"/>
  <c r="E10" i="21"/>
  <c r="J10" i="21"/>
  <c r="E47" i="9"/>
  <c r="D45" i="9"/>
  <c r="O19" i="21"/>
  <c r="L16" i="21"/>
  <c r="R15" i="21"/>
  <c r="J14" i="21"/>
  <c r="P14" i="21"/>
  <c r="F14" i="21"/>
  <c r="K14" i="21"/>
  <c r="R14" i="21"/>
  <c r="G14" i="21"/>
  <c r="L14" i="21"/>
  <c r="X14" i="21"/>
  <c r="I14" i="21"/>
  <c r="N14" i="21"/>
  <c r="J7" i="21"/>
  <c r="F7" i="21"/>
  <c r="K7" i="21"/>
  <c r="G7" i="21"/>
  <c r="L7" i="21"/>
  <c r="I7" i="21"/>
  <c r="X7" i="21"/>
  <c r="D32" i="9"/>
  <c r="C32" i="9" s="1"/>
  <c r="B32" i="9" s="1"/>
  <c r="K19" i="21"/>
  <c r="I18" i="21"/>
  <c r="M18" i="21"/>
  <c r="Q18" i="21"/>
  <c r="F18" i="21"/>
  <c r="J18" i="21"/>
  <c r="N18" i="21"/>
  <c r="R18" i="21"/>
  <c r="G18" i="21"/>
  <c r="K18" i="21"/>
  <c r="O18" i="21"/>
  <c r="S18" i="21"/>
  <c r="G17" i="21"/>
  <c r="L17" i="21"/>
  <c r="P17" i="21"/>
  <c r="I17" i="21"/>
  <c r="M17" i="21"/>
  <c r="Q17" i="21"/>
  <c r="E17" i="21"/>
  <c r="J17" i="21"/>
  <c r="N17" i="21"/>
  <c r="X17" i="21"/>
  <c r="N15" i="21"/>
  <c r="J13" i="21"/>
  <c r="P13" i="21"/>
  <c r="F13" i="21"/>
  <c r="K13" i="21"/>
  <c r="R13" i="21"/>
  <c r="G13" i="21"/>
  <c r="L13" i="21"/>
  <c r="X13" i="21"/>
  <c r="I13" i="21"/>
  <c r="N13" i="21"/>
  <c r="F6" i="21"/>
  <c r="K6" i="21"/>
  <c r="G6" i="21"/>
  <c r="L6" i="21"/>
  <c r="I6" i="21"/>
  <c r="X6" i="21"/>
  <c r="J6" i="21"/>
  <c r="D11" i="1"/>
  <c r="B12" i="2"/>
  <c r="B21" i="2"/>
  <c r="G19" i="21"/>
  <c r="E16" i="21"/>
  <c r="I16" i="21"/>
  <c r="M16" i="21"/>
  <c r="Q16" i="21"/>
  <c r="F16" i="21"/>
  <c r="J16" i="21"/>
  <c r="N16" i="21"/>
  <c r="R16" i="21"/>
  <c r="G16" i="21"/>
  <c r="K16" i="21"/>
  <c r="O16" i="21"/>
  <c r="S16" i="21"/>
  <c r="J15" i="21"/>
  <c r="J11" i="21"/>
  <c r="P11" i="21"/>
  <c r="F11" i="21"/>
  <c r="K11" i="21"/>
  <c r="R11" i="21"/>
  <c r="G11" i="21"/>
  <c r="L11" i="21"/>
  <c r="X11" i="21"/>
  <c r="I11" i="21"/>
  <c r="N11" i="21"/>
  <c r="J5" i="19"/>
  <c r="R20" i="21"/>
  <c r="K20" i="21"/>
  <c r="L8" i="21"/>
  <c r="G8" i="21"/>
  <c r="K8" i="21"/>
  <c r="F8" i="21"/>
  <c r="N20" i="21"/>
  <c r="AB1639" i="9" l="1"/>
  <c r="B1633" i="9"/>
  <c r="AA382" i="9"/>
  <c r="AE382" i="9"/>
  <c r="H382" i="9" s="1"/>
  <c r="E382" i="9" s="1"/>
  <c r="AI1334" i="9"/>
  <c r="B1727" i="9"/>
  <c r="AB1860" i="9"/>
  <c r="AA1812" i="9"/>
  <c r="AA2582" i="9"/>
  <c r="Z2503" i="9"/>
  <c r="B2524" i="9"/>
  <c r="L88" i="5"/>
  <c r="M88" i="5" s="1"/>
  <c r="J66" i="12"/>
  <c r="F130" i="12"/>
  <c r="F79" i="12"/>
  <c r="E14" i="11" s="1"/>
  <c r="L1316" i="9"/>
  <c r="I1316" i="9" s="1"/>
  <c r="F187" i="5"/>
  <c r="AA386" i="9"/>
  <c r="AA1046" i="9"/>
  <c r="F1510" i="9"/>
  <c r="AA1808" i="9"/>
  <c r="AI1860" i="9"/>
  <c r="J131" i="12"/>
  <c r="E130" i="12"/>
  <c r="AC578" i="9"/>
  <c r="H578" i="9" s="1"/>
  <c r="AC582" i="9"/>
  <c r="H582" i="9" s="1"/>
  <c r="B2706" i="9"/>
  <c r="Z2722" i="9"/>
  <c r="AE386" i="9"/>
  <c r="H386" i="9" s="1"/>
  <c r="F2086" i="9"/>
  <c r="AB2495" i="9"/>
  <c r="AC2505" i="9"/>
  <c r="AD2722" i="9"/>
  <c r="AA2528" i="9"/>
  <c r="AA384" i="9"/>
  <c r="C1940" i="9"/>
  <c r="B1940" i="9" s="1"/>
  <c r="E2078" i="9"/>
  <c r="J52" i="12"/>
  <c r="F59" i="12"/>
  <c r="J113" i="12"/>
  <c r="F113" i="12" s="1"/>
  <c r="L155" i="12"/>
  <c r="H25" i="11" s="1"/>
  <c r="B552" i="9"/>
  <c r="AJ2722" i="9"/>
  <c r="F107" i="5"/>
  <c r="F78" i="12"/>
  <c r="J138" i="12"/>
  <c r="I2115" i="9"/>
  <c r="F2115" i="9"/>
  <c r="F2117" i="9" s="1"/>
  <c r="F2139" i="9" s="1"/>
  <c r="D25" i="9"/>
  <c r="F1946" i="9"/>
  <c r="AA3178" i="9"/>
  <c r="H63" i="7"/>
  <c r="F11" i="6" s="1"/>
  <c r="H169" i="5" s="1"/>
  <c r="I169" i="5" s="1"/>
  <c r="C2080" i="9"/>
  <c r="E232" i="7"/>
  <c r="I13" i="20"/>
  <c r="B1066" i="9"/>
  <c r="AC1070" i="9"/>
  <c r="H1070" i="9" s="1"/>
  <c r="AC1072" i="9"/>
  <c r="H1072" i="9" s="1"/>
  <c r="AC1068" i="9"/>
  <c r="H1068" i="9" s="1"/>
  <c r="AA798" i="9"/>
  <c r="AC801" i="9"/>
  <c r="H801" i="9" s="1"/>
  <c r="AC798" i="9"/>
  <c r="H798" i="9" s="1"/>
  <c r="AC804" i="9"/>
  <c r="H804" i="9" s="1"/>
  <c r="AA1172" i="9"/>
  <c r="AC1174" i="9"/>
  <c r="H1174" i="9" s="1"/>
  <c r="AC1172" i="9"/>
  <c r="H1172" i="9" s="1"/>
  <c r="AC1176" i="9"/>
  <c r="H1176" i="9" s="1"/>
  <c r="AD1567" i="9"/>
  <c r="B1551" i="9"/>
  <c r="Z1567" i="9"/>
  <c r="B2856" i="9"/>
  <c r="AC2858" i="9"/>
  <c r="H2858" i="9" s="1"/>
  <c r="AC2862" i="9"/>
  <c r="H2862" i="9" s="1"/>
  <c r="AC2860" i="9"/>
  <c r="H2860" i="9" s="1"/>
  <c r="F28" i="5"/>
  <c r="AE2530" i="9"/>
  <c r="H2530" i="9" s="1"/>
  <c r="AE2528" i="9"/>
  <c r="H2528" i="9" s="1"/>
  <c r="AE2526" i="9"/>
  <c r="H2526" i="9" s="1"/>
  <c r="Z2337" i="9"/>
  <c r="B2321" i="9"/>
  <c r="AD2337" i="9"/>
  <c r="K126" i="7"/>
  <c r="L126" i="7" s="1"/>
  <c r="K196" i="7"/>
  <c r="L196" i="7" s="1"/>
  <c r="K207" i="7"/>
  <c r="L207" i="7" s="1"/>
  <c r="K278" i="7"/>
  <c r="L278" i="7" s="1"/>
  <c r="K112" i="7"/>
  <c r="L112" i="7" s="1"/>
  <c r="K102" i="7"/>
  <c r="L102" i="7" s="1"/>
  <c r="K249" i="7"/>
  <c r="L249" i="7" s="1"/>
  <c r="K141" i="7"/>
  <c r="L141" i="7" s="1"/>
  <c r="Z2608" i="9"/>
  <c r="B2600" i="9"/>
  <c r="AB2606" i="9"/>
  <c r="F165" i="12"/>
  <c r="J23" i="12"/>
  <c r="E23" i="12"/>
  <c r="F73" i="12"/>
  <c r="I74" i="12"/>
  <c r="D33" i="9"/>
  <c r="E837" i="9"/>
  <c r="C1953" i="9"/>
  <c r="B1953" i="9" s="1"/>
  <c r="K236" i="7"/>
  <c r="L236" i="7" s="1"/>
  <c r="L237" i="7" s="1"/>
  <c r="H32" i="6" s="1"/>
  <c r="L127" i="5" s="1"/>
  <c r="M127" i="5" s="1"/>
  <c r="B954" i="9"/>
  <c r="AB956" i="9"/>
  <c r="AI956" i="9"/>
  <c r="AC125" i="9"/>
  <c r="H125" i="9" s="1"/>
  <c r="AC129" i="9"/>
  <c r="H129" i="9" s="1"/>
  <c r="AC127" i="9"/>
  <c r="H127" i="9" s="1"/>
  <c r="AB2880" i="9"/>
  <c r="B2878" i="9"/>
  <c r="F32" i="7"/>
  <c r="H41" i="7"/>
  <c r="F8" i="6" s="1"/>
  <c r="B2391" i="9"/>
  <c r="AD2407" i="9"/>
  <c r="Z2407" i="9"/>
  <c r="Z2640" i="9"/>
  <c r="AB2638" i="9"/>
  <c r="B2632" i="9"/>
  <c r="B514" i="9"/>
  <c r="AE518" i="9"/>
  <c r="H518" i="9" s="1"/>
  <c r="AE520" i="9"/>
  <c r="H520" i="9" s="1"/>
  <c r="AE516" i="9"/>
  <c r="H516" i="9" s="1"/>
  <c r="F28" i="12"/>
  <c r="L32" i="12"/>
  <c r="H7" i="11" s="1"/>
  <c r="Z1870" i="9"/>
  <c r="B1862" i="9"/>
  <c r="B226" i="9"/>
  <c r="AC229" i="9"/>
  <c r="H229" i="9" s="1"/>
  <c r="AC235" i="9"/>
  <c r="H235" i="9" s="1"/>
  <c r="AC232" i="9"/>
  <c r="H232" i="9" s="1"/>
  <c r="AA270" i="9"/>
  <c r="AG272" i="9"/>
  <c r="H272" i="9" s="1"/>
  <c r="B3176" i="9"/>
  <c r="AC3178" i="9"/>
  <c r="H3178" i="9" s="1"/>
  <c r="AC3182" i="9"/>
  <c r="H3182" i="9" s="1"/>
  <c r="AC3180" i="9"/>
  <c r="H3180" i="9" s="1"/>
  <c r="J37" i="12"/>
  <c r="E37" i="12"/>
  <c r="J160" i="12"/>
  <c r="E160" i="12"/>
  <c r="J9" i="12"/>
  <c r="E9" i="12"/>
  <c r="F42" i="12"/>
  <c r="L46" i="12"/>
  <c r="H9" i="11" s="1"/>
  <c r="D1946" i="9"/>
  <c r="B2333" i="9"/>
  <c r="AB2339" i="9"/>
  <c r="B1806" i="9"/>
  <c r="AC1810" i="9"/>
  <c r="H1810" i="9" s="1"/>
  <c r="AC1808" i="9"/>
  <c r="H1808" i="9" s="1"/>
  <c r="AC1812" i="9"/>
  <c r="H1812" i="9" s="1"/>
  <c r="B1042" i="9"/>
  <c r="AC1044" i="9"/>
  <c r="H1044" i="9" s="1"/>
  <c r="AC1048" i="9"/>
  <c r="H1048" i="9" s="1"/>
  <c r="AC1046" i="9"/>
  <c r="H1046" i="9" s="1"/>
  <c r="AA2578" i="9"/>
  <c r="AC2582" i="9"/>
  <c r="H2582" i="9" s="1"/>
  <c r="B2576" i="9"/>
  <c r="AC2578" i="9"/>
  <c r="H2578" i="9" s="1"/>
  <c r="AC2580" i="9"/>
  <c r="H2580" i="9" s="1"/>
  <c r="AD2792" i="9"/>
  <c r="AJ2792" i="9"/>
  <c r="Z2792" i="9"/>
  <c r="B2961" i="9"/>
  <c r="AC2965" i="9"/>
  <c r="H2965" i="9" s="1"/>
  <c r="AC2967" i="9"/>
  <c r="H2967" i="9" s="1"/>
  <c r="AC2963" i="9"/>
  <c r="H2963" i="9" s="1"/>
  <c r="F39" i="7"/>
  <c r="F82" i="12"/>
  <c r="F14" i="12"/>
  <c r="L18" i="12"/>
  <c r="H5" i="11" s="1"/>
  <c r="F96" i="12"/>
  <c r="L100" i="12"/>
  <c r="H17" i="11" s="1"/>
  <c r="C4" i="21"/>
  <c r="D1" i="1" s="1"/>
  <c r="K137" i="5"/>
  <c r="F31" i="4" s="1"/>
  <c r="E194" i="9"/>
  <c r="D194" i="9"/>
  <c r="F191" i="9"/>
  <c r="D191" i="9"/>
  <c r="E386" i="9"/>
  <c r="D386" i="9"/>
  <c r="B30" i="9"/>
  <c r="E84" i="9"/>
  <c r="F84" i="9"/>
  <c r="C299" i="9"/>
  <c r="B299" i="9" s="1"/>
  <c r="E302" i="9"/>
  <c r="B1296" i="9"/>
  <c r="AB1306" i="9"/>
  <c r="F725" i="9"/>
  <c r="D725" i="9"/>
  <c r="E761" i="9"/>
  <c r="F761" i="9"/>
  <c r="B1334" i="9"/>
  <c r="AL1346" i="9"/>
  <c r="Z1346" i="9"/>
  <c r="C1502" i="9"/>
  <c r="B1502" i="9" s="1"/>
  <c r="AB1725" i="9"/>
  <c r="B1723" i="9"/>
  <c r="AI1725" i="9"/>
  <c r="B1828" i="9"/>
  <c r="Z1836" i="9"/>
  <c r="AH1836" i="9"/>
  <c r="C1938" i="9"/>
  <c r="K1942" i="9"/>
  <c r="K1944" i="9"/>
  <c r="C2091" i="9"/>
  <c r="B2091" i="9" s="1"/>
  <c r="E2097" i="9"/>
  <c r="C2111" i="9"/>
  <c r="B2111" i="9" s="1"/>
  <c r="E2117" i="9"/>
  <c r="B2598" i="9"/>
  <c r="Z2606" i="9"/>
  <c r="AH2606" i="9"/>
  <c r="D2086" i="9"/>
  <c r="C2224" i="9"/>
  <c r="B2224" i="9" s="1"/>
  <c r="C2150" i="9"/>
  <c r="B2150" i="9" s="1"/>
  <c r="E2156" i="9"/>
  <c r="F1703" i="9"/>
  <c r="E1703" i="9"/>
  <c r="C1951" i="9"/>
  <c r="B1951" i="9" s="1"/>
  <c r="E1957" i="9"/>
  <c r="AA2660" i="9"/>
  <c r="AA2662" i="9"/>
  <c r="AA2664" i="9"/>
  <c r="AE2660" i="9"/>
  <c r="H2660" i="9" s="1"/>
  <c r="B2658" i="9"/>
  <c r="AE2664" i="9"/>
  <c r="H2664" i="9" s="1"/>
  <c r="AE2662" i="9"/>
  <c r="H2662" i="9" s="1"/>
  <c r="AA2275" i="9"/>
  <c r="AA2277" i="9"/>
  <c r="AA2279" i="9"/>
  <c r="B2273" i="9"/>
  <c r="AC2275" i="9"/>
  <c r="H2275" i="9" s="1"/>
  <c r="AC2277" i="9"/>
  <c r="H2277" i="9" s="1"/>
  <c r="AC2279" i="9"/>
  <c r="H2279" i="9" s="1"/>
  <c r="B2880" i="9"/>
  <c r="Z2888" i="9"/>
  <c r="AH2888" i="9"/>
  <c r="AC2890" i="9"/>
  <c r="F3098" i="9"/>
  <c r="AA2473" i="9"/>
  <c r="AA2475" i="9"/>
  <c r="AA2477" i="9"/>
  <c r="AC2473" i="9"/>
  <c r="H2473" i="9" s="1"/>
  <c r="AC2475" i="9"/>
  <c r="H2475" i="9" s="1"/>
  <c r="AC2477" i="9"/>
  <c r="H2477" i="9" s="1"/>
  <c r="B2471" i="9"/>
  <c r="B3203" i="9"/>
  <c r="AE3215" i="9"/>
  <c r="Z3209" i="9"/>
  <c r="AH3209" i="9"/>
  <c r="K218" i="5"/>
  <c r="F45" i="4" s="1"/>
  <c r="G7" i="6"/>
  <c r="I54" i="7" s="1"/>
  <c r="F33" i="7"/>
  <c r="E7" i="6" s="1"/>
  <c r="F67" i="7"/>
  <c r="F81" i="7"/>
  <c r="F233" i="7"/>
  <c r="F69" i="5"/>
  <c r="K69" i="5"/>
  <c r="B2080" i="9"/>
  <c r="F240" i="7"/>
  <c r="E58" i="7"/>
  <c r="J58" i="7"/>
  <c r="E9" i="7"/>
  <c r="J9" i="7"/>
  <c r="F9" i="7" s="1"/>
  <c r="E185" i="7"/>
  <c r="J185" i="7"/>
  <c r="F185" i="7" s="1"/>
  <c r="L1464" i="9"/>
  <c r="I1464" i="9" s="1"/>
  <c r="L1356" i="9"/>
  <c r="I1356" i="9" s="1"/>
  <c r="I19" i="20"/>
  <c r="F19" i="20" s="1"/>
  <c r="F174" i="12"/>
  <c r="I175" i="12"/>
  <c r="E169" i="7"/>
  <c r="J169" i="7"/>
  <c r="F229" i="5"/>
  <c r="K229" i="5"/>
  <c r="G229" i="5" s="1"/>
  <c r="L49" i="5"/>
  <c r="M49" i="5" s="1"/>
  <c r="L126" i="5"/>
  <c r="M126" i="5" s="1"/>
  <c r="L206" i="5"/>
  <c r="M206" i="5" s="1"/>
  <c r="E205" i="7"/>
  <c r="J205" i="7"/>
  <c r="F205" i="7" s="1"/>
  <c r="E139" i="7"/>
  <c r="J139" i="7"/>
  <c r="F139" i="7" s="1"/>
  <c r="F72" i="5"/>
  <c r="K72" i="5"/>
  <c r="G72" i="5" s="1"/>
  <c r="E145" i="7"/>
  <c r="J145" i="7"/>
  <c r="F230" i="5"/>
  <c r="K230" i="5"/>
  <c r="G230" i="5" s="1"/>
  <c r="L932" i="9"/>
  <c r="I932" i="9" s="1"/>
  <c r="L1420" i="9"/>
  <c r="I1420" i="9" s="1"/>
  <c r="L1846" i="9"/>
  <c r="I1846" i="9" s="1"/>
  <c r="L2616" i="9"/>
  <c r="I2616" i="9" s="1"/>
  <c r="L3001" i="9"/>
  <c r="I3001" i="9" s="1"/>
  <c r="G18" i="11"/>
  <c r="F153" i="12"/>
  <c r="I154" i="12"/>
  <c r="L125" i="5"/>
  <c r="M125" i="5" s="1"/>
  <c r="L205" i="5"/>
  <c r="M205" i="5" s="1"/>
  <c r="L48" i="5"/>
  <c r="M48" i="5" s="1"/>
  <c r="F128" i="12"/>
  <c r="F158" i="12"/>
  <c r="F124" i="12"/>
  <c r="F150" i="12"/>
  <c r="F60" i="12"/>
  <c r="J61" i="12"/>
  <c r="F83" i="12"/>
  <c r="H104" i="12"/>
  <c r="E104" i="12"/>
  <c r="E152" i="12"/>
  <c r="H152" i="12"/>
  <c r="H90" i="12"/>
  <c r="E90" i="12"/>
  <c r="H118" i="12"/>
  <c r="E118" i="12"/>
  <c r="E23" i="9"/>
  <c r="C23" i="9" s="1"/>
  <c r="C21" i="9"/>
  <c r="B21" i="9" s="1"/>
  <c r="C425" i="9"/>
  <c r="E11" i="8"/>
  <c r="E666" i="9"/>
  <c r="C666" i="9" s="1"/>
  <c r="C664" i="9"/>
  <c r="B664" i="9" s="1"/>
  <c r="F721" i="9"/>
  <c r="E721" i="9"/>
  <c r="D860" i="9"/>
  <c r="E860" i="9"/>
  <c r="B912" i="9"/>
  <c r="AL924" i="9"/>
  <c r="Z924" i="9"/>
  <c r="AG1229" i="9"/>
  <c r="AA1229" i="9"/>
  <c r="AI1229" i="9"/>
  <c r="B1225" i="9"/>
  <c r="AD1227" i="9"/>
  <c r="AF1227" i="9"/>
  <c r="AH1569" i="9"/>
  <c r="B1567" i="9"/>
  <c r="AJ1569" i="9"/>
  <c r="AH1639" i="9"/>
  <c r="B1637" i="9"/>
  <c r="C1490" i="9"/>
  <c r="B1490" i="9" s="1"/>
  <c r="E1492" i="9"/>
  <c r="B1860" i="9"/>
  <c r="Z1868" i="9"/>
  <c r="AH1868" i="9"/>
  <c r="D2097" i="9"/>
  <c r="L2095" i="9"/>
  <c r="F2236" i="9"/>
  <c r="AJ1639" i="9"/>
  <c r="AA2258" i="9"/>
  <c r="AA2260" i="9"/>
  <c r="AA2262" i="9"/>
  <c r="AC2258" i="9"/>
  <c r="H2258" i="9" s="1"/>
  <c r="AC2260" i="9"/>
  <c r="H2260" i="9" s="1"/>
  <c r="AC2262" i="9"/>
  <c r="H2262" i="9" s="1"/>
  <c r="B2256" i="9"/>
  <c r="D1957" i="9"/>
  <c r="D1959" i="9" s="1"/>
  <c r="D1964" i="9" s="1"/>
  <c r="L1955" i="9"/>
  <c r="F1993" i="9"/>
  <c r="AH2339" i="9"/>
  <c r="B2337" i="9"/>
  <c r="AJ2339" i="9"/>
  <c r="B2909" i="9"/>
  <c r="AA2911" i="9"/>
  <c r="AA2913" i="9"/>
  <c r="AA2915" i="9"/>
  <c r="AE2911" i="9"/>
  <c r="H2911" i="9" s="1"/>
  <c r="AE2913" i="9"/>
  <c r="H2913" i="9" s="1"/>
  <c r="AE2915" i="9"/>
  <c r="H2915" i="9" s="1"/>
  <c r="AH2409" i="9"/>
  <c r="B2407" i="9"/>
  <c r="B3265" i="9"/>
  <c r="AA3267" i="9"/>
  <c r="AA3269" i="9"/>
  <c r="AA3271" i="9"/>
  <c r="AE3267" i="9"/>
  <c r="H3267" i="9" s="1"/>
  <c r="AE3269" i="9"/>
  <c r="H3269" i="9" s="1"/>
  <c r="AE3271" i="9"/>
  <c r="H3271" i="9" s="1"/>
  <c r="G187" i="5"/>
  <c r="C3094" i="9"/>
  <c r="E38" i="7"/>
  <c r="J38" i="7"/>
  <c r="F38" i="7" s="1"/>
  <c r="B1938" i="9"/>
  <c r="I171" i="9"/>
  <c r="E171" i="9"/>
  <c r="F135" i="5"/>
  <c r="K135" i="5"/>
  <c r="G135" i="5" s="1"/>
  <c r="H166" i="12"/>
  <c r="E166" i="12"/>
  <c r="E36" i="7"/>
  <c r="J36" i="7"/>
  <c r="E170" i="7"/>
  <c r="J170" i="7"/>
  <c r="F170" i="7" s="1"/>
  <c r="E164" i="7"/>
  <c r="J164" i="7"/>
  <c r="F164" i="7" s="1"/>
  <c r="F16" i="12"/>
  <c r="I17" i="12"/>
  <c r="F44" i="12"/>
  <c r="I45" i="12"/>
  <c r="L1314" i="9"/>
  <c r="I1314" i="9" s="1"/>
  <c r="L1743" i="9"/>
  <c r="I1743" i="9" s="1"/>
  <c r="L2513" i="9"/>
  <c r="I2513" i="9" s="1"/>
  <c r="L2898" i="9"/>
  <c r="I2898" i="9" s="1"/>
  <c r="L3217" i="9"/>
  <c r="I3217" i="9" s="1"/>
  <c r="I11" i="20"/>
  <c r="L1235" i="9"/>
  <c r="I1235" i="9" s="1"/>
  <c r="I14" i="20"/>
  <c r="L978" i="9"/>
  <c r="I978" i="9" s="1"/>
  <c r="L1462" i="9"/>
  <c r="I1462" i="9" s="1"/>
  <c r="L1354" i="9"/>
  <c r="I1354" i="9" s="1"/>
  <c r="I20" i="20"/>
  <c r="E8" i="7"/>
  <c r="J8" i="7"/>
  <c r="F70" i="5"/>
  <c r="K70" i="5"/>
  <c r="G70" i="5" s="1"/>
  <c r="E37" i="7"/>
  <c r="J37" i="7"/>
  <c r="F37" i="7" s="1"/>
  <c r="E194" i="7"/>
  <c r="J194" i="7"/>
  <c r="F194" i="7" s="1"/>
  <c r="E200" i="7"/>
  <c r="J200" i="7"/>
  <c r="E134" i="7"/>
  <c r="J134" i="7"/>
  <c r="F71" i="5"/>
  <c r="K71" i="5"/>
  <c r="G71" i="5" s="1"/>
  <c r="F98" i="12"/>
  <c r="I99" i="12"/>
  <c r="L418" i="9"/>
  <c r="I418" i="9" s="1"/>
  <c r="I17" i="20"/>
  <c r="L140" i="12"/>
  <c r="H23" i="11" s="1"/>
  <c r="K277" i="7"/>
  <c r="L277" i="7" s="1"/>
  <c r="K288" i="7"/>
  <c r="L288" i="7" s="1"/>
  <c r="I26" i="20"/>
  <c r="F131" i="12"/>
  <c r="J132" i="12"/>
  <c r="G28" i="7"/>
  <c r="H28" i="7" s="1"/>
  <c r="H29" i="7" s="1"/>
  <c r="F6" i="6" s="1"/>
  <c r="G19" i="7"/>
  <c r="H19" i="7" s="1"/>
  <c r="H20" i="7" s="1"/>
  <c r="F5" i="6" s="1"/>
  <c r="G236" i="7"/>
  <c r="H236" i="7" s="1"/>
  <c r="H237" i="7" s="1"/>
  <c r="F32" i="6" s="1"/>
  <c r="H127" i="5" s="1"/>
  <c r="I127" i="5" s="1"/>
  <c r="G13" i="20"/>
  <c r="F21" i="12"/>
  <c r="F89" i="12"/>
  <c r="F97" i="12"/>
  <c r="H72" i="12"/>
  <c r="E72" i="12"/>
  <c r="E29" i="12"/>
  <c r="H29" i="12"/>
  <c r="H58" i="12"/>
  <c r="E58" i="12"/>
  <c r="H51" i="12"/>
  <c r="E51" i="12"/>
  <c r="D90" i="9"/>
  <c r="E90" i="9"/>
  <c r="F270" i="9"/>
  <c r="E270" i="9"/>
  <c r="AB1089" i="9"/>
  <c r="B1087" i="9"/>
  <c r="AI1089" i="9"/>
  <c r="AC682" i="9"/>
  <c r="H682" i="9" s="1"/>
  <c r="AC685" i="9"/>
  <c r="H685" i="9" s="1"/>
  <c r="AC688" i="9"/>
  <c r="H688" i="9" s="1"/>
  <c r="B679" i="9"/>
  <c r="AA682" i="9"/>
  <c r="AA685" i="9"/>
  <c r="AA688" i="9"/>
  <c r="E765" i="9"/>
  <c r="D765" i="9"/>
  <c r="F857" i="9"/>
  <c r="D857" i="9"/>
  <c r="AA1138" i="9"/>
  <c r="AA1140" i="9"/>
  <c r="AA1142" i="9"/>
  <c r="AC1138" i="9"/>
  <c r="H1138" i="9" s="1"/>
  <c r="AC1140" i="9"/>
  <c r="H1140" i="9" s="1"/>
  <c r="AC1142" i="9"/>
  <c r="H1142" i="9" s="1"/>
  <c r="B1136" i="9"/>
  <c r="C837" i="9"/>
  <c r="B837" i="9" s="1"/>
  <c r="E839" i="9"/>
  <c r="C839" i="9" s="1"/>
  <c r="B1400" i="9"/>
  <c r="AL1412" i="9"/>
  <c r="Z1412" i="9"/>
  <c r="AL1306" i="9"/>
  <c r="Z1306" i="9"/>
  <c r="B1294" i="9"/>
  <c r="B1754" i="9"/>
  <c r="AA1756" i="9"/>
  <c r="AA1758" i="9"/>
  <c r="AA1760" i="9"/>
  <c r="AE1756" i="9"/>
  <c r="H1756" i="9" s="1"/>
  <c r="AE1758" i="9"/>
  <c r="H1758" i="9" s="1"/>
  <c r="AE1760" i="9"/>
  <c r="H1760" i="9" s="1"/>
  <c r="D1510" i="9"/>
  <c r="D2167" i="9"/>
  <c r="L2165" i="9"/>
  <c r="C2161" i="9"/>
  <c r="B2161" i="9" s="1"/>
  <c r="C2172" i="9"/>
  <c r="B2172" i="9" s="1"/>
  <c r="E2174" i="9"/>
  <c r="C2174" i="9" s="1"/>
  <c r="D2156" i="9"/>
  <c r="L2154" i="9"/>
  <c r="F1705" i="9"/>
  <c r="D1705" i="9"/>
  <c r="AG2505" i="9"/>
  <c r="B2503" i="9"/>
  <c r="AE2505" i="9"/>
  <c r="AA2505" i="9"/>
  <c r="AH2507" i="9"/>
  <c r="B2630" i="9"/>
  <c r="Z2638" i="9"/>
  <c r="AH2638" i="9"/>
  <c r="C2234" i="9"/>
  <c r="B2983" i="9"/>
  <c r="Z2991" i="9"/>
  <c r="AH2991" i="9"/>
  <c r="C3098" i="9"/>
  <c r="K60" i="5"/>
  <c r="F17" i="4" s="1"/>
  <c r="F46" i="7"/>
  <c r="F74" i="7"/>
  <c r="F275" i="7"/>
  <c r="H10" i="5"/>
  <c r="I10" i="5" s="1"/>
  <c r="H89" i="5"/>
  <c r="I89" i="5" s="1"/>
  <c r="E60" i="7"/>
  <c r="J60" i="7"/>
  <c r="F60" i="7" s="1"/>
  <c r="F146" i="5"/>
  <c r="K146" i="5"/>
  <c r="F216" i="5"/>
  <c r="K216" i="5"/>
  <c r="G216" i="5" s="1"/>
  <c r="K245" i="5"/>
  <c r="F47" i="4" s="1"/>
  <c r="G246" i="5"/>
  <c r="G245" i="5" s="1"/>
  <c r="D47" i="4" s="1"/>
  <c r="E17" i="9"/>
  <c r="C13" i="9"/>
  <c r="L129" i="9"/>
  <c r="I6" i="20"/>
  <c r="L161" i="9"/>
  <c r="L652" i="9"/>
  <c r="L828" i="9"/>
  <c r="I10" i="20"/>
  <c r="F147" i="5"/>
  <c r="K147" i="5"/>
  <c r="G147" i="5" s="1"/>
  <c r="E59" i="7"/>
  <c r="J59" i="7"/>
  <c r="F59" i="7" s="1"/>
  <c r="E130" i="7"/>
  <c r="J130" i="7"/>
  <c r="F130" i="7" s="1"/>
  <c r="F233" i="5"/>
  <c r="K233" i="5"/>
  <c r="G233" i="5" s="1"/>
  <c r="E189" i="7"/>
  <c r="J189" i="7"/>
  <c r="E211" i="7"/>
  <c r="J211" i="7"/>
  <c r="F232" i="7"/>
  <c r="F30" i="12"/>
  <c r="I31" i="12"/>
  <c r="L47" i="9"/>
  <c r="I16" i="20"/>
  <c r="H111" i="12"/>
  <c r="E111" i="12"/>
  <c r="F125" i="12"/>
  <c r="E21" i="11" s="1"/>
  <c r="F145" i="12"/>
  <c r="I146" i="12"/>
  <c r="L90" i="9"/>
  <c r="I90" i="9" s="1"/>
  <c r="I24" i="20"/>
  <c r="F49" i="12"/>
  <c r="F176" i="12"/>
  <c r="F7" i="12"/>
  <c r="F35" i="12"/>
  <c r="F92" i="12"/>
  <c r="J93" i="12"/>
  <c r="F103" i="12"/>
  <c r="H36" i="12"/>
  <c r="E36" i="12"/>
  <c r="H137" i="12"/>
  <c r="E137" i="12"/>
  <c r="H22" i="12"/>
  <c r="E22" i="12"/>
  <c r="H43" i="12"/>
  <c r="E43" i="12"/>
  <c r="C33" i="9"/>
  <c r="B402" i="9"/>
  <c r="Z410" i="9"/>
  <c r="AH410" i="9"/>
  <c r="AB599" i="9"/>
  <c r="B597" i="9"/>
  <c r="AI599" i="9"/>
  <c r="D87" i="9"/>
  <c r="F87" i="9"/>
  <c r="C15" i="9"/>
  <c r="B15" i="9" s="1"/>
  <c r="D274" i="9"/>
  <c r="E274" i="9"/>
  <c r="F188" i="9"/>
  <c r="E188" i="9"/>
  <c r="F384" i="9"/>
  <c r="D384" i="9"/>
  <c r="D729" i="9"/>
  <c r="E729" i="9"/>
  <c r="F763" i="9"/>
  <c r="D763" i="9"/>
  <c r="F854" i="9"/>
  <c r="E854" i="9"/>
  <c r="Z1452" i="9"/>
  <c r="B1440" i="9"/>
  <c r="AC1454" i="9"/>
  <c r="AL1452" i="9"/>
  <c r="C1505" i="9"/>
  <c r="B1888" i="9"/>
  <c r="AA1890" i="9"/>
  <c r="AA1892" i="9"/>
  <c r="AA1894" i="9"/>
  <c r="AE1890" i="9"/>
  <c r="H1890" i="9" s="1"/>
  <c r="AE1892" i="9"/>
  <c r="H1892" i="9" s="1"/>
  <c r="AE1894" i="9"/>
  <c r="H1894" i="9" s="1"/>
  <c r="C2051" i="9"/>
  <c r="B2051" i="9" s="1"/>
  <c r="E2054" i="9"/>
  <c r="C2163" i="9"/>
  <c r="B2163" i="9" s="1"/>
  <c r="E2167" i="9"/>
  <c r="K2084" i="9"/>
  <c r="C2078" i="9"/>
  <c r="B2078" i="9" s="1"/>
  <c r="K2082" i="9"/>
  <c r="C2226" i="9"/>
  <c r="E2236" i="9"/>
  <c r="D2105" i="9"/>
  <c r="F36" i="8"/>
  <c r="G179" i="7" s="1"/>
  <c r="H179" i="7" s="1"/>
  <c r="AC2509" i="9"/>
  <c r="H2509" i="9" s="1"/>
  <c r="AA2513" i="9"/>
  <c r="AE2511" i="9"/>
  <c r="H2511" i="9" s="1"/>
  <c r="AC2513" i="9"/>
  <c r="H2513" i="9" s="1"/>
  <c r="B2507" i="9"/>
  <c r="AA2509" i="9"/>
  <c r="AA2511" i="9"/>
  <c r="D1707" i="9"/>
  <c r="E1707" i="9"/>
  <c r="E1993" i="9"/>
  <c r="C1989" i="9"/>
  <c r="B1989" i="9" s="1"/>
  <c r="B2409" i="9"/>
  <c r="AA2412" i="9"/>
  <c r="AA2414" i="9"/>
  <c r="AA2416" i="9"/>
  <c r="AC2412" i="9"/>
  <c r="H2412" i="9" s="1"/>
  <c r="AC2414" i="9"/>
  <c r="H2414" i="9" s="1"/>
  <c r="AC2416" i="9"/>
  <c r="H2416" i="9" s="1"/>
  <c r="C2232" i="9"/>
  <c r="B2232" i="9" s="1"/>
  <c r="B3043" i="9"/>
  <c r="AA3045" i="9"/>
  <c r="AA3047" i="9"/>
  <c r="AA3049" i="9"/>
  <c r="AE3045" i="9"/>
  <c r="H3045" i="9" s="1"/>
  <c r="AE3047" i="9"/>
  <c r="H3047" i="9" s="1"/>
  <c r="AE3049" i="9"/>
  <c r="H3049" i="9" s="1"/>
  <c r="B3015" i="9"/>
  <c r="Z3023" i="9"/>
  <c r="AH3023" i="9"/>
  <c r="AG3246" i="9"/>
  <c r="AH3242" i="9"/>
  <c r="AJ3242" i="9"/>
  <c r="AC3246" i="9"/>
  <c r="B3240" i="9"/>
  <c r="F51" i="7"/>
  <c r="F228" i="5"/>
  <c r="K228" i="5"/>
  <c r="F57" i="5"/>
  <c r="K57" i="5"/>
  <c r="G57" i="5" s="1"/>
  <c r="B13" i="9"/>
  <c r="F15" i="7"/>
  <c r="F52" i="12"/>
  <c r="I53" i="12"/>
  <c r="F84" i="12"/>
  <c r="I85" i="12"/>
  <c r="F119" i="12"/>
  <c r="I120" i="12"/>
  <c r="F167" i="12"/>
  <c r="I168" i="12"/>
  <c r="F24" i="7"/>
  <c r="E65" i="12"/>
  <c r="H65" i="12"/>
  <c r="E144" i="12"/>
  <c r="H144" i="12"/>
  <c r="F274" i="7"/>
  <c r="E116" i="7"/>
  <c r="J116" i="7"/>
  <c r="F116" i="7" s="1"/>
  <c r="E245" i="7"/>
  <c r="J245" i="7"/>
  <c r="F245" i="7" s="1"/>
  <c r="F149" i="5"/>
  <c r="K149" i="5"/>
  <c r="G149" i="5" s="1"/>
  <c r="E153" i="7"/>
  <c r="J153" i="7"/>
  <c r="F148" i="5"/>
  <c r="K148" i="5"/>
  <c r="G148" i="5" s="1"/>
  <c r="L1576" i="9"/>
  <c r="I1576" i="9" s="1"/>
  <c r="L2731" i="9"/>
  <c r="I2731" i="9" s="1"/>
  <c r="L2346" i="9"/>
  <c r="I2346" i="9" s="1"/>
  <c r="I4" i="20"/>
  <c r="L67" i="9"/>
  <c r="I8" i="20"/>
  <c r="F66" i="12"/>
  <c r="I67" i="12"/>
  <c r="L478" i="9"/>
  <c r="I23" i="20"/>
  <c r="J229" i="9"/>
  <c r="G15" i="20"/>
  <c r="F71" i="12"/>
  <c r="F110" i="12"/>
  <c r="F57" i="12"/>
  <c r="H159" i="12"/>
  <c r="E159" i="12"/>
  <c r="H8" i="12"/>
  <c r="E8" i="12"/>
  <c r="H129" i="12"/>
  <c r="E129" i="12"/>
  <c r="H173" i="12"/>
  <c r="E173" i="12"/>
  <c r="H15" i="12"/>
  <c r="E15" i="12"/>
  <c r="F2105" i="9" l="1"/>
  <c r="H36" i="8"/>
  <c r="K179" i="7" s="1"/>
  <c r="L179" i="7" s="1"/>
  <c r="C2115" i="9"/>
  <c r="B2115" i="9" s="1"/>
  <c r="AJ2724" i="9"/>
  <c r="AH2724" i="9"/>
  <c r="B2722" i="9"/>
  <c r="J114" i="12"/>
  <c r="F382" i="9"/>
  <c r="I139" i="12"/>
  <c r="F138" i="12"/>
  <c r="E582" i="9"/>
  <c r="D582" i="9"/>
  <c r="D2176" i="9"/>
  <c r="D2209" i="9" s="1"/>
  <c r="F578" i="9"/>
  <c r="E578" i="9"/>
  <c r="E2967" i="9"/>
  <c r="D2967" i="9"/>
  <c r="AH2794" i="9"/>
  <c r="AJ2794" i="9"/>
  <c r="B2792" i="9"/>
  <c r="E1048" i="9"/>
  <c r="D1048" i="9"/>
  <c r="E1808" i="9"/>
  <c r="F1808" i="9"/>
  <c r="F160" i="12"/>
  <c r="I161" i="12"/>
  <c r="D3182" i="9"/>
  <c r="E3182" i="9"/>
  <c r="L804" i="9"/>
  <c r="I804" i="9" s="1"/>
  <c r="L1760" i="9"/>
  <c r="I1760" i="9" s="1"/>
  <c r="L2279" i="9"/>
  <c r="I2279" i="9" s="1"/>
  <c r="L2530" i="9"/>
  <c r="I2530" i="9" s="1"/>
  <c r="I7" i="20"/>
  <c r="L1142" i="9"/>
  <c r="I1142" i="9" s="1"/>
  <c r="L1707" i="9"/>
  <c r="L2862" i="9"/>
  <c r="I2862" i="9" s="1"/>
  <c r="L2915" i="9"/>
  <c r="I2915" i="9" s="1"/>
  <c r="L274" i="9"/>
  <c r="L729" i="9"/>
  <c r="L2262" i="9"/>
  <c r="I2262" i="9" s="1"/>
  <c r="L3114" i="9"/>
  <c r="L3271" i="9"/>
  <c r="I3271" i="9" s="1"/>
  <c r="L765" i="9"/>
  <c r="L1176" i="9"/>
  <c r="I1176" i="9" s="1"/>
  <c r="L2477" i="9"/>
  <c r="I2477" i="9" s="1"/>
  <c r="L3182" i="9"/>
  <c r="I3182" i="9" s="1"/>
  <c r="K88" i="7"/>
  <c r="L88" i="7" s="1"/>
  <c r="L90" i="7" s="1"/>
  <c r="H15" i="6" s="1"/>
  <c r="F518" i="9"/>
  <c r="D518" i="9"/>
  <c r="H168" i="5"/>
  <c r="I168" i="5" s="1"/>
  <c r="H9" i="5"/>
  <c r="I9" i="5" s="1"/>
  <c r="H88" i="5"/>
  <c r="I88" i="5" s="1"/>
  <c r="F127" i="9"/>
  <c r="D127" i="9"/>
  <c r="E74" i="12"/>
  <c r="J74" i="12"/>
  <c r="F2528" i="9"/>
  <c r="D2528" i="9"/>
  <c r="E2862" i="9"/>
  <c r="D2862" i="9"/>
  <c r="F1174" i="9"/>
  <c r="D1174" i="9"/>
  <c r="F801" i="9"/>
  <c r="D801" i="9"/>
  <c r="D1070" i="9"/>
  <c r="F1070" i="9"/>
  <c r="L235" i="9"/>
  <c r="I235" i="9" s="1"/>
  <c r="I15" i="20"/>
  <c r="D2965" i="9"/>
  <c r="F2965" i="9"/>
  <c r="D2582" i="9"/>
  <c r="E2582" i="9"/>
  <c r="E1044" i="9"/>
  <c r="F1044" i="9"/>
  <c r="F1810" i="9"/>
  <c r="D1810" i="9"/>
  <c r="F3178" i="9"/>
  <c r="E3178" i="9"/>
  <c r="F232" i="9"/>
  <c r="D232" i="9"/>
  <c r="E129" i="9"/>
  <c r="D129" i="9"/>
  <c r="E2530" i="9"/>
  <c r="D2530" i="9"/>
  <c r="E2858" i="9"/>
  <c r="F2858" i="9"/>
  <c r="D2580" i="9"/>
  <c r="F2580" i="9"/>
  <c r="F9" i="12"/>
  <c r="I10" i="12"/>
  <c r="F37" i="12"/>
  <c r="I38" i="12"/>
  <c r="D235" i="9"/>
  <c r="E235" i="9"/>
  <c r="F516" i="9"/>
  <c r="E516" i="9"/>
  <c r="E125" i="9"/>
  <c r="F125" i="9"/>
  <c r="D1176" i="9"/>
  <c r="E1176" i="9"/>
  <c r="D804" i="9"/>
  <c r="E804" i="9"/>
  <c r="F804" i="9"/>
  <c r="E1068" i="9"/>
  <c r="F1068" i="9"/>
  <c r="L312" i="9"/>
  <c r="L520" i="9"/>
  <c r="I520" i="9" s="1"/>
  <c r="I5" i="20"/>
  <c r="E2963" i="9"/>
  <c r="F2963" i="9"/>
  <c r="E2578" i="9"/>
  <c r="F2578" i="9"/>
  <c r="D1046" i="9"/>
  <c r="F1046" i="9"/>
  <c r="E1812" i="9"/>
  <c r="D1812" i="9"/>
  <c r="L194" i="9"/>
  <c r="L1048" i="9"/>
  <c r="I1048" i="9" s="1"/>
  <c r="L1894" i="9"/>
  <c r="I1894" i="9" s="1"/>
  <c r="L2664" i="9"/>
  <c r="I2664" i="9" s="1"/>
  <c r="L688" i="9"/>
  <c r="I688" i="9" s="1"/>
  <c r="L1072" i="9"/>
  <c r="I1072" i="9" s="1"/>
  <c r="L2582" i="9"/>
  <c r="I2582" i="9" s="1"/>
  <c r="I9" i="20"/>
  <c r="L558" i="9"/>
  <c r="L860" i="9"/>
  <c r="L2967" i="9"/>
  <c r="I2967" i="9" s="1"/>
  <c r="L386" i="9"/>
  <c r="L582" i="9"/>
  <c r="L1812" i="9"/>
  <c r="I1812" i="9" s="1"/>
  <c r="L3049" i="9"/>
  <c r="I3049" i="9" s="1"/>
  <c r="D3180" i="9"/>
  <c r="F3180" i="9"/>
  <c r="D272" i="9"/>
  <c r="F272" i="9"/>
  <c r="F229" i="9"/>
  <c r="E229" i="9"/>
  <c r="D520" i="9"/>
  <c r="F520" i="9"/>
  <c r="E520" i="9"/>
  <c r="B956" i="9"/>
  <c r="Z968" i="9"/>
  <c r="AC970" i="9"/>
  <c r="AL968" i="9"/>
  <c r="F23" i="12"/>
  <c r="I24" i="12"/>
  <c r="E2526" i="9"/>
  <c r="F2526" i="9"/>
  <c r="F2860" i="9"/>
  <c r="D2860" i="9"/>
  <c r="F1172" i="9"/>
  <c r="E1172" i="9"/>
  <c r="F798" i="9"/>
  <c r="E798" i="9"/>
  <c r="E1072" i="9"/>
  <c r="F1072" i="9"/>
  <c r="D1072" i="9"/>
  <c r="E53" i="12"/>
  <c r="J53" i="12"/>
  <c r="D2414" i="9"/>
  <c r="F2414" i="9"/>
  <c r="F2513" i="9"/>
  <c r="D2513" i="9"/>
  <c r="E2513" i="9"/>
  <c r="H46" i="12"/>
  <c r="F9" i="11" s="1"/>
  <c r="F43" i="12"/>
  <c r="F137" i="12"/>
  <c r="H140" i="12"/>
  <c r="F23" i="11" s="1"/>
  <c r="E31" i="12"/>
  <c r="J31" i="12"/>
  <c r="F211" i="7"/>
  <c r="B2991" i="9"/>
  <c r="AB2993" i="9"/>
  <c r="AH2995" i="9"/>
  <c r="AD2993" i="9"/>
  <c r="AJ2995" i="9"/>
  <c r="I2154" i="9"/>
  <c r="F2154" i="9"/>
  <c r="I2165" i="9"/>
  <c r="F2165" i="9"/>
  <c r="D1758" i="9"/>
  <c r="F1758" i="9"/>
  <c r="B1306" i="9"/>
  <c r="AH1308" i="9"/>
  <c r="AJ1308" i="9"/>
  <c r="D1140" i="9"/>
  <c r="F1140" i="9"/>
  <c r="H32" i="12"/>
  <c r="F7" i="11" s="1"/>
  <c r="F29" i="12"/>
  <c r="H49" i="5"/>
  <c r="I49" i="5" s="1"/>
  <c r="H126" i="5"/>
  <c r="I126" i="5" s="1"/>
  <c r="H206" i="5"/>
  <c r="I206" i="5" s="1"/>
  <c r="E99" i="12"/>
  <c r="J99" i="12"/>
  <c r="F134" i="7"/>
  <c r="F8" i="7"/>
  <c r="J11" i="7"/>
  <c r="E17" i="12"/>
  <c r="J17" i="12"/>
  <c r="C171" i="9"/>
  <c r="B171" i="9" s="1"/>
  <c r="E172" i="9"/>
  <c r="C172" i="9" s="1"/>
  <c r="E3267" i="9"/>
  <c r="F3267" i="9"/>
  <c r="B2339" i="9"/>
  <c r="AA2342" i="9"/>
  <c r="AA2344" i="9"/>
  <c r="AA2346" i="9"/>
  <c r="AC2342" i="9"/>
  <c r="H2342" i="9" s="1"/>
  <c r="AC2344" i="9"/>
  <c r="H2344" i="9" s="1"/>
  <c r="AC2346" i="9"/>
  <c r="H2346" i="9" s="1"/>
  <c r="I1955" i="9"/>
  <c r="F1955" i="9"/>
  <c r="F2262" i="9"/>
  <c r="D2262" i="9"/>
  <c r="E2262" i="9"/>
  <c r="I2095" i="9"/>
  <c r="F2095" i="9"/>
  <c r="B924" i="9"/>
  <c r="AH926" i="9"/>
  <c r="AJ926" i="9"/>
  <c r="H121" i="12"/>
  <c r="F20" i="11" s="1"/>
  <c r="F118" i="12"/>
  <c r="E154" i="12"/>
  <c r="J154" i="12"/>
  <c r="K45" i="9"/>
  <c r="H16" i="20"/>
  <c r="E175" i="12"/>
  <c r="J175" i="12"/>
  <c r="E54" i="7"/>
  <c r="J54" i="7"/>
  <c r="F54" i="7" s="1"/>
  <c r="AH3211" i="9"/>
  <c r="AC3215" i="9"/>
  <c r="B3209" i="9"/>
  <c r="AG3215" i="9"/>
  <c r="AJ3211" i="9"/>
  <c r="D2279" i="9"/>
  <c r="F2279" i="9"/>
  <c r="E2279" i="9"/>
  <c r="D2664" i="9"/>
  <c r="E2664" i="9"/>
  <c r="E2176" i="9"/>
  <c r="B2606" i="9"/>
  <c r="AB2608" i="9"/>
  <c r="AH2610" i="9"/>
  <c r="AD2608" i="9"/>
  <c r="AJ2610" i="9"/>
  <c r="I1944" i="9"/>
  <c r="E1944" i="9"/>
  <c r="C1944" i="9" s="1"/>
  <c r="F8" i="12"/>
  <c r="H11" i="12"/>
  <c r="F4" i="11" s="1"/>
  <c r="D3049" i="9"/>
  <c r="E3049" i="9"/>
  <c r="F3049" i="9"/>
  <c r="F2412" i="9"/>
  <c r="E2412" i="9"/>
  <c r="F2511" i="9"/>
  <c r="D2511" i="9"/>
  <c r="I2084" i="9"/>
  <c r="E2084" i="9"/>
  <c r="C2084" i="9" s="1"/>
  <c r="D1894" i="9"/>
  <c r="E1894" i="9"/>
  <c r="F1894" i="9"/>
  <c r="AA1454" i="9"/>
  <c r="AH1456" i="9"/>
  <c r="AJ1456" i="9"/>
  <c r="AE1454" i="9"/>
  <c r="B1452" i="9"/>
  <c r="AG1454" i="9"/>
  <c r="AH412" i="9"/>
  <c r="B410" i="9"/>
  <c r="AJ412" i="9"/>
  <c r="G16" i="11"/>
  <c r="I47" i="9"/>
  <c r="F47" i="9"/>
  <c r="I828" i="9"/>
  <c r="F828" i="9"/>
  <c r="I129" i="9"/>
  <c r="F129" i="9"/>
  <c r="K145" i="5"/>
  <c r="F32" i="4" s="1"/>
  <c r="G146" i="5"/>
  <c r="G145" i="5" s="1"/>
  <c r="D32" i="4" s="1"/>
  <c r="D2140" i="9"/>
  <c r="F37" i="8"/>
  <c r="G161" i="7" s="1"/>
  <c r="H161" i="7" s="1"/>
  <c r="E1756" i="9"/>
  <c r="F1756" i="9"/>
  <c r="E1138" i="9"/>
  <c r="F1138" i="9"/>
  <c r="E688" i="9"/>
  <c r="D688" i="9"/>
  <c r="F688" i="9"/>
  <c r="Z1097" i="9"/>
  <c r="AH1097" i="9"/>
  <c r="B1089" i="9"/>
  <c r="F90" i="9"/>
  <c r="H54" i="12"/>
  <c r="F10" i="11" s="1"/>
  <c r="F51" i="12"/>
  <c r="G22" i="11"/>
  <c r="K69" i="7"/>
  <c r="L69" i="7" s="1"/>
  <c r="L70" i="7" s="1"/>
  <c r="H12" i="6" s="1"/>
  <c r="K99" i="7" s="1"/>
  <c r="L99" i="7" s="1"/>
  <c r="K76" i="7"/>
  <c r="L76" i="7" s="1"/>
  <c r="L77" i="7" s="1"/>
  <c r="H13" i="6" s="1"/>
  <c r="K83" i="7"/>
  <c r="L83" i="7" s="1"/>
  <c r="L84" i="7" s="1"/>
  <c r="H14" i="6" s="1"/>
  <c r="K47" i="7"/>
  <c r="L47" i="7" s="1"/>
  <c r="L48" i="7" s="1"/>
  <c r="H9" i="6" s="1"/>
  <c r="K222" i="7"/>
  <c r="L222" i="7" s="1"/>
  <c r="L223" i="7" s="1"/>
  <c r="H30" i="6" s="1"/>
  <c r="K227" i="7" s="1"/>
  <c r="L227" i="7" s="1"/>
  <c r="I21" i="20"/>
  <c r="F166" i="12"/>
  <c r="H169" i="12"/>
  <c r="F27" i="11" s="1"/>
  <c r="D2915" i="9"/>
  <c r="E2915" i="9"/>
  <c r="F2915" i="9"/>
  <c r="F2260" i="9"/>
  <c r="D2260" i="9"/>
  <c r="G11" i="11"/>
  <c r="F145" i="7"/>
  <c r="K68" i="5"/>
  <c r="F18" i="4" s="1"/>
  <c r="G69" i="5"/>
  <c r="G68" i="5" s="1"/>
  <c r="D18" i="4" s="1"/>
  <c r="F2477" i="9"/>
  <c r="D2477" i="9"/>
  <c r="E2477" i="9"/>
  <c r="AE2890" i="9"/>
  <c r="AG2890" i="9"/>
  <c r="AA2890" i="9"/>
  <c r="AH2892" i="9"/>
  <c r="B2888" i="9"/>
  <c r="AJ2892" i="9"/>
  <c r="D2277" i="9"/>
  <c r="F2277" i="9"/>
  <c r="I1942" i="9"/>
  <c r="E1942" i="9"/>
  <c r="C302" i="9"/>
  <c r="E120" i="12"/>
  <c r="J120" i="12"/>
  <c r="K227" i="5"/>
  <c r="F46" i="4" s="1"/>
  <c r="G228" i="5"/>
  <c r="G227" i="5" s="1"/>
  <c r="D46" i="4" s="1"/>
  <c r="H177" i="12"/>
  <c r="F28" i="11" s="1"/>
  <c r="F173" i="12"/>
  <c r="I229" i="9"/>
  <c r="D229" i="9"/>
  <c r="H147" i="12"/>
  <c r="F24" i="11" s="1"/>
  <c r="F144" i="12"/>
  <c r="B3023" i="9"/>
  <c r="AB3025" i="9"/>
  <c r="AH3027" i="9"/>
  <c r="AJ3027" i="9"/>
  <c r="AD3025" i="9"/>
  <c r="D3047" i="9"/>
  <c r="F3047" i="9"/>
  <c r="I2082" i="9"/>
  <c r="E2082" i="9"/>
  <c r="D1892" i="9"/>
  <c r="F1892" i="9"/>
  <c r="F36" i="12"/>
  <c r="H39" i="12"/>
  <c r="F8" i="11" s="1"/>
  <c r="F189" i="7"/>
  <c r="I652" i="9"/>
  <c r="F652" i="9"/>
  <c r="B2505" i="9"/>
  <c r="AC2511" i="9"/>
  <c r="B1412" i="9"/>
  <c r="AH1414" i="9"/>
  <c r="AJ1414" i="9"/>
  <c r="D685" i="9"/>
  <c r="F685" i="9"/>
  <c r="C90" i="9"/>
  <c r="B90" i="9" s="1"/>
  <c r="F200" i="7"/>
  <c r="E45" i="12"/>
  <c r="J45" i="12"/>
  <c r="F36" i="7"/>
  <c r="J41" i="7"/>
  <c r="L3102" i="9"/>
  <c r="B3094" i="9"/>
  <c r="D3271" i="9"/>
  <c r="E3271" i="9"/>
  <c r="F3271" i="9"/>
  <c r="D2913" i="9"/>
  <c r="F2913" i="9"/>
  <c r="F2258" i="9"/>
  <c r="E2258" i="9"/>
  <c r="B1639" i="9"/>
  <c r="AA1642" i="9"/>
  <c r="AA1644" i="9"/>
  <c r="AA1646" i="9"/>
  <c r="AC1642" i="9"/>
  <c r="H1642" i="9" s="1"/>
  <c r="AC1644" i="9"/>
  <c r="H1644" i="9" s="1"/>
  <c r="AC1646" i="9"/>
  <c r="H1646" i="9" s="1"/>
  <c r="D1930" i="9"/>
  <c r="F32" i="8"/>
  <c r="C1492" i="9"/>
  <c r="E1510" i="9"/>
  <c r="B1569" i="9"/>
  <c r="AA1572" i="9"/>
  <c r="AA1574" i="9"/>
  <c r="AA1576" i="9"/>
  <c r="AC1572" i="9"/>
  <c r="H1572" i="9" s="1"/>
  <c r="AC1574" i="9"/>
  <c r="H1574" i="9" s="1"/>
  <c r="AC1576" i="9"/>
  <c r="H1576" i="9" s="1"/>
  <c r="B1229" i="9"/>
  <c r="AC1233" i="9"/>
  <c r="F90" i="12"/>
  <c r="H93" i="12"/>
  <c r="F16" i="11" s="1"/>
  <c r="F104" i="12"/>
  <c r="H107" i="12"/>
  <c r="G19" i="11"/>
  <c r="F169" i="7"/>
  <c r="F2475" i="9"/>
  <c r="D2475" i="9"/>
  <c r="F2275" i="9"/>
  <c r="E2275" i="9"/>
  <c r="F2660" i="9"/>
  <c r="E2660" i="9"/>
  <c r="AH1733" i="9"/>
  <c r="Z1733" i="9"/>
  <c r="B1725" i="9"/>
  <c r="AC1735" i="9"/>
  <c r="F92" i="9"/>
  <c r="I478" i="9"/>
  <c r="F478" i="9"/>
  <c r="F67" i="9"/>
  <c r="I67" i="9"/>
  <c r="E67" i="12"/>
  <c r="J67" i="12"/>
  <c r="E168" i="12"/>
  <c r="J168" i="12"/>
  <c r="E85" i="12"/>
  <c r="J85" i="12"/>
  <c r="AA3248" i="9"/>
  <c r="B3242" i="9"/>
  <c r="AA3244" i="9"/>
  <c r="AA3246" i="9"/>
  <c r="AI3246" i="9"/>
  <c r="H3246" i="9" s="1"/>
  <c r="AC3248" i="9"/>
  <c r="H3248" i="9" s="1"/>
  <c r="AC3244" i="9"/>
  <c r="H3244" i="9" s="1"/>
  <c r="Z607" i="9"/>
  <c r="AH607" i="9"/>
  <c r="B599" i="9"/>
  <c r="F22" i="12"/>
  <c r="H25" i="12"/>
  <c r="F6" i="11" s="1"/>
  <c r="H18" i="12"/>
  <c r="F5" i="11" s="1"/>
  <c r="F15" i="12"/>
  <c r="F129" i="12"/>
  <c r="H132" i="12"/>
  <c r="F22" i="11" s="1"/>
  <c r="F159" i="12"/>
  <c r="H162" i="12"/>
  <c r="F26" i="11" s="1"/>
  <c r="F153" i="7"/>
  <c r="H68" i="12"/>
  <c r="F12" i="11" s="1"/>
  <c r="F65" i="12"/>
  <c r="E3045" i="9"/>
  <c r="F3045" i="9"/>
  <c r="F3051" i="9" s="1"/>
  <c r="D2416" i="9"/>
  <c r="F2416" i="9"/>
  <c r="E2416" i="9"/>
  <c r="C1993" i="9"/>
  <c r="E2509" i="9"/>
  <c r="F2509" i="9"/>
  <c r="F2515" i="9" s="1"/>
  <c r="C2236" i="9"/>
  <c r="F2244" i="9"/>
  <c r="F2069" i="9"/>
  <c r="C2054" i="9"/>
  <c r="E1890" i="9"/>
  <c r="F1890" i="9"/>
  <c r="F1896" i="9" s="1"/>
  <c r="E146" i="12"/>
  <c r="J146" i="12"/>
  <c r="F111" i="12"/>
  <c r="H114" i="12"/>
  <c r="F19" i="11" s="1"/>
  <c r="I161" i="9"/>
  <c r="F161" i="9"/>
  <c r="C17" i="9"/>
  <c r="E25" i="9"/>
  <c r="AH2642" i="9"/>
  <c r="AB2640" i="9"/>
  <c r="B2638" i="9"/>
  <c r="AD2640" i="9"/>
  <c r="AJ2642" i="9"/>
  <c r="D1760" i="9"/>
  <c r="E1760" i="9"/>
  <c r="F1760" i="9"/>
  <c r="D1142" i="9"/>
  <c r="E1142" i="9"/>
  <c r="F1142" i="9"/>
  <c r="E682" i="9"/>
  <c r="F682" i="9"/>
  <c r="F690" i="9" s="1"/>
  <c r="F58" i="12"/>
  <c r="H61" i="12"/>
  <c r="F11" i="11" s="1"/>
  <c r="F72" i="12"/>
  <c r="H75" i="12"/>
  <c r="F13" i="11" s="1"/>
  <c r="H125" i="5"/>
  <c r="I125" i="5" s="1"/>
  <c r="H205" i="5"/>
  <c r="I205" i="5" s="1"/>
  <c r="H48" i="5"/>
  <c r="I48" i="5" s="1"/>
  <c r="D3269" i="9"/>
  <c r="F3269" i="9"/>
  <c r="E2911" i="9"/>
  <c r="F2911" i="9"/>
  <c r="B1868" i="9"/>
  <c r="AB1870" i="9"/>
  <c r="AH1872" i="9"/>
  <c r="AD1870" i="9"/>
  <c r="AJ1872" i="9"/>
  <c r="B1227" i="9"/>
  <c r="AA1231" i="9"/>
  <c r="AA1233" i="9"/>
  <c r="AE1231" i="9"/>
  <c r="H1231" i="9" s="1"/>
  <c r="AA1235" i="9"/>
  <c r="AG1233" i="9"/>
  <c r="H1233" i="9" s="1"/>
  <c r="AE1235" i="9"/>
  <c r="H1235" i="9" s="1"/>
  <c r="H155" i="12"/>
  <c r="F25" i="11" s="1"/>
  <c r="F152" i="12"/>
  <c r="F58" i="7"/>
  <c r="J63" i="7"/>
  <c r="F2473" i="9"/>
  <c r="F2479" i="9" s="1"/>
  <c r="E2473" i="9"/>
  <c r="D2662" i="9"/>
  <c r="F2662" i="9"/>
  <c r="D2099" i="9"/>
  <c r="D2104" i="9" s="1"/>
  <c r="C2117" i="9"/>
  <c r="E2139" i="9"/>
  <c r="B1836" i="9"/>
  <c r="AB1838" i="9"/>
  <c r="AH1840" i="9"/>
  <c r="AD1838" i="9"/>
  <c r="AJ1840" i="9"/>
  <c r="B1346" i="9"/>
  <c r="AH1348" i="9"/>
  <c r="AJ1348" i="9"/>
  <c r="AA2727" i="9" l="1"/>
  <c r="AC2727" i="9"/>
  <c r="H2727" i="9" s="1"/>
  <c r="B2724" i="9"/>
  <c r="AC2729" i="9"/>
  <c r="H2729" i="9" s="1"/>
  <c r="AA2729" i="9"/>
  <c r="AC2731" i="9"/>
  <c r="H2731" i="9" s="1"/>
  <c r="AA2731" i="9"/>
  <c r="F2264" i="9"/>
  <c r="F2283" i="9" s="1"/>
  <c r="F2314" i="9" s="1"/>
  <c r="F2664" i="9"/>
  <c r="C1072" i="9"/>
  <c r="F1176" i="9"/>
  <c r="F1178" i="9" s="1"/>
  <c r="F1194" i="9" s="1"/>
  <c r="F235" i="9"/>
  <c r="F2862" i="9"/>
  <c r="F2864" i="9"/>
  <c r="F2917" i="9"/>
  <c r="B2084" i="9"/>
  <c r="F2281" i="9"/>
  <c r="F2530" i="9"/>
  <c r="F2532" i="9" s="1"/>
  <c r="F2534" i="9" s="1"/>
  <c r="F2559" i="9" s="1"/>
  <c r="E139" i="12"/>
  <c r="J139" i="12"/>
  <c r="C688" i="9"/>
  <c r="B688" i="9" s="1"/>
  <c r="C1894" i="9"/>
  <c r="B1894" i="9" s="1"/>
  <c r="B1944" i="9"/>
  <c r="E24" i="12"/>
  <c r="J24" i="12"/>
  <c r="I860" i="9"/>
  <c r="F860" i="9"/>
  <c r="B1072" i="9"/>
  <c r="F1812" i="9"/>
  <c r="C1812" i="9" s="1"/>
  <c r="B1812" i="9" s="1"/>
  <c r="F1074" i="9"/>
  <c r="C235" i="9"/>
  <c r="L170" i="5"/>
  <c r="M170" i="5" s="1"/>
  <c r="M167" i="5" s="1"/>
  <c r="G35" i="4" s="1"/>
  <c r="L11" i="5"/>
  <c r="M11" i="5" s="1"/>
  <c r="M8" i="5" s="1"/>
  <c r="G7" i="4" s="1"/>
  <c r="L90" i="5"/>
  <c r="M90" i="5" s="1"/>
  <c r="M87" i="5" s="1"/>
  <c r="G21" i="4" s="1"/>
  <c r="I765" i="9"/>
  <c r="F765" i="9"/>
  <c r="I729" i="9"/>
  <c r="F729" i="9"/>
  <c r="I1707" i="9"/>
  <c r="F1707" i="9"/>
  <c r="F1814" i="9"/>
  <c r="C3049" i="9"/>
  <c r="B3049" i="9" s="1"/>
  <c r="F807" i="9"/>
  <c r="F809" i="9" s="1"/>
  <c r="I582" i="9"/>
  <c r="F582" i="9"/>
  <c r="I558" i="9"/>
  <c r="F558" i="9"/>
  <c r="I194" i="9"/>
  <c r="F194" i="9"/>
  <c r="I312" i="9"/>
  <c r="F312" i="9"/>
  <c r="E10" i="12"/>
  <c r="J10" i="12"/>
  <c r="I274" i="9"/>
  <c r="F274" i="9"/>
  <c r="C2262" i="9"/>
  <c r="B2262" i="9" s="1"/>
  <c r="AJ972" i="9"/>
  <c r="AA970" i="9"/>
  <c r="AE970" i="9"/>
  <c r="AH972" i="9"/>
  <c r="B968" i="9"/>
  <c r="AG970" i="9"/>
  <c r="C520" i="9"/>
  <c r="B520" i="9" s="1"/>
  <c r="I386" i="9"/>
  <c r="F386" i="9"/>
  <c r="C2530" i="9"/>
  <c r="B2530" i="9" s="1"/>
  <c r="F237" i="9"/>
  <c r="F249" i="9" s="1"/>
  <c r="F2582" i="9"/>
  <c r="C2582" i="9" s="1"/>
  <c r="B2582" i="9" s="1"/>
  <c r="I3114" i="9"/>
  <c r="F3114" i="9"/>
  <c r="E161" i="12"/>
  <c r="J161" i="12"/>
  <c r="AA2799" i="9"/>
  <c r="AC2801" i="9"/>
  <c r="H2801" i="9" s="1"/>
  <c r="AA2801" i="9"/>
  <c r="B2794" i="9"/>
  <c r="AC2797" i="9"/>
  <c r="H2797" i="9" s="1"/>
  <c r="AA2797" i="9"/>
  <c r="AC2799" i="9"/>
  <c r="H2799" i="9" s="1"/>
  <c r="F2967" i="9"/>
  <c r="C2967" i="9" s="1"/>
  <c r="B2967" i="9" s="1"/>
  <c r="C804" i="9"/>
  <c r="B804" i="9" s="1"/>
  <c r="F522" i="9"/>
  <c r="F529" i="9" s="1"/>
  <c r="J38" i="12"/>
  <c r="E38" i="12"/>
  <c r="B235" i="9"/>
  <c r="C2862" i="9"/>
  <c r="B2862" i="9" s="1"/>
  <c r="F74" i="12"/>
  <c r="J75" i="12"/>
  <c r="G13" i="11" s="1"/>
  <c r="F3182" i="9"/>
  <c r="C3182" i="9" s="1"/>
  <c r="B3182" i="9" s="1"/>
  <c r="F1048" i="9"/>
  <c r="C1048" i="9" s="1"/>
  <c r="B1048" i="9" s="1"/>
  <c r="D2070" i="9"/>
  <c r="F35" i="8"/>
  <c r="G163" i="7" s="1"/>
  <c r="H163" i="7" s="1"/>
  <c r="D1233" i="9"/>
  <c r="F1233" i="9"/>
  <c r="AE1844" i="9"/>
  <c r="H1844" i="9" s="1"/>
  <c r="AC1846" i="9"/>
  <c r="H1846" i="9" s="1"/>
  <c r="B1840" i="9"/>
  <c r="AA1842" i="9"/>
  <c r="AA1844" i="9"/>
  <c r="AC1842" i="9"/>
  <c r="H1842" i="9" s="1"/>
  <c r="AA1846" i="9"/>
  <c r="C1760" i="9"/>
  <c r="B1760" i="9" s="1"/>
  <c r="F164" i="9"/>
  <c r="C161" i="9"/>
  <c r="F146" i="12"/>
  <c r="J147" i="12"/>
  <c r="E3244" i="9"/>
  <c r="F3244" i="9"/>
  <c r="B1348" i="9"/>
  <c r="AA1350" i="9"/>
  <c r="AA1352" i="9"/>
  <c r="AA1354" i="9"/>
  <c r="AA1356" i="9"/>
  <c r="AC1350" i="9"/>
  <c r="H1350" i="9" s="1"/>
  <c r="AC1352" i="9"/>
  <c r="H1352" i="9" s="1"/>
  <c r="AC1354" i="9"/>
  <c r="H1354" i="9" s="1"/>
  <c r="AC1356" i="9"/>
  <c r="H1356" i="9" s="1"/>
  <c r="B1838" i="9"/>
  <c r="AC1844" i="9"/>
  <c r="C2139" i="9"/>
  <c r="E2105" i="9"/>
  <c r="G36" i="8"/>
  <c r="I179" i="7" s="1"/>
  <c r="G11" i="6"/>
  <c r="F63" i="7"/>
  <c r="E11" i="6" s="1"/>
  <c r="J474" i="9"/>
  <c r="G23" i="20"/>
  <c r="E1231" i="9"/>
  <c r="F1231" i="9"/>
  <c r="AE1876" i="9"/>
  <c r="H1876" i="9" s="1"/>
  <c r="AC1878" i="9"/>
  <c r="H1878" i="9" s="1"/>
  <c r="B1872" i="9"/>
  <c r="AA1874" i="9"/>
  <c r="AA1876" i="9"/>
  <c r="AC1874" i="9"/>
  <c r="H1874" i="9" s="1"/>
  <c r="AA1878" i="9"/>
  <c r="J928" i="9"/>
  <c r="I928" i="9" s="1"/>
  <c r="J1416" i="9"/>
  <c r="I1416" i="9" s="1"/>
  <c r="J1842" i="9"/>
  <c r="I1842" i="9" s="1"/>
  <c r="J2612" i="9"/>
  <c r="I2612" i="9" s="1"/>
  <c r="J2997" i="9"/>
  <c r="I2997" i="9" s="1"/>
  <c r="C1142" i="9"/>
  <c r="B1142" i="9" s="1"/>
  <c r="B161" i="9"/>
  <c r="J1874" i="9"/>
  <c r="I1874" i="9" s="1"/>
  <c r="J2644" i="9"/>
  <c r="I2644" i="9" s="1"/>
  <c r="J3029" i="9"/>
  <c r="I3029" i="9" s="1"/>
  <c r="G12" i="20"/>
  <c r="J84" i="9"/>
  <c r="G24" i="20"/>
  <c r="D3248" i="9"/>
  <c r="E3248" i="9"/>
  <c r="F3248" i="9"/>
  <c r="F168" i="12"/>
  <c r="J169" i="12"/>
  <c r="C67" i="9"/>
  <c r="F69" i="9"/>
  <c r="K416" i="9"/>
  <c r="I416" i="9" s="1"/>
  <c r="H17" i="20"/>
  <c r="F18" i="11"/>
  <c r="F107" i="12"/>
  <c r="E18" i="11" s="1"/>
  <c r="F1572" i="9"/>
  <c r="E1572" i="9"/>
  <c r="F45" i="12"/>
  <c r="J46" i="12"/>
  <c r="D237" i="9"/>
  <c r="D249" i="9" s="1"/>
  <c r="C229" i="9"/>
  <c r="B229" i="9" s="1"/>
  <c r="C1942" i="9"/>
  <c r="E1946" i="9"/>
  <c r="AE2896" i="9"/>
  <c r="H2896" i="9" s="1"/>
  <c r="AC2898" i="9"/>
  <c r="H2898" i="9" s="1"/>
  <c r="B2892" i="9"/>
  <c r="AA2894" i="9"/>
  <c r="AA2896" i="9"/>
  <c r="AC2894" i="9"/>
  <c r="H2894" i="9" s="1"/>
  <c r="AA2898" i="9"/>
  <c r="B2890" i="9"/>
  <c r="AC2896" i="9"/>
  <c r="K1312" i="9"/>
  <c r="I1312" i="9" s="1"/>
  <c r="K1741" i="9"/>
  <c r="I1741" i="9" s="1"/>
  <c r="K2511" i="9"/>
  <c r="K3215" i="9"/>
  <c r="I3215" i="9" s="1"/>
  <c r="K2896" i="9"/>
  <c r="I2896" i="9" s="1"/>
  <c r="H11" i="20"/>
  <c r="K122" i="7"/>
  <c r="L122" i="7" s="1"/>
  <c r="K190" i="7"/>
  <c r="L190" i="7" s="1"/>
  <c r="K201" i="7"/>
  <c r="L201" i="7" s="1"/>
  <c r="K108" i="7"/>
  <c r="L108" i="7" s="1"/>
  <c r="K135" i="7"/>
  <c r="L135" i="7" s="1"/>
  <c r="K241" i="7"/>
  <c r="L241" i="7" s="1"/>
  <c r="K976" i="9"/>
  <c r="I976" i="9" s="1"/>
  <c r="K1460" i="9"/>
  <c r="I1460" i="9" s="1"/>
  <c r="K1352" i="9"/>
  <c r="I1352" i="9" s="1"/>
  <c r="H20" i="20"/>
  <c r="F93" i="12"/>
  <c r="E16" i="11" s="1"/>
  <c r="AC1460" i="9"/>
  <c r="B1454" i="9"/>
  <c r="F2419" i="9"/>
  <c r="F2454" i="9" s="1"/>
  <c r="C2279" i="9"/>
  <c r="B2279" i="9" s="1"/>
  <c r="F154" i="12"/>
  <c r="J155" i="12"/>
  <c r="J1642" i="9"/>
  <c r="I1642" i="9" s="1"/>
  <c r="J2797" i="9"/>
  <c r="J2412" i="9"/>
  <c r="G18" i="20"/>
  <c r="D2346" i="9"/>
  <c r="F2346" i="9"/>
  <c r="E2346" i="9"/>
  <c r="B1308" i="9"/>
  <c r="AA1310" i="9"/>
  <c r="AA1312" i="9"/>
  <c r="AA1314" i="9"/>
  <c r="AA1316" i="9"/>
  <c r="AC1310" i="9"/>
  <c r="H1310" i="9" s="1"/>
  <c r="AC1312" i="9"/>
  <c r="H1312" i="9" s="1"/>
  <c r="AC1314" i="9"/>
  <c r="H1314" i="9" s="1"/>
  <c r="AC1316" i="9"/>
  <c r="H1316" i="9" s="1"/>
  <c r="C2154" i="9"/>
  <c r="F2156" i="9"/>
  <c r="F53" i="12"/>
  <c r="J54" i="12"/>
  <c r="D1235" i="9"/>
  <c r="E1235" i="9"/>
  <c r="F1235" i="9"/>
  <c r="B1870" i="9"/>
  <c r="AC1876" i="9"/>
  <c r="AC2644" i="9"/>
  <c r="H2644" i="9" s="1"/>
  <c r="AA2648" i="9"/>
  <c r="AA2646" i="9"/>
  <c r="AC2648" i="9"/>
  <c r="H2648" i="9" s="1"/>
  <c r="AE2646" i="9"/>
  <c r="H2646" i="9" s="1"/>
  <c r="B2642" i="9"/>
  <c r="AA2644" i="9"/>
  <c r="C25" i="9"/>
  <c r="J414" i="9"/>
  <c r="I414" i="9" s="1"/>
  <c r="G17" i="20"/>
  <c r="F2035" i="9"/>
  <c r="C2069" i="9"/>
  <c r="H34" i="8"/>
  <c r="C2416" i="9"/>
  <c r="B2416" i="9" s="1"/>
  <c r="J308" i="9"/>
  <c r="J516" i="9"/>
  <c r="G5" i="20"/>
  <c r="B607" i="9"/>
  <c r="AH609" i="9"/>
  <c r="AJ609" i="9"/>
  <c r="D3246" i="9"/>
  <c r="F3246" i="9"/>
  <c r="F67" i="12"/>
  <c r="J68" i="12"/>
  <c r="C478" i="9"/>
  <c r="F481" i="9"/>
  <c r="F494" i="9" s="1"/>
  <c r="AG1735" i="9"/>
  <c r="AE1735" i="9"/>
  <c r="AH1737" i="9"/>
  <c r="B1733" i="9"/>
  <c r="AA1735" i="9"/>
  <c r="AJ1737" i="9"/>
  <c r="C1510" i="9"/>
  <c r="F1544" i="9"/>
  <c r="D1646" i="9"/>
  <c r="F1646" i="9"/>
  <c r="E1646" i="9"/>
  <c r="I3102" i="9"/>
  <c r="F3102" i="9"/>
  <c r="B1414" i="9"/>
  <c r="AA1416" i="9"/>
  <c r="AA1418" i="9"/>
  <c r="AA1420" i="9"/>
  <c r="AA1422" i="9"/>
  <c r="AC1416" i="9"/>
  <c r="H1416" i="9" s="1"/>
  <c r="AC1418" i="9"/>
  <c r="H1418" i="9" s="1"/>
  <c r="AC1420" i="9"/>
  <c r="H1420" i="9" s="1"/>
  <c r="AC1422" i="9"/>
  <c r="H1422" i="9" s="1"/>
  <c r="J63" i="9"/>
  <c r="G8" i="20"/>
  <c r="B3025" i="9"/>
  <c r="AC3031" i="9"/>
  <c r="B1942" i="9"/>
  <c r="F61" i="12"/>
  <c r="E11" i="11" s="1"/>
  <c r="J3244" i="9"/>
  <c r="I3244" i="9" s="1"/>
  <c r="G25" i="20"/>
  <c r="K146" i="7"/>
  <c r="L146" i="7" s="1"/>
  <c r="K154" i="7"/>
  <c r="L154" i="7" s="1"/>
  <c r="K254" i="7"/>
  <c r="L254" i="7" s="1"/>
  <c r="K264" i="7"/>
  <c r="L264" i="7" s="1"/>
  <c r="K212" i="7"/>
  <c r="L212" i="7" s="1"/>
  <c r="F132" i="12"/>
  <c r="E22" i="11" s="1"/>
  <c r="C129" i="9"/>
  <c r="F133" i="9"/>
  <c r="F144" i="9" s="1"/>
  <c r="F48" i="9"/>
  <c r="C47" i="9"/>
  <c r="B47" i="9" s="1"/>
  <c r="B412" i="9"/>
  <c r="AA414" i="9"/>
  <c r="AA416" i="9"/>
  <c r="AA418" i="9"/>
  <c r="AC414" i="9"/>
  <c r="H414" i="9" s="1"/>
  <c r="AC416" i="9"/>
  <c r="H416" i="9" s="1"/>
  <c r="AC418" i="9"/>
  <c r="H418" i="9" s="1"/>
  <c r="C2664" i="9"/>
  <c r="B2664" i="9" s="1"/>
  <c r="C2095" i="9"/>
  <c r="F2097" i="9"/>
  <c r="D2344" i="9"/>
  <c r="F2344" i="9"/>
  <c r="F17" i="12"/>
  <c r="J18" i="12"/>
  <c r="F11" i="7"/>
  <c r="E4" i="6" s="1"/>
  <c r="G4" i="6"/>
  <c r="B2154" i="9"/>
  <c r="F31" i="12"/>
  <c r="J32" i="12"/>
  <c r="J1310" i="9"/>
  <c r="I1310" i="9" s="1"/>
  <c r="J1739" i="9"/>
  <c r="I1739" i="9" s="1"/>
  <c r="J2509" i="9"/>
  <c r="J3213" i="9"/>
  <c r="I3213" i="9" s="1"/>
  <c r="J2894" i="9"/>
  <c r="I2894" i="9" s="1"/>
  <c r="G11" i="20"/>
  <c r="AC2646" i="9"/>
  <c r="B2640" i="9"/>
  <c r="F2210" i="9"/>
  <c r="C2244" i="9"/>
  <c r="H38" i="8"/>
  <c r="L224" i="5" s="1"/>
  <c r="J974" i="9"/>
  <c r="J1458" i="9"/>
  <c r="I1458" i="9" s="1"/>
  <c r="J1350" i="9"/>
  <c r="I1350" i="9" s="1"/>
  <c r="G20" i="20"/>
  <c r="J125" i="9"/>
  <c r="G6" i="20"/>
  <c r="F85" i="12"/>
  <c r="J86" i="12"/>
  <c r="B478" i="9"/>
  <c r="J1231" i="9"/>
  <c r="I1231" i="9" s="1"/>
  <c r="G14" i="20"/>
  <c r="D1576" i="9"/>
  <c r="F1576" i="9"/>
  <c r="E1576" i="9"/>
  <c r="C1576" i="9" s="1"/>
  <c r="B1576" i="9" s="1"/>
  <c r="D1644" i="9"/>
  <c r="F1644" i="9"/>
  <c r="C3271" i="9"/>
  <c r="B3271" i="9" s="1"/>
  <c r="G8" i="6"/>
  <c r="F41" i="7"/>
  <c r="E8" i="6" s="1"/>
  <c r="F657" i="9"/>
  <c r="F692" i="9" s="1"/>
  <c r="F704" i="9" s="1"/>
  <c r="C652" i="9"/>
  <c r="B652" i="9" s="1"/>
  <c r="F75" i="12"/>
  <c r="E13" i="11" s="1"/>
  <c r="AE3031" i="9"/>
  <c r="H3031" i="9" s="1"/>
  <c r="AC3033" i="9"/>
  <c r="H3033" i="9" s="1"/>
  <c r="B3027" i="9"/>
  <c r="AA3029" i="9"/>
  <c r="AA3031" i="9"/>
  <c r="AC3029" i="9"/>
  <c r="H3029" i="9" s="1"/>
  <c r="AA3033" i="9"/>
  <c r="F120" i="12"/>
  <c r="J121" i="12"/>
  <c r="C2477" i="9"/>
  <c r="B2477" i="9" s="1"/>
  <c r="C2915" i="9"/>
  <c r="B2915" i="9" s="1"/>
  <c r="K123" i="7"/>
  <c r="L123" i="7" s="1"/>
  <c r="K109" i="7"/>
  <c r="L109" i="7" s="1"/>
  <c r="AH1099" i="9"/>
  <c r="B1097" i="9"/>
  <c r="AJ1099" i="9"/>
  <c r="F1762" i="9"/>
  <c r="B129" i="9"/>
  <c r="AC2612" i="9"/>
  <c r="H2612" i="9" s="1"/>
  <c r="AA2616" i="9"/>
  <c r="AE2614" i="9"/>
  <c r="H2614" i="9" s="1"/>
  <c r="AC2616" i="9"/>
  <c r="H2616" i="9" s="1"/>
  <c r="B2610" i="9"/>
  <c r="AA2612" i="9"/>
  <c r="AA2614" i="9"/>
  <c r="B926" i="9"/>
  <c r="AA928" i="9"/>
  <c r="AA930" i="9"/>
  <c r="AA932" i="9"/>
  <c r="AA934" i="9"/>
  <c r="AC928" i="9"/>
  <c r="H928" i="9" s="1"/>
  <c r="AC930" i="9"/>
  <c r="H930" i="9" s="1"/>
  <c r="AC932" i="9"/>
  <c r="H932" i="9" s="1"/>
  <c r="AC934" i="9"/>
  <c r="H934" i="9" s="1"/>
  <c r="B2095" i="9"/>
  <c r="F1957" i="9"/>
  <c r="C1955" i="9"/>
  <c r="B1955" i="9" s="1"/>
  <c r="F2342" i="9"/>
  <c r="E2342" i="9"/>
  <c r="F3273" i="9"/>
  <c r="J270" i="9"/>
  <c r="J761" i="9"/>
  <c r="J798" i="9"/>
  <c r="J1138" i="9"/>
  <c r="J721" i="9"/>
  <c r="J1172" i="9"/>
  <c r="J1703" i="9"/>
  <c r="J1756" i="9"/>
  <c r="J2258" i="9"/>
  <c r="J2473" i="9"/>
  <c r="J2275" i="9"/>
  <c r="J2858" i="9"/>
  <c r="J3110" i="9"/>
  <c r="J3178" i="9"/>
  <c r="J2526" i="9"/>
  <c r="J2911" i="9"/>
  <c r="J3267" i="9"/>
  <c r="G88" i="7"/>
  <c r="H88" i="7" s="1"/>
  <c r="H90" i="7" s="1"/>
  <c r="F15" i="6" s="1"/>
  <c r="G7" i="20"/>
  <c r="F2167" i="9"/>
  <c r="C2167" i="9" s="1"/>
  <c r="C2165" i="9"/>
  <c r="B2165" i="9" s="1"/>
  <c r="AE2999" i="9"/>
  <c r="H2999" i="9" s="1"/>
  <c r="AC3001" i="9"/>
  <c r="H3001" i="9" s="1"/>
  <c r="B2995" i="9"/>
  <c r="AA2997" i="9"/>
  <c r="AA2999" i="9"/>
  <c r="AC2997" i="9"/>
  <c r="H2997" i="9" s="1"/>
  <c r="AA3001" i="9"/>
  <c r="J382" i="9"/>
  <c r="J188" i="9"/>
  <c r="J682" i="9"/>
  <c r="J554" i="9"/>
  <c r="J578" i="9"/>
  <c r="J1044" i="9"/>
  <c r="J1068" i="9"/>
  <c r="J854" i="9"/>
  <c r="J1808" i="9"/>
  <c r="J1890" i="9"/>
  <c r="J2578" i="9"/>
  <c r="J2963" i="9"/>
  <c r="J2660" i="9"/>
  <c r="J3045" i="9"/>
  <c r="G9" i="20"/>
  <c r="C2513" i="9"/>
  <c r="B2513" i="9" s="1"/>
  <c r="B67" i="9"/>
  <c r="F2666" i="9"/>
  <c r="F114" i="12"/>
  <c r="E19" i="11" s="1"/>
  <c r="D1574" i="9"/>
  <c r="F1574" i="9"/>
  <c r="G184" i="7"/>
  <c r="H184" i="7" s="1"/>
  <c r="H186" i="7" s="1"/>
  <c r="F26" i="6" s="1"/>
  <c r="H211" i="5" s="1"/>
  <c r="I211" i="5" s="1"/>
  <c r="G258" i="7"/>
  <c r="H258" i="7" s="1"/>
  <c r="G268" i="7"/>
  <c r="H268" i="7" s="1"/>
  <c r="G246" i="7"/>
  <c r="H246" i="7" s="1"/>
  <c r="G53" i="7"/>
  <c r="H53" i="7" s="1"/>
  <c r="D1642" i="9"/>
  <c r="F1642" i="9"/>
  <c r="F1649" i="9" s="1"/>
  <c r="F1684" i="9" s="1"/>
  <c r="E1642" i="9"/>
  <c r="K930" i="9"/>
  <c r="I930" i="9" s="1"/>
  <c r="K1418" i="9"/>
  <c r="I1418" i="9" s="1"/>
  <c r="K1844" i="9"/>
  <c r="I1844" i="9" s="1"/>
  <c r="K2614" i="9"/>
  <c r="I2614" i="9" s="1"/>
  <c r="K2999" i="9"/>
  <c r="I2999" i="9" s="1"/>
  <c r="C2082" i="9"/>
  <c r="B2082" i="9" s="1"/>
  <c r="E2086" i="9"/>
  <c r="J612" i="9"/>
  <c r="I612" i="9" s="1"/>
  <c r="J1102" i="9"/>
  <c r="I1102" i="9" s="1"/>
  <c r="G22" i="20"/>
  <c r="G277" i="7"/>
  <c r="H277" i="7" s="1"/>
  <c r="G288" i="7"/>
  <c r="H288" i="7" s="1"/>
  <c r="G26" i="20"/>
  <c r="J155" i="9"/>
  <c r="J646" i="9"/>
  <c r="J822" i="9"/>
  <c r="G10" i="20"/>
  <c r="F1144" i="9"/>
  <c r="F1146" i="9" s="1"/>
  <c r="F1159" i="9" s="1"/>
  <c r="C828" i="9"/>
  <c r="B828" i="9" s="1"/>
  <c r="F831" i="9"/>
  <c r="K1233" i="9"/>
  <c r="I1233" i="9" s="1"/>
  <c r="H14" i="20"/>
  <c r="B1456" i="9"/>
  <c r="AA1458" i="9"/>
  <c r="AA1460" i="9"/>
  <c r="AC1458" i="9"/>
  <c r="H1458" i="9" s="1"/>
  <c r="AA1462" i="9"/>
  <c r="AA1464" i="9"/>
  <c r="AE1460" i="9"/>
  <c r="H1460" i="9" s="1"/>
  <c r="AC1462" i="9"/>
  <c r="H1462" i="9" s="1"/>
  <c r="AC1464" i="9"/>
  <c r="H1464" i="9" s="1"/>
  <c r="J1572" i="9"/>
  <c r="I1572" i="9" s="1"/>
  <c r="J2342" i="9"/>
  <c r="I2342" i="9" s="1"/>
  <c r="J2727" i="9"/>
  <c r="G4" i="20"/>
  <c r="AC2614" i="9"/>
  <c r="B2608" i="9"/>
  <c r="E2209" i="9"/>
  <c r="B3211" i="9"/>
  <c r="AA3213" i="9"/>
  <c r="AA3215" i="9"/>
  <c r="AI3215" i="9"/>
  <c r="H3215" i="9" s="1"/>
  <c r="AC3217" i="9"/>
  <c r="H3217" i="9" s="1"/>
  <c r="AC3213" i="9"/>
  <c r="H3213" i="9" s="1"/>
  <c r="AA3217" i="9"/>
  <c r="F175" i="12"/>
  <c r="J177" i="12"/>
  <c r="I45" i="9"/>
  <c r="E45" i="9"/>
  <c r="F99" i="12"/>
  <c r="J100" i="12"/>
  <c r="B2993" i="9"/>
  <c r="AC2999" i="9"/>
  <c r="G69" i="7"/>
  <c r="H69" i="7" s="1"/>
  <c r="H70" i="7" s="1"/>
  <c r="F12" i="6" s="1"/>
  <c r="G99" i="7" s="1"/>
  <c r="H99" i="7" s="1"/>
  <c r="G76" i="7"/>
  <c r="H76" i="7" s="1"/>
  <c r="H77" i="7" s="1"/>
  <c r="F13" i="6" s="1"/>
  <c r="G83" i="7"/>
  <c r="H83" i="7" s="1"/>
  <c r="H84" i="7" s="1"/>
  <c r="F14" i="6" s="1"/>
  <c r="G47" i="7"/>
  <c r="H47" i="7" s="1"/>
  <c r="H48" i="7" s="1"/>
  <c r="F9" i="6" s="1"/>
  <c r="G222" i="7"/>
  <c r="H222" i="7" s="1"/>
  <c r="H223" i="7" s="1"/>
  <c r="F30" i="6" s="1"/>
  <c r="G227" i="7" s="1"/>
  <c r="H227" i="7" s="1"/>
  <c r="G21" i="20"/>
  <c r="F1160" i="9" l="1"/>
  <c r="H23" i="8"/>
  <c r="L194" i="5" s="1"/>
  <c r="M194" i="5" s="1"/>
  <c r="F2455" i="9"/>
  <c r="H42" i="8"/>
  <c r="L31" i="5" s="1"/>
  <c r="M31" i="5" s="1"/>
  <c r="C1176" i="9"/>
  <c r="B1176" i="9" s="1"/>
  <c r="J140" i="12"/>
  <c r="F139" i="12"/>
  <c r="D1649" i="9"/>
  <c r="D1684" i="9" s="1"/>
  <c r="F29" i="8" s="1"/>
  <c r="H189" i="5" s="1"/>
  <c r="I189" i="5" s="1"/>
  <c r="F2731" i="9"/>
  <c r="E2731" i="9"/>
  <c r="C2731" i="9" s="1"/>
  <c r="B2731" i="9" s="1"/>
  <c r="D2731" i="9"/>
  <c r="F2727" i="9"/>
  <c r="F2733" i="9" s="1"/>
  <c r="F2769" i="9" s="1"/>
  <c r="E2727" i="9"/>
  <c r="D2729" i="9"/>
  <c r="F2729" i="9"/>
  <c r="C3248" i="9"/>
  <c r="B3248" i="9" s="1"/>
  <c r="F495" i="9"/>
  <c r="H13" i="8"/>
  <c r="D2799" i="9"/>
  <c r="F2799" i="9"/>
  <c r="F215" i="9"/>
  <c r="H7" i="8"/>
  <c r="F2969" i="9"/>
  <c r="C1707" i="9"/>
  <c r="B1707" i="9" s="1"/>
  <c r="F1709" i="9"/>
  <c r="C765" i="9"/>
  <c r="B765" i="9" s="1"/>
  <c r="F767" i="9"/>
  <c r="F774" i="9" s="1"/>
  <c r="F862" i="9"/>
  <c r="F864" i="9" s="1"/>
  <c r="F879" i="9" s="1"/>
  <c r="C860" i="9"/>
  <c r="B860" i="9" s="1"/>
  <c r="C2346" i="9"/>
  <c r="B2346" i="9" s="1"/>
  <c r="F1050" i="9"/>
  <c r="F1052" i="9" s="1"/>
  <c r="F2801" i="9"/>
  <c r="D2801" i="9"/>
  <c r="E2801" i="9"/>
  <c r="F3116" i="9"/>
  <c r="C3114" i="9"/>
  <c r="B3114" i="9" s="1"/>
  <c r="B970" i="9"/>
  <c r="AC976" i="9"/>
  <c r="F196" i="9"/>
  <c r="C194" i="9"/>
  <c r="B194" i="9" s="1"/>
  <c r="C582" i="9"/>
  <c r="F584" i="9"/>
  <c r="F3184" i="9"/>
  <c r="F14" i="20"/>
  <c r="F2348" i="9"/>
  <c r="F2384" i="9" s="1"/>
  <c r="H40" i="8" s="1"/>
  <c r="L29" i="5" s="1"/>
  <c r="M29" i="5" s="1"/>
  <c r="F2584" i="9"/>
  <c r="F2797" i="9"/>
  <c r="F2804" i="9" s="1"/>
  <c r="F2839" i="9" s="1"/>
  <c r="H45" i="8" s="1"/>
  <c r="L109" i="5" s="1"/>
  <c r="M109" i="5" s="1"/>
  <c r="E2797" i="9"/>
  <c r="C386" i="9"/>
  <c r="B386" i="9" s="1"/>
  <c r="F388" i="9"/>
  <c r="AA974" i="9"/>
  <c r="AA980" i="9"/>
  <c r="AC978" i="9"/>
  <c r="H978" i="9" s="1"/>
  <c r="AA976" i="9"/>
  <c r="AC980" i="9"/>
  <c r="H980" i="9" s="1"/>
  <c r="AC974" i="9"/>
  <c r="H974" i="9" s="1"/>
  <c r="D974" i="9" s="1"/>
  <c r="B972" i="9"/>
  <c r="AA978" i="9"/>
  <c r="AE976" i="9"/>
  <c r="H976" i="9" s="1"/>
  <c r="C312" i="9"/>
  <c r="F315" i="9"/>
  <c r="F318" i="9" s="1"/>
  <c r="F354" i="9" s="1"/>
  <c r="B582" i="9"/>
  <c r="F734" i="9"/>
  <c r="F739" i="9" s="1"/>
  <c r="C729" i="9"/>
  <c r="B729" i="9" s="1"/>
  <c r="F198" i="9"/>
  <c r="F214" i="9" s="1"/>
  <c r="F38" i="12"/>
  <c r="J39" i="12"/>
  <c r="F161" i="12"/>
  <c r="J162" i="12"/>
  <c r="C274" i="9"/>
  <c r="B274" i="9" s="1"/>
  <c r="F277" i="9"/>
  <c r="F279" i="9" s="1"/>
  <c r="F284" i="9" s="1"/>
  <c r="F10" i="12"/>
  <c r="J11" i="12"/>
  <c r="B312" i="9"/>
  <c r="C558" i="9"/>
  <c r="B558" i="9" s="1"/>
  <c r="F560" i="9"/>
  <c r="F562" i="9" s="1"/>
  <c r="F775" i="9"/>
  <c r="H18" i="8"/>
  <c r="J25" i="12"/>
  <c r="F24" i="12"/>
  <c r="G146" i="7"/>
  <c r="H146" i="7" s="1"/>
  <c r="G154" i="7"/>
  <c r="H154" i="7" s="1"/>
  <c r="G254" i="7"/>
  <c r="H254" i="7" s="1"/>
  <c r="G264" i="7"/>
  <c r="H264" i="7" s="1"/>
  <c r="G212" i="7"/>
  <c r="H212" i="7" s="1"/>
  <c r="D3215" i="9"/>
  <c r="E3215" i="9"/>
  <c r="F3215" i="9"/>
  <c r="D1460" i="9"/>
  <c r="E1460" i="9"/>
  <c r="F1460" i="9"/>
  <c r="I822" i="9"/>
  <c r="D822" i="9"/>
  <c r="F1615" i="9"/>
  <c r="H29" i="8"/>
  <c r="L189" i="5" s="1"/>
  <c r="M189" i="5" s="1"/>
  <c r="I2660" i="9"/>
  <c r="D2660" i="9"/>
  <c r="I1808" i="9"/>
  <c r="D1808" i="9"/>
  <c r="I578" i="9"/>
  <c r="D578" i="9"/>
  <c r="I382" i="9"/>
  <c r="D382" i="9"/>
  <c r="I3267" i="9"/>
  <c r="D3267" i="9"/>
  <c r="I3110" i="9"/>
  <c r="D3110" i="9"/>
  <c r="I2258" i="9"/>
  <c r="D2258" i="9"/>
  <c r="I721" i="9"/>
  <c r="D721" i="9"/>
  <c r="I270" i="9"/>
  <c r="D270" i="9"/>
  <c r="D2342" i="9"/>
  <c r="D2348" i="9" s="1"/>
  <c r="D2384" i="9" s="1"/>
  <c r="F934" i="9"/>
  <c r="D934" i="9"/>
  <c r="E934" i="9"/>
  <c r="E2612" i="9"/>
  <c r="F2612" i="9"/>
  <c r="D2612" i="9"/>
  <c r="B1099" i="9"/>
  <c r="AA1102" i="9"/>
  <c r="AA1104" i="9"/>
  <c r="AA1106" i="9"/>
  <c r="AC1102" i="9"/>
  <c r="H1102" i="9" s="1"/>
  <c r="AC1104" i="9"/>
  <c r="H1104" i="9" s="1"/>
  <c r="AC1106" i="9"/>
  <c r="H1106" i="9" s="1"/>
  <c r="F3029" i="9"/>
  <c r="D3029" i="9"/>
  <c r="E3029" i="9"/>
  <c r="E3033" i="9"/>
  <c r="F3033" i="9"/>
  <c r="D3033" i="9"/>
  <c r="F635" i="9"/>
  <c r="H15" i="8"/>
  <c r="J88" i="5"/>
  <c r="J168" i="5"/>
  <c r="J9" i="5"/>
  <c r="M224" i="5"/>
  <c r="G224" i="5" s="1"/>
  <c r="F224" i="5"/>
  <c r="I2509" i="9"/>
  <c r="D2509" i="9"/>
  <c r="G7" i="11"/>
  <c r="F32" i="12"/>
  <c r="E7" i="11" s="1"/>
  <c r="D414" i="9"/>
  <c r="E414" i="9"/>
  <c r="F414" i="9"/>
  <c r="F1422" i="9"/>
  <c r="D1422" i="9"/>
  <c r="E1422" i="9"/>
  <c r="AE1741" i="9"/>
  <c r="H1741" i="9" s="1"/>
  <c r="AC1743" i="9"/>
  <c r="H1743" i="9" s="1"/>
  <c r="B1737" i="9"/>
  <c r="AA1739" i="9"/>
  <c r="AA1741" i="9"/>
  <c r="AC1739" i="9"/>
  <c r="H1739" i="9" s="1"/>
  <c r="AA1743" i="9"/>
  <c r="C2035" i="9"/>
  <c r="E34" i="8"/>
  <c r="F2648" i="9"/>
  <c r="D2648" i="9"/>
  <c r="E2648" i="9"/>
  <c r="D1314" i="9"/>
  <c r="E1314" i="9"/>
  <c r="F1314" i="9"/>
  <c r="I2412" i="9"/>
  <c r="D2412" i="9"/>
  <c r="I2511" i="9"/>
  <c r="E2511" i="9"/>
  <c r="F2896" i="9"/>
  <c r="D2896" i="9"/>
  <c r="E2896" i="9"/>
  <c r="D215" i="9"/>
  <c r="F7" i="8"/>
  <c r="D1572" i="9"/>
  <c r="D1578" i="9" s="1"/>
  <c r="D1614" i="9" s="1"/>
  <c r="F1237" i="9"/>
  <c r="I474" i="9"/>
  <c r="D474" i="9"/>
  <c r="F1356" i="9"/>
  <c r="D1356" i="9"/>
  <c r="E1356" i="9"/>
  <c r="F147" i="12"/>
  <c r="E24" i="11" s="1"/>
  <c r="G24" i="11"/>
  <c r="E1233" i="9"/>
  <c r="C1233" i="9" s="1"/>
  <c r="B1233" i="9" s="1"/>
  <c r="G123" i="7"/>
  <c r="H123" i="7" s="1"/>
  <c r="G109" i="7"/>
  <c r="H109" i="7" s="1"/>
  <c r="E2140" i="9"/>
  <c r="G37" i="8"/>
  <c r="I161" i="7" s="1"/>
  <c r="I2727" i="9"/>
  <c r="D2727" i="9"/>
  <c r="I646" i="9"/>
  <c r="D646" i="9"/>
  <c r="D1615" i="9"/>
  <c r="I2963" i="9"/>
  <c r="D2963" i="9"/>
  <c r="I854" i="9"/>
  <c r="D854" i="9"/>
  <c r="I554" i="9"/>
  <c r="D554" i="9"/>
  <c r="I2911" i="9"/>
  <c r="D2911" i="9"/>
  <c r="I2858" i="9"/>
  <c r="D2858" i="9"/>
  <c r="I1756" i="9"/>
  <c r="D1756" i="9"/>
  <c r="I1138" i="9"/>
  <c r="D1138" i="9"/>
  <c r="F932" i="9"/>
  <c r="D932" i="9"/>
  <c r="E932" i="9"/>
  <c r="F2616" i="9"/>
  <c r="D2616" i="9"/>
  <c r="E2616" i="9"/>
  <c r="G20" i="11"/>
  <c r="F121" i="12"/>
  <c r="E20" i="11" s="1"/>
  <c r="F3031" i="9"/>
  <c r="D3031" i="9"/>
  <c r="I125" i="9"/>
  <c r="D125" i="9"/>
  <c r="I974" i="9"/>
  <c r="C2210" i="9"/>
  <c r="E38" i="8"/>
  <c r="G5" i="11"/>
  <c r="F18" i="12"/>
  <c r="E5" i="11" s="1"/>
  <c r="F1420" i="9"/>
  <c r="D1420" i="9"/>
  <c r="E1420" i="9"/>
  <c r="F3104" i="9"/>
  <c r="C3102" i="9"/>
  <c r="B3102" i="9" s="1"/>
  <c r="B1735" i="9"/>
  <c r="AC1741" i="9"/>
  <c r="F68" i="12"/>
  <c r="E12" i="11" s="1"/>
  <c r="G12" i="11"/>
  <c r="F2176" i="9"/>
  <c r="C2156" i="9"/>
  <c r="D1312" i="9"/>
  <c r="E1312" i="9"/>
  <c r="C1312" i="9" s="1"/>
  <c r="B1312" i="9" s="1"/>
  <c r="F1312" i="9"/>
  <c r="I2797" i="9"/>
  <c r="D2797" i="9"/>
  <c r="F11" i="20"/>
  <c r="C1946" i="9"/>
  <c r="E1959" i="9"/>
  <c r="G27" i="11"/>
  <c r="F169" i="12"/>
  <c r="E27" i="11" s="1"/>
  <c r="C2105" i="9"/>
  <c r="E36" i="8"/>
  <c r="F1354" i="9"/>
  <c r="D1354" i="9"/>
  <c r="E1354" i="9"/>
  <c r="F3250" i="9"/>
  <c r="F1842" i="9"/>
  <c r="D1842" i="9"/>
  <c r="E1842" i="9"/>
  <c r="E1846" i="9"/>
  <c r="F1846" i="9"/>
  <c r="D1846" i="9"/>
  <c r="D3213" i="9"/>
  <c r="E3213" i="9"/>
  <c r="F3213" i="9"/>
  <c r="D1464" i="9"/>
  <c r="E1464" i="9"/>
  <c r="F1464" i="9"/>
  <c r="F1125" i="9"/>
  <c r="H22" i="8"/>
  <c r="K94" i="7" s="1"/>
  <c r="L94" i="7" s="1"/>
  <c r="I155" i="9"/>
  <c r="D155" i="9"/>
  <c r="I2578" i="9"/>
  <c r="D2578" i="9"/>
  <c r="I1068" i="9"/>
  <c r="D1068" i="9"/>
  <c r="I682" i="9"/>
  <c r="D682" i="9"/>
  <c r="F2997" i="9"/>
  <c r="D2997" i="9"/>
  <c r="E2997" i="9"/>
  <c r="E3001" i="9"/>
  <c r="F3001" i="9"/>
  <c r="D3001" i="9"/>
  <c r="I2526" i="9"/>
  <c r="D2526" i="9"/>
  <c r="I2275" i="9"/>
  <c r="D2275" i="9"/>
  <c r="I1703" i="9"/>
  <c r="D1703" i="9"/>
  <c r="I798" i="9"/>
  <c r="D798" i="9"/>
  <c r="C2342" i="9"/>
  <c r="B2342" i="9" s="1"/>
  <c r="F1959" i="9"/>
  <c r="F1964" i="9" s="1"/>
  <c r="C1957" i="9"/>
  <c r="F930" i="9"/>
  <c r="D930" i="9"/>
  <c r="E930" i="9"/>
  <c r="E2614" i="9"/>
  <c r="F2614" i="9"/>
  <c r="D2614" i="9"/>
  <c r="F2245" i="9"/>
  <c r="H39" i="8"/>
  <c r="L35" i="5" s="1"/>
  <c r="M35" i="5" s="1"/>
  <c r="G15" i="11"/>
  <c r="F86" i="12"/>
  <c r="E15" i="11" s="1"/>
  <c r="F2099" i="9"/>
  <c r="F2104" i="9" s="1"/>
  <c r="C2097" i="9"/>
  <c r="D418" i="9"/>
  <c r="E418" i="9"/>
  <c r="F418" i="9"/>
  <c r="F1418" i="9"/>
  <c r="D1418" i="9"/>
  <c r="E1418" i="9"/>
  <c r="F1475" i="9"/>
  <c r="C1544" i="9"/>
  <c r="H27" i="8"/>
  <c r="B609" i="9"/>
  <c r="AA612" i="9"/>
  <c r="AA614" i="9"/>
  <c r="AA616" i="9"/>
  <c r="AC612" i="9"/>
  <c r="H612" i="9" s="1"/>
  <c r="AC614" i="9"/>
  <c r="H614" i="9" s="1"/>
  <c r="AC616" i="9"/>
  <c r="H616" i="9" s="1"/>
  <c r="I516" i="9"/>
  <c r="D516" i="9"/>
  <c r="C1235" i="9"/>
  <c r="B1235" i="9" s="1"/>
  <c r="D1310" i="9"/>
  <c r="E1310" i="9"/>
  <c r="F1310" i="9"/>
  <c r="F2385" i="9"/>
  <c r="H41" i="8"/>
  <c r="L30" i="5" s="1"/>
  <c r="M30" i="5" s="1"/>
  <c r="G9" i="11"/>
  <c r="F46" i="12"/>
  <c r="E9" i="11" s="1"/>
  <c r="C1572" i="9"/>
  <c r="B1572" i="9" s="1"/>
  <c r="J43" i="9"/>
  <c r="G16" i="20"/>
  <c r="F16" i="20" s="1"/>
  <c r="F1874" i="9"/>
  <c r="D1874" i="9"/>
  <c r="E1874" i="9"/>
  <c r="E1878" i="9"/>
  <c r="F1878" i="9"/>
  <c r="D1878" i="9"/>
  <c r="D1231" i="9"/>
  <c r="D1237" i="9" s="1"/>
  <c r="J10" i="5"/>
  <c r="J89" i="5"/>
  <c r="J169" i="5"/>
  <c r="F1352" i="9"/>
  <c r="D1352" i="9"/>
  <c r="E1352" i="9"/>
  <c r="F1844" i="9"/>
  <c r="D1844" i="9"/>
  <c r="E1844" i="9"/>
  <c r="E48" i="9"/>
  <c r="C45" i="9"/>
  <c r="B45" i="9" s="1"/>
  <c r="G17" i="11"/>
  <c r="F100" i="12"/>
  <c r="E17" i="11" s="1"/>
  <c r="G122" i="7"/>
  <c r="H122" i="7" s="1"/>
  <c r="G190" i="7"/>
  <c r="H190" i="7" s="1"/>
  <c r="G201" i="7"/>
  <c r="H201" i="7" s="1"/>
  <c r="G108" i="7"/>
  <c r="H108" i="7" s="1"/>
  <c r="G135" i="7"/>
  <c r="H135" i="7" s="1"/>
  <c r="G241" i="7"/>
  <c r="H241" i="7" s="1"/>
  <c r="F177" i="12"/>
  <c r="E28" i="11" s="1"/>
  <c r="G28" i="11"/>
  <c r="E3217" i="9"/>
  <c r="F3217" i="9"/>
  <c r="D3217" i="9"/>
  <c r="D1462" i="9"/>
  <c r="E1462" i="9"/>
  <c r="F1462" i="9"/>
  <c r="D1458" i="9"/>
  <c r="E1458" i="9"/>
  <c r="F1458" i="9"/>
  <c r="F2770" i="9"/>
  <c r="C2086" i="9"/>
  <c r="E2099" i="9"/>
  <c r="C1642" i="9"/>
  <c r="B1642" i="9" s="1"/>
  <c r="I3045" i="9"/>
  <c r="D3045" i="9"/>
  <c r="I1890" i="9"/>
  <c r="D1890" i="9"/>
  <c r="I1044" i="9"/>
  <c r="D1044" i="9"/>
  <c r="I188" i="9"/>
  <c r="D188" i="9"/>
  <c r="F2999" i="9"/>
  <c r="D2999" i="9"/>
  <c r="E2999" i="9"/>
  <c r="H90" i="5"/>
  <c r="I90" i="5" s="1"/>
  <c r="I87" i="5" s="1"/>
  <c r="H170" i="5"/>
  <c r="I170" i="5" s="1"/>
  <c r="I167" i="5" s="1"/>
  <c r="H11" i="5"/>
  <c r="I11" i="5" s="1"/>
  <c r="I8" i="5" s="1"/>
  <c r="I3178" i="9"/>
  <c r="D3178" i="9"/>
  <c r="I2473" i="9"/>
  <c r="D2473" i="9"/>
  <c r="I1172" i="9"/>
  <c r="D1172" i="9"/>
  <c r="I761" i="9"/>
  <c r="D761" i="9"/>
  <c r="F2315" i="9"/>
  <c r="F928" i="9"/>
  <c r="D928" i="9"/>
  <c r="E928" i="9"/>
  <c r="I102" i="7"/>
  <c r="I112" i="7"/>
  <c r="I141" i="7"/>
  <c r="I126" i="7"/>
  <c r="I196" i="7"/>
  <c r="I207" i="7"/>
  <c r="I249" i="7"/>
  <c r="I278" i="7"/>
  <c r="D416" i="9"/>
  <c r="E416" i="9"/>
  <c r="F416" i="9"/>
  <c r="F110" i="9"/>
  <c r="H5" i="8"/>
  <c r="I63" i="9"/>
  <c r="D63" i="9"/>
  <c r="F1416" i="9"/>
  <c r="D1416" i="9"/>
  <c r="E1416" i="9"/>
  <c r="C1646" i="9"/>
  <c r="B1646" i="9" s="1"/>
  <c r="F460" i="9"/>
  <c r="H12" i="8"/>
  <c r="I308" i="9"/>
  <c r="D308" i="9"/>
  <c r="L220" i="5"/>
  <c r="L62" i="5"/>
  <c r="L139" i="5"/>
  <c r="D2646" i="9"/>
  <c r="F2646" i="9"/>
  <c r="E2644" i="9"/>
  <c r="D2644" i="9"/>
  <c r="F2644" i="9"/>
  <c r="G10" i="11"/>
  <c r="F54" i="12"/>
  <c r="E10" i="11" s="1"/>
  <c r="D1316" i="9"/>
  <c r="E1316" i="9"/>
  <c r="F1316" i="9"/>
  <c r="G25" i="11"/>
  <c r="F155" i="12"/>
  <c r="E25" i="11" s="1"/>
  <c r="F20" i="20"/>
  <c r="F2894" i="9"/>
  <c r="D2894" i="9"/>
  <c r="E2894" i="9"/>
  <c r="E2898" i="9"/>
  <c r="F2898" i="9"/>
  <c r="D2898" i="9"/>
  <c r="F1578" i="9"/>
  <c r="F1614" i="9" s="1"/>
  <c r="F17" i="20"/>
  <c r="I84" i="9"/>
  <c r="D84" i="9"/>
  <c r="F1876" i="9"/>
  <c r="D1876" i="9"/>
  <c r="E179" i="7"/>
  <c r="J179" i="7"/>
  <c r="F179" i="7" s="1"/>
  <c r="F1350" i="9"/>
  <c r="D1350" i="9"/>
  <c r="D1358" i="9" s="1"/>
  <c r="D1360" i="9" s="1"/>
  <c r="E1350" i="9"/>
  <c r="D3244" i="9"/>
  <c r="D3250" i="9" s="1"/>
  <c r="F145" i="9"/>
  <c r="H6" i="8"/>
  <c r="F2700" i="9" l="1"/>
  <c r="H44" i="8"/>
  <c r="L108" i="5" s="1"/>
  <c r="M108" i="5" s="1"/>
  <c r="F1424" i="9"/>
  <c r="F1466" i="9"/>
  <c r="F1468" i="9" s="1"/>
  <c r="C1462" i="9"/>
  <c r="B1462" i="9" s="1"/>
  <c r="D936" i="9"/>
  <c r="C2801" i="9"/>
  <c r="B2801" i="9" s="1"/>
  <c r="F140" i="12"/>
  <c r="E23" i="11" s="1"/>
  <c r="G23" i="11"/>
  <c r="F3275" i="9"/>
  <c r="F3294" i="9" s="1"/>
  <c r="F936" i="9"/>
  <c r="F810" i="9"/>
  <c r="H19" i="8"/>
  <c r="C2898" i="9"/>
  <c r="B2898" i="9" s="1"/>
  <c r="F1358" i="9"/>
  <c r="F1360" i="9" s="1"/>
  <c r="D1424" i="9"/>
  <c r="D1466" i="9"/>
  <c r="D1468" i="9" s="1"/>
  <c r="C418" i="9"/>
  <c r="B418" i="9" s="1"/>
  <c r="C1464" i="9"/>
  <c r="B1464" i="9" s="1"/>
  <c r="F250" i="9"/>
  <c r="H8" i="8"/>
  <c r="F39" i="12"/>
  <c r="E8" i="11" s="1"/>
  <c r="G8" i="11"/>
  <c r="F705" i="9"/>
  <c r="H16" i="8"/>
  <c r="F976" i="9"/>
  <c r="D976" i="9"/>
  <c r="E976" i="9"/>
  <c r="E980" i="9"/>
  <c r="F980" i="9"/>
  <c r="D980" i="9"/>
  <c r="L1997" i="9"/>
  <c r="F1997" i="9" s="1"/>
  <c r="F1999" i="9" s="1"/>
  <c r="F2001" i="9" s="1"/>
  <c r="F2034" i="9" s="1"/>
  <c r="K174" i="7"/>
  <c r="L174" i="7" s="1"/>
  <c r="L175" i="7" s="1"/>
  <c r="H24" i="6" s="1"/>
  <c r="K242" i="7"/>
  <c r="L242" i="7" s="1"/>
  <c r="K191" i="7"/>
  <c r="L191" i="7" s="1"/>
  <c r="K202" i="7"/>
  <c r="L202" i="7" s="1"/>
  <c r="K289" i="7"/>
  <c r="L289" i="7" s="1"/>
  <c r="K115" i="7"/>
  <c r="L115" i="7" s="1"/>
  <c r="K228" i="7"/>
  <c r="L228" i="7" s="1"/>
  <c r="K129" i="7"/>
  <c r="L129" i="7" s="1"/>
  <c r="K100" i="7"/>
  <c r="L100" i="7" s="1"/>
  <c r="K147" i="7"/>
  <c r="L147" i="7" s="1"/>
  <c r="K255" i="7"/>
  <c r="L255" i="7" s="1"/>
  <c r="K213" i="7"/>
  <c r="L213" i="7" s="1"/>
  <c r="K136" i="7"/>
  <c r="L136" i="7" s="1"/>
  <c r="K155" i="7"/>
  <c r="L155" i="7" s="1"/>
  <c r="K265" i="7"/>
  <c r="L265" i="7" s="1"/>
  <c r="K280" i="7"/>
  <c r="L280" i="7" s="1"/>
  <c r="D2900" i="9"/>
  <c r="C2616" i="9"/>
  <c r="B2616" i="9" s="1"/>
  <c r="C1314" i="9"/>
  <c r="B1314" i="9" s="1"/>
  <c r="C3215" i="9"/>
  <c r="B3215" i="9" s="1"/>
  <c r="L21" i="5"/>
  <c r="M21" i="5" s="1"/>
  <c r="L100" i="5"/>
  <c r="M100" i="5" s="1"/>
  <c r="L180" i="5"/>
  <c r="M180" i="5" s="1"/>
  <c r="G4" i="11"/>
  <c r="F11" i="12"/>
  <c r="E4" i="11" s="1"/>
  <c r="F162" i="12"/>
  <c r="E26" i="11" s="1"/>
  <c r="G26" i="11"/>
  <c r="H9" i="8"/>
  <c r="F285" i="9"/>
  <c r="E978" i="9"/>
  <c r="F978" i="9"/>
  <c r="D978" i="9"/>
  <c r="F740" i="9"/>
  <c r="H17" i="8"/>
  <c r="D2650" i="9"/>
  <c r="G6" i="11"/>
  <c r="F25" i="12"/>
  <c r="E6" i="11" s="1"/>
  <c r="F974" i="9"/>
  <c r="F982" i="9" s="1"/>
  <c r="F984" i="9" s="1"/>
  <c r="E974" i="9"/>
  <c r="C1350" i="9"/>
  <c r="B1350" i="9" s="1"/>
  <c r="E1358" i="9"/>
  <c r="J249" i="7"/>
  <c r="F249" i="7" s="1"/>
  <c r="E249" i="7"/>
  <c r="E141" i="7"/>
  <c r="J141" i="7"/>
  <c r="F141" i="7" s="1"/>
  <c r="D3184" i="9"/>
  <c r="C3178" i="9"/>
  <c r="E21" i="4"/>
  <c r="D196" i="9"/>
  <c r="C188" i="9"/>
  <c r="D1896" i="9"/>
  <c r="C1890" i="9"/>
  <c r="B1890" i="9" s="1"/>
  <c r="E56" i="9"/>
  <c r="C1874" i="9"/>
  <c r="B1874" i="9" s="1"/>
  <c r="L20" i="5"/>
  <c r="M20" i="5" s="1"/>
  <c r="L179" i="5"/>
  <c r="M179" i="5" s="1"/>
  <c r="L99" i="5"/>
  <c r="M99" i="5" s="1"/>
  <c r="F1545" i="9"/>
  <c r="H28" i="8"/>
  <c r="L188" i="5" s="1"/>
  <c r="M188" i="5" s="1"/>
  <c r="C2894" i="9"/>
  <c r="B2894" i="9" s="1"/>
  <c r="E2900" i="9"/>
  <c r="K476" i="9"/>
  <c r="H23" i="20"/>
  <c r="F23" i="20" s="1"/>
  <c r="F2650" i="9"/>
  <c r="F2668" i="9" s="1"/>
  <c r="F2699" i="9" s="1"/>
  <c r="M220" i="5"/>
  <c r="G220" i="5" s="1"/>
  <c r="F220" i="5"/>
  <c r="C416" i="9"/>
  <c r="B416" i="9" s="1"/>
  <c r="J207" i="7"/>
  <c r="F207" i="7" s="1"/>
  <c r="E207" i="7"/>
  <c r="E112" i="7"/>
  <c r="J112" i="7"/>
  <c r="F112" i="7" s="1"/>
  <c r="C928" i="9"/>
  <c r="B928" i="9" s="1"/>
  <c r="E936" i="9"/>
  <c r="C936" i="9" s="1"/>
  <c r="B3178" i="9"/>
  <c r="C2999" i="9"/>
  <c r="B2999" i="9" s="1"/>
  <c r="B188" i="9"/>
  <c r="C1844" i="9"/>
  <c r="B1844" i="9" s="1"/>
  <c r="C3244" i="9"/>
  <c r="B3244" i="9" s="1"/>
  <c r="F169" i="5"/>
  <c r="K169" i="5"/>
  <c r="G169" i="5" s="1"/>
  <c r="D1880" i="9"/>
  <c r="D1318" i="9"/>
  <c r="F614" i="9"/>
  <c r="D614" i="9"/>
  <c r="C2614" i="9"/>
  <c r="B2614" i="9" s="1"/>
  <c r="D807" i="9"/>
  <c r="D809" i="9" s="1"/>
  <c r="C798" i="9"/>
  <c r="D2281" i="9"/>
  <c r="C2275" i="9"/>
  <c r="D3003" i="9"/>
  <c r="D1074" i="9"/>
  <c r="C1068" i="9"/>
  <c r="D164" i="9"/>
  <c r="D198" i="9" s="1"/>
  <c r="D214" i="9" s="1"/>
  <c r="C155" i="9"/>
  <c r="F3219" i="9"/>
  <c r="F1848" i="9"/>
  <c r="E1237" i="9"/>
  <c r="K3246" i="9"/>
  <c r="H25" i="20"/>
  <c r="F25" i="20" s="1"/>
  <c r="F2209" i="9"/>
  <c r="C2176" i="9"/>
  <c r="D657" i="9"/>
  <c r="C646" i="9"/>
  <c r="D2733" i="9"/>
  <c r="D2769" i="9" s="1"/>
  <c r="C2727" i="9"/>
  <c r="B2727" i="9" s="1"/>
  <c r="K614" i="9"/>
  <c r="I614" i="9" s="1"/>
  <c r="K1104" i="9"/>
  <c r="I1104" i="9" s="1"/>
  <c r="H22" i="20"/>
  <c r="F22" i="20" s="1"/>
  <c r="C2511" i="9"/>
  <c r="B2511" i="9" s="1"/>
  <c r="E2515" i="9"/>
  <c r="D2419" i="9"/>
  <c r="D2454" i="9" s="1"/>
  <c r="C2412" i="9"/>
  <c r="C2648" i="9"/>
  <c r="B2648" i="9" s="1"/>
  <c r="C1422" i="9"/>
  <c r="B1422" i="9" s="1"/>
  <c r="C414" i="9"/>
  <c r="B414" i="9" s="1"/>
  <c r="E420" i="9"/>
  <c r="D2515" i="9"/>
  <c r="C2509" i="9"/>
  <c r="L25" i="5"/>
  <c r="M25" i="5" s="1"/>
  <c r="L184" i="5"/>
  <c r="M184" i="5" s="1"/>
  <c r="L104" i="5"/>
  <c r="M104" i="5" s="1"/>
  <c r="C3033" i="9"/>
  <c r="B3033" i="9" s="1"/>
  <c r="D1106" i="9"/>
  <c r="F1106" i="9"/>
  <c r="E1106" i="9"/>
  <c r="F2618" i="9"/>
  <c r="D734" i="9"/>
  <c r="D739" i="9" s="1"/>
  <c r="C721" i="9"/>
  <c r="D3116" i="9"/>
  <c r="D3118" i="9" s="1"/>
  <c r="D3154" i="9" s="1"/>
  <c r="C3110" i="9"/>
  <c r="D388" i="9"/>
  <c r="C382" i="9"/>
  <c r="D1814" i="9"/>
  <c r="D1898" i="9" s="1"/>
  <c r="D1929" i="9" s="1"/>
  <c r="C1808" i="9"/>
  <c r="D831" i="9"/>
  <c r="C822" i="9"/>
  <c r="C1460" i="9"/>
  <c r="B1460" i="9" s="1"/>
  <c r="D92" i="9"/>
  <c r="C84" i="9"/>
  <c r="L24" i="5"/>
  <c r="M24" i="5" s="1"/>
  <c r="L103" i="5"/>
  <c r="M103" i="5" s="1"/>
  <c r="M102" i="5" s="1"/>
  <c r="G24" i="4" s="1"/>
  <c r="L183" i="5"/>
  <c r="M183" i="5" s="1"/>
  <c r="E196" i="7"/>
  <c r="J196" i="7"/>
  <c r="F196" i="7" s="1"/>
  <c r="E102" i="7"/>
  <c r="J102" i="7"/>
  <c r="F102" i="7" s="1"/>
  <c r="E7" i="4"/>
  <c r="D1050" i="9"/>
  <c r="D1052" i="9" s="1"/>
  <c r="C1044" i="9"/>
  <c r="B1044" i="9" s="1"/>
  <c r="D3051" i="9"/>
  <c r="C3045" i="9"/>
  <c r="K232" i="9"/>
  <c r="H15" i="20"/>
  <c r="F15" i="20" s="1"/>
  <c r="F89" i="5"/>
  <c r="K89" i="5"/>
  <c r="G89" i="5" s="1"/>
  <c r="F1880" i="9"/>
  <c r="F1898" i="9" s="1"/>
  <c r="F1929" i="9" s="1"/>
  <c r="D522" i="9"/>
  <c r="D529" i="9" s="1"/>
  <c r="C516" i="9"/>
  <c r="F612" i="9"/>
  <c r="D612" i="9"/>
  <c r="E612" i="9"/>
  <c r="C930" i="9"/>
  <c r="B930" i="9" s="1"/>
  <c r="F1930" i="9"/>
  <c r="H32" i="8"/>
  <c r="B798" i="9"/>
  <c r="B2275" i="9"/>
  <c r="F3003" i="9"/>
  <c r="B1068" i="9"/>
  <c r="B155" i="9"/>
  <c r="C3213" i="9"/>
  <c r="B3213" i="9" s="1"/>
  <c r="E3219" i="9"/>
  <c r="C1846" i="9"/>
  <c r="B1846" i="9" s="1"/>
  <c r="F3155" i="9"/>
  <c r="H49" i="8"/>
  <c r="L114" i="5" s="1"/>
  <c r="M114" i="5" s="1"/>
  <c r="E1964" i="9"/>
  <c r="C1959" i="9"/>
  <c r="C3104" i="9"/>
  <c r="F3118" i="9"/>
  <c r="F3154" i="9" s="1"/>
  <c r="D133" i="9"/>
  <c r="D144" i="9" s="1"/>
  <c r="C125" i="9"/>
  <c r="D1144" i="9"/>
  <c r="D1146" i="9" s="1"/>
  <c r="D1159" i="9" s="1"/>
  <c r="C1138" i="9"/>
  <c r="D2864" i="9"/>
  <c r="C2858" i="9"/>
  <c r="D560" i="9"/>
  <c r="D562" i="9" s="1"/>
  <c r="C554" i="9"/>
  <c r="D2969" i="9"/>
  <c r="C2963" i="9"/>
  <c r="B646" i="9"/>
  <c r="D481" i="9"/>
  <c r="D494" i="9" s="1"/>
  <c r="C474" i="9"/>
  <c r="C2896" i="9"/>
  <c r="B2896" i="9" s="1"/>
  <c r="B2412" i="9"/>
  <c r="D420" i="9"/>
  <c r="B2509" i="9"/>
  <c r="K9" i="5"/>
  <c r="F9" i="5"/>
  <c r="C3029" i="9"/>
  <c r="B3029" i="9" s="1"/>
  <c r="D1104" i="9"/>
  <c r="F1104" i="9"/>
  <c r="E1104" i="9"/>
  <c r="C2612" i="9"/>
  <c r="B2612" i="9" s="1"/>
  <c r="E2618" i="9"/>
  <c r="D2315" i="9"/>
  <c r="F40" i="8"/>
  <c r="H29" i="5" s="1"/>
  <c r="I29" i="5" s="1"/>
  <c r="B721" i="9"/>
  <c r="B3110" i="9"/>
  <c r="B382" i="9"/>
  <c r="B1808" i="9"/>
  <c r="B822" i="9"/>
  <c r="L115" i="5"/>
  <c r="M115" i="5" s="1"/>
  <c r="L195" i="5"/>
  <c r="M195" i="5" s="1"/>
  <c r="L36" i="5"/>
  <c r="M36" i="5" s="1"/>
  <c r="K158" i="9"/>
  <c r="K649" i="9"/>
  <c r="K825" i="9"/>
  <c r="H10" i="20"/>
  <c r="F10" i="20" s="1"/>
  <c r="D315" i="9"/>
  <c r="D318" i="9" s="1"/>
  <c r="D354" i="9" s="1"/>
  <c r="C308" i="9"/>
  <c r="D69" i="9"/>
  <c r="C63" i="9"/>
  <c r="B63" i="9" s="1"/>
  <c r="D767" i="9"/>
  <c r="D774" i="9" s="1"/>
  <c r="C761" i="9"/>
  <c r="B761" i="9" s="1"/>
  <c r="D2479" i="9"/>
  <c r="C2473" i="9"/>
  <c r="C1352" i="9"/>
  <c r="B1352" i="9" s="1"/>
  <c r="B84" i="9"/>
  <c r="F2900" i="9"/>
  <c r="F2919" i="9" s="1"/>
  <c r="F2944" i="9" s="1"/>
  <c r="C1316" i="9"/>
  <c r="B1316" i="9" s="1"/>
  <c r="C2644" i="9"/>
  <c r="B2644" i="9" s="1"/>
  <c r="M139" i="5"/>
  <c r="G139" i="5" s="1"/>
  <c r="F139" i="5"/>
  <c r="B308" i="9"/>
  <c r="C1416" i="9"/>
  <c r="B1416" i="9" s="1"/>
  <c r="E1424" i="9"/>
  <c r="C1424" i="9" s="1"/>
  <c r="J278" i="7"/>
  <c r="F278" i="7" s="1"/>
  <c r="E278" i="7"/>
  <c r="E126" i="7"/>
  <c r="J126" i="7"/>
  <c r="F126" i="7" s="1"/>
  <c r="B2473" i="9"/>
  <c r="E35" i="4"/>
  <c r="B3045" i="9"/>
  <c r="C2099" i="9"/>
  <c r="E2104" i="9"/>
  <c r="E1466" i="9"/>
  <c r="C1458" i="9"/>
  <c r="B1458" i="9" s="1"/>
  <c r="C3217" i="9"/>
  <c r="B3217" i="9" s="1"/>
  <c r="F10" i="5"/>
  <c r="K10" i="5"/>
  <c r="G10" i="5" s="1"/>
  <c r="C1878" i="9"/>
  <c r="B1878" i="9" s="1"/>
  <c r="I43" i="9"/>
  <c r="D43" i="9"/>
  <c r="K384" i="9"/>
  <c r="K191" i="9"/>
  <c r="K685" i="9"/>
  <c r="K556" i="9"/>
  <c r="K580" i="9"/>
  <c r="K1046" i="9"/>
  <c r="K1070" i="9"/>
  <c r="K857" i="9"/>
  <c r="K1810" i="9"/>
  <c r="K1892" i="9"/>
  <c r="K2580" i="9"/>
  <c r="K2662" i="9"/>
  <c r="K2965" i="9"/>
  <c r="K3047" i="9"/>
  <c r="H9" i="20"/>
  <c r="F9" i="20" s="1"/>
  <c r="F1318" i="9"/>
  <c r="B516" i="9"/>
  <c r="L66" i="5"/>
  <c r="L225" i="5"/>
  <c r="L143" i="5"/>
  <c r="C1418" i="9"/>
  <c r="B1418" i="9" s="1"/>
  <c r="F2070" i="9"/>
  <c r="H35" i="8"/>
  <c r="K163" i="7" s="1"/>
  <c r="L163" i="7" s="1"/>
  <c r="I236" i="7"/>
  <c r="I19" i="7"/>
  <c r="I28" i="7"/>
  <c r="H13" i="20"/>
  <c r="F13" i="20" s="1"/>
  <c r="D1709" i="9"/>
  <c r="C1703" i="9"/>
  <c r="B1703" i="9" s="1"/>
  <c r="D2532" i="9"/>
  <c r="C2526" i="9"/>
  <c r="C3001" i="9"/>
  <c r="B3001" i="9" s="1"/>
  <c r="D690" i="9"/>
  <c r="C682" i="9"/>
  <c r="D2584" i="9"/>
  <c r="C2578" i="9"/>
  <c r="D3219" i="9"/>
  <c r="C1842" i="9"/>
  <c r="B1842" i="9" s="1"/>
  <c r="E1848" i="9"/>
  <c r="C1354" i="9"/>
  <c r="B1354" i="9" s="1"/>
  <c r="D2804" i="9"/>
  <c r="D2839" i="9" s="1"/>
  <c r="C2797" i="9"/>
  <c r="K1876" i="9"/>
  <c r="K2646" i="9"/>
  <c r="K3031" i="9"/>
  <c r="H12" i="20"/>
  <c r="F12" i="20" s="1"/>
  <c r="C1420" i="9"/>
  <c r="B1420" i="9" s="1"/>
  <c r="B125" i="9"/>
  <c r="K1644" i="9"/>
  <c r="K2799" i="9"/>
  <c r="K2414" i="9"/>
  <c r="H18" i="20"/>
  <c r="F18" i="20" s="1"/>
  <c r="C932" i="9"/>
  <c r="B932" i="9" s="1"/>
  <c r="B1138" i="9"/>
  <c r="B2858" i="9"/>
  <c r="B554" i="9"/>
  <c r="B2963" i="9"/>
  <c r="L15" i="5"/>
  <c r="M15" i="5" s="1"/>
  <c r="L174" i="5"/>
  <c r="M174" i="5" s="1"/>
  <c r="L94" i="5"/>
  <c r="M94" i="5" s="1"/>
  <c r="J161" i="7"/>
  <c r="C1356" i="9"/>
  <c r="B1356" i="9" s="1"/>
  <c r="B474" i="9"/>
  <c r="D1545" i="9"/>
  <c r="F28" i="8"/>
  <c r="H188" i="5" s="1"/>
  <c r="I188" i="5" s="1"/>
  <c r="E1739" i="9"/>
  <c r="F1739" i="9"/>
  <c r="D1739" i="9"/>
  <c r="E1743" i="9"/>
  <c r="F1743" i="9"/>
  <c r="D1743" i="9"/>
  <c r="F168" i="5"/>
  <c r="K168" i="5"/>
  <c r="D3035" i="9"/>
  <c r="D1102" i="9"/>
  <c r="F1102" i="9"/>
  <c r="F1109" i="9" s="1"/>
  <c r="F1112" i="9" s="1"/>
  <c r="F1124" i="9" s="1"/>
  <c r="E1102" i="9"/>
  <c r="C934" i="9"/>
  <c r="B934" i="9" s="1"/>
  <c r="D277" i="9"/>
  <c r="D279" i="9" s="1"/>
  <c r="D284" i="9" s="1"/>
  <c r="C270" i="9"/>
  <c r="D2264" i="9"/>
  <c r="D2283" i="9" s="1"/>
  <c r="D2314" i="9" s="1"/>
  <c r="C2258" i="9"/>
  <c r="D3273" i="9"/>
  <c r="C3267" i="9"/>
  <c r="B3267" i="9" s="1"/>
  <c r="D584" i="9"/>
  <c r="C578" i="9"/>
  <c r="B578" i="9" s="1"/>
  <c r="D2666" i="9"/>
  <c r="C2660" i="9"/>
  <c r="M62" i="5"/>
  <c r="G62" i="5" s="1"/>
  <c r="F62" i="5"/>
  <c r="D1178" i="9"/>
  <c r="D1194" i="9" s="1"/>
  <c r="C1172" i="9"/>
  <c r="B1172" i="9" s="1"/>
  <c r="I277" i="7"/>
  <c r="I288" i="7"/>
  <c r="H26" i="20"/>
  <c r="F26" i="20" s="1"/>
  <c r="C1310" i="9"/>
  <c r="B1310" i="9" s="1"/>
  <c r="E1318" i="9"/>
  <c r="C1318" i="9" s="1"/>
  <c r="F616" i="9"/>
  <c r="D616" i="9"/>
  <c r="E616" i="9"/>
  <c r="C1475" i="9"/>
  <c r="E27" i="8"/>
  <c r="B2526" i="9"/>
  <c r="C2997" i="9"/>
  <c r="B2997" i="9" s="1"/>
  <c r="E3003" i="9"/>
  <c r="C3003" i="9" s="1"/>
  <c r="B682" i="9"/>
  <c r="B2578" i="9"/>
  <c r="D1848" i="9"/>
  <c r="C1231" i="9"/>
  <c r="B1231" i="9" s="1"/>
  <c r="B2797" i="9"/>
  <c r="K310" i="9"/>
  <c r="K518" i="9"/>
  <c r="H5" i="20"/>
  <c r="F5" i="20" s="1"/>
  <c r="D982" i="9"/>
  <c r="C974" i="9"/>
  <c r="B974" i="9" s="1"/>
  <c r="D1762" i="9"/>
  <c r="C1756" i="9"/>
  <c r="B1756" i="9" s="1"/>
  <c r="D2917" i="9"/>
  <c r="C2911" i="9"/>
  <c r="B2911" i="9" s="1"/>
  <c r="D862" i="9"/>
  <c r="C854" i="9"/>
  <c r="B854" i="9" s="1"/>
  <c r="J1997" i="9"/>
  <c r="D1997" i="9" s="1"/>
  <c r="D1999" i="9" s="1"/>
  <c r="D2001" i="9" s="1"/>
  <c r="D2034" i="9" s="1"/>
  <c r="G174" i="7"/>
  <c r="H174" i="7" s="1"/>
  <c r="H175" i="7" s="1"/>
  <c r="F24" i="6" s="1"/>
  <c r="F1741" i="9"/>
  <c r="D1741" i="9"/>
  <c r="E1741" i="9"/>
  <c r="F420" i="9"/>
  <c r="F421" i="9" s="1"/>
  <c r="F424" i="9" s="1"/>
  <c r="K272" i="9"/>
  <c r="K763" i="9"/>
  <c r="K801" i="9"/>
  <c r="K1140" i="9"/>
  <c r="K725" i="9"/>
  <c r="K1174" i="9"/>
  <c r="K1705" i="9"/>
  <c r="K1758" i="9"/>
  <c r="K2260" i="9"/>
  <c r="K2475" i="9"/>
  <c r="K2277" i="9"/>
  <c r="K2860" i="9"/>
  <c r="K3112" i="9"/>
  <c r="K3180" i="9"/>
  <c r="K2528" i="9"/>
  <c r="K2913" i="9"/>
  <c r="K3269" i="9"/>
  <c r="I88" i="7"/>
  <c r="H7" i="20"/>
  <c r="F7" i="20" s="1"/>
  <c r="F88" i="5"/>
  <c r="K88" i="5"/>
  <c r="F3035" i="9"/>
  <c r="F3053" i="9" s="1"/>
  <c r="F3084" i="9" s="1"/>
  <c r="D2618" i="9"/>
  <c r="B270" i="9"/>
  <c r="B2258" i="9"/>
  <c r="B2660" i="9"/>
  <c r="E982" i="9" l="1"/>
  <c r="E984" i="9" s="1"/>
  <c r="D1109" i="9"/>
  <c r="M182" i="5"/>
  <c r="G38" i="4" s="1"/>
  <c r="I83" i="7"/>
  <c r="I47" i="7"/>
  <c r="I76" i="7"/>
  <c r="H21" i="20"/>
  <c r="F21" i="20" s="1"/>
  <c r="I69" i="7"/>
  <c r="I222" i="7"/>
  <c r="K87" i="9"/>
  <c r="H24" i="20"/>
  <c r="F24" i="20" s="1"/>
  <c r="H8" i="20"/>
  <c r="F8" i="20" s="1"/>
  <c r="K65" i="9"/>
  <c r="L19" i="5"/>
  <c r="M19" i="5" s="1"/>
  <c r="M18" i="5" s="1"/>
  <c r="G9" i="4" s="1"/>
  <c r="L98" i="5"/>
  <c r="M98" i="5" s="1"/>
  <c r="M97" i="5" s="1"/>
  <c r="G23" i="4" s="1"/>
  <c r="L178" i="5"/>
  <c r="M178" i="5" s="1"/>
  <c r="M177" i="5" s="1"/>
  <c r="G37" i="4" s="1"/>
  <c r="K93" i="7"/>
  <c r="L93" i="7" s="1"/>
  <c r="L95" i="7" s="1"/>
  <c r="H16" i="6" s="1"/>
  <c r="C978" i="9"/>
  <c r="B978" i="9" s="1"/>
  <c r="K110" i="7"/>
  <c r="L110" i="7" s="1"/>
  <c r="K178" i="7"/>
  <c r="L178" i="7" s="1"/>
  <c r="L180" i="7" s="1"/>
  <c r="H25" i="6" s="1"/>
  <c r="L210" i="5" s="1"/>
  <c r="M210" i="5" s="1"/>
  <c r="K124" i="7"/>
  <c r="L124" i="7" s="1"/>
  <c r="K162" i="7"/>
  <c r="L162" i="7" s="1"/>
  <c r="C980" i="9"/>
  <c r="B980" i="9" s="1"/>
  <c r="L14" i="5"/>
  <c r="M14" i="5" s="1"/>
  <c r="L93" i="5"/>
  <c r="M93" i="5" s="1"/>
  <c r="L173" i="5"/>
  <c r="M173" i="5" s="1"/>
  <c r="L116" i="5"/>
  <c r="M116" i="5" s="1"/>
  <c r="L196" i="5"/>
  <c r="M196" i="5" s="1"/>
  <c r="M193" i="5" s="1"/>
  <c r="G40" i="4" s="1"/>
  <c r="L37" i="5"/>
  <c r="M37" i="5" s="1"/>
  <c r="M34" i="5"/>
  <c r="G12" i="4" s="1"/>
  <c r="C2515" i="9"/>
  <c r="H6" i="20"/>
  <c r="F6" i="20" s="1"/>
  <c r="K127" i="9"/>
  <c r="K214" i="7"/>
  <c r="L214" i="7" s="1"/>
  <c r="K148" i="7"/>
  <c r="L148" i="7" s="1"/>
  <c r="K257" i="7"/>
  <c r="L257" i="7" s="1"/>
  <c r="K137" i="7"/>
  <c r="L137" i="7" s="1"/>
  <c r="K156" i="7"/>
  <c r="L156" i="7" s="1"/>
  <c r="K267" i="7"/>
  <c r="L267" i="7" s="1"/>
  <c r="K243" i="7"/>
  <c r="L243" i="7" s="1"/>
  <c r="K192" i="7"/>
  <c r="L192" i="7" s="1"/>
  <c r="K114" i="7"/>
  <c r="L114" i="7" s="1"/>
  <c r="K128" i="7"/>
  <c r="L128" i="7" s="1"/>
  <c r="K203" i="7"/>
  <c r="L203" i="7" s="1"/>
  <c r="K2729" i="9"/>
  <c r="K2344" i="9"/>
  <c r="H4" i="20"/>
  <c r="F4" i="20" s="1"/>
  <c r="K1574" i="9"/>
  <c r="F1965" i="9"/>
  <c r="H33" i="8"/>
  <c r="C976" i="9"/>
  <c r="B976" i="9" s="1"/>
  <c r="M23" i="5"/>
  <c r="G10" i="4" s="1"/>
  <c r="I2860" i="9"/>
  <c r="E2860" i="9"/>
  <c r="I1758" i="9"/>
  <c r="E1758" i="9"/>
  <c r="I1140" i="9"/>
  <c r="E1140" i="9"/>
  <c r="F355" i="9"/>
  <c r="H10" i="8"/>
  <c r="G110" i="7"/>
  <c r="H110" i="7" s="1"/>
  <c r="G178" i="7"/>
  <c r="H178" i="7" s="1"/>
  <c r="H180" i="7" s="1"/>
  <c r="F25" i="6" s="1"/>
  <c r="H210" i="5" s="1"/>
  <c r="I210" i="5" s="1"/>
  <c r="G124" i="7"/>
  <c r="H124" i="7" s="1"/>
  <c r="G162" i="7"/>
  <c r="H162" i="7" s="1"/>
  <c r="H165" i="7" s="1"/>
  <c r="F23" i="6" s="1"/>
  <c r="H212" i="5" s="1"/>
  <c r="I212" i="5" s="1"/>
  <c r="I310" i="9"/>
  <c r="E310" i="9"/>
  <c r="E277" i="7"/>
  <c r="J277" i="7"/>
  <c r="F1020" i="9"/>
  <c r="H21" i="8"/>
  <c r="D1745" i="9"/>
  <c r="D1764" i="9" s="1"/>
  <c r="D1789" i="9" s="1"/>
  <c r="I2414" i="9"/>
  <c r="E2414" i="9"/>
  <c r="I3031" i="9"/>
  <c r="E3031" i="9"/>
  <c r="D2770" i="9"/>
  <c r="F45" i="8"/>
  <c r="H109" i="5" s="1"/>
  <c r="I109" i="5" s="1"/>
  <c r="E236" i="7"/>
  <c r="J236" i="7"/>
  <c r="I2580" i="9"/>
  <c r="E2580" i="9"/>
  <c r="I1070" i="9"/>
  <c r="E1070" i="9"/>
  <c r="I685" i="9"/>
  <c r="E685" i="9"/>
  <c r="C2104" i="9"/>
  <c r="E2070" i="9"/>
  <c r="G35" i="8"/>
  <c r="I163" i="7" s="1"/>
  <c r="D740" i="9"/>
  <c r="F17" i="8"/>
  <c r="D285" i="9"/>
  <c r="F9" i="8"/>
  <c r="I158" i="9"/>
  <c r="E158" i="9"/>
  <c r="D460" i="9"/>
  <c r="F12" i="8"/>
  <c r="D1125" i="9"/>
  <c r="F22" i="8"/>
  <c r="G94" i="7" s="1"/>
  <c r="H94" i="7" s="1"/>
  <c r="C420" i="9"/>
  <c r="D2700" i="9"/>
  <c r="F44" i="8"/>
  <c r="H108" i="5" s="1"/>
  <c r="I108" i="5" s="1"/>
  <c r="F2140" i="9"/>
  <c r="H37" i="8"/>
  <c r="K161" i="7" s="1"/>
  <c r="C2209" i="9"/>
  <c r="F1264" i="9"/>
  <c r="C1237" i="9"/>
  <c r="D145" i="9"/>
  <c r="F6" i="8"/>
  <c r="D3275" i="9"/>
  <c r="D3294" i="9" s="1"/>
  <c r="I2913" i="9"/>
  <c r="E2913" i="9"/>
  <c r="I2528" i="9"/>
  <c r="E2528" i="9"/>
  <c r="I2277" i="9"/>
  <c r="E2277" i="9"/>
  <c r="I1705" i="9"/>
  <c r="E1705" i="9"/>
  <c r="I801" i="9"/>
  <c r="E801" i="9"/>
  <c r="C1741" i="9"/>
  <c r="B1741" i="9" s="1"/>
  <c r="D1965" i="9"/>
  <c r="F33" i="8"/>
  <c r="D984" i="9"/>
  <c r="C982" i="9"/>
  <c r="C616" i="9"/>
  <c r="B616" i="9" s="1"/>
  <c r="D250" i="9"/>
  <c r="F8" i="8"/>
  <c r="F1745" i="9"/>
  <c r="F1764" i="9" s="1"/>
  <c r="F1789" i="9" s="1"/>
  <c r="I2799" i="9"/>
  <c r="E2799" i="9"/>
  <c r="I2646" i="9"/>
  <c r="E2646" i="9"/>
  <c r="D2668" i="9"/>
  <c r="D2699" i="9" s="1"/>
  <c r="M143" i="5"/>
  <c r="G143" i="5" s="1"/>
  <c r="F143" i="5"/>
  <c r="I3047" i="9"/>
  <c r="E3047" i="9"/>
  <c r="I1892" i="9"/>
  <c r="E1892" i="9"/>
  <c r="I1046" i="9"/>
  <c r="E1046" i="9"/>
  <c r="I191" i="9"/>
  <c r="E191" i="9"/>
  <c r="C1104" i="9"/>
  <c r="B1104" i="9" s="1"/>
  <c r="E1930" i="9"/>
  <c r="C1964" i="9"/>
  <c r="G32" i="8"/>
  <c r="K184" i="7"/>
  <c r="L184" i="7" s="1"/>
  <c r="L186" i="7" s="1"/>
  <c r="H26" i="6" s="1"/>
  <c r="L211" i="5" s="1"/>
  <c r="M211" i="5" s="1"/>
  <c r="K258" i="7"/>
  <c r="L258" i="7" s="1"/>
  <c r="K268" i="7"/>
  <c r="L268" i="7" s="1"/>
  <c r="K246" i="7"/>
  <c r="L246" i="7" s="1"/>
  <c r="K53" i="7"/>
  <c r="L53" i="7" s="1"/>
  <c r="C612" i="9"/>
  <c r="B612" i="9" s="1"/>
  <c r="D495" i="9"/>
  <c r="F13" i="8"/>
  <c r="D864" i="9"/>
  <c r="D879" i="9" s="1"/>
  <c r="D421" i="9"/>
  <c r="D424" i="9" s="1"/>
  <c r="D705" i="9"/>
  <c r="F16" i="8"/>
  <c r="D2385" i="9"/>
  <c r="F41" i="8"/>
  <c r="H30" i="5" s="1"/>
  <c r="I30" i="5" s="1"/>
  <c r="I476" i="9"/>
  <c r="E476" i="9"/>
  <c r="C1358" i="9"/>
  <c r="E1360" i="9"/>
  <c r="F2945" i="9"/>
  <c r="H47" i="8"/>
  <c r="L111" i="5" s="1"/>
  <c r="M111" i="5" s="1"/>
  <c r="E88" i="7"/>
  <c r="J88" i="7"/>
  <c r="I3180" i="9"/>
  <c r="E3180" i="9"/>
  <c r="I2475" i="9"/>
  <c r="E2475" i="9"/>
  <c r="I1174" i="9"/>
  <c r="E1174" i="9"/>
  <c r="I763" i="9"/>
  <c r="E763" i="9"/>
  <c r="D1160" i="9"/>
  <c r="F23" i="8"/>
  <c r="H194" i="5" s="1"/>
  <c r="I194" i="5" s="1"/>
  <c r="C1739" i="9"/>
  <c r="B1739" i="9" s="1"/>
  <c r="E1745" i="9"/>
  <c r="C1745" i="9" s="1"/>
  <c r="I1644" i="9"/>
  <c r="E1644" i="9"/>
  <c r="I1876" i="9"/>
  <c r="E1876" i="9"/>
  <c r="E28" i="7"/>
  <c r="J28" i="7"/>
  <c r="M225" i="5"/>
  <c r="G225" i="5" s="1"/>
  <c r="F225" i="5"/>
  <c r="I2965" i="9"/>
  <c r="E2965" i="9"/>
  <c r="I1810" i="9"/>
  <c r="E1810" i="9"/>
  <c r="I580" i="9"/>
  <c r="E580" i="9"/>
  <c r="I384" i="9"/>
  <c r="E384" i="9"/>
  <c r="D2534" i="9"/>
  <c r="D2559" i="9" s="1"/>
  <c r="I825" i="9"/>
  <c r="E825" i="9"/>
  <c r="D3053" i="9"/>
  <c r="D3084" i="9" s="1"/>
  <c r="D2919" i="9"/>
  <c r="D2944" i="9" s="1"/>
  <c r="D110" i="9"/>
  <c r="F5" i="8"/>
  <c r="L130" i="5"/>
  <c r="M130" i="5" s="1"/>
  <c r="L209" i="5"/>
  <c r="M209" i="5" s="1"/>
  <c r="L52" i="5"/>
  <c r="M52" i="5" s="1"/>
  <c r="C3219" i="9"/>
  <c r="D619" i="9"/>
  <c r="F1790" i="9"/>
  <c r="H31" i="8"/>
  <c r="L191" i="5" s="1"/>
  <c r="M191" i="5" s="1"/>
  <c r="I232" i="9"/>
  <c r="E232" i="9"/>
  <c r="D692" i="9"/>
  <c r="D704" i="9" s="1"/>
  <c r="D1112" i="9"/>
  <c r="E614" i="9"/>
  <c r="C614" i="9" s="1"/>
  <c r="B614" i="9" s="1"/>
  <c r="C2900" i="9"/>
  <c r="G88" i="5"/>
  <c r="I3269" i="9"/>
  <c r="E3269" i="9"/>
  <c r="I3112" i="9"/>
  <c r="E3112" i="9"/>
  <c r="I2260" i="9"/>
  <c r="E2260" i="9"/>
  <c r="I725" i="9"/>
  <c r="E725" i="9"/>
  <c r="I272" i="9"/>
  <c r="E272" i="9"/>
  <c r="I518" i="9"/>
  <c r="E518" i="9"/>
  <c r="E288" i="7"/>
  <c r="J288" i="7"/>
  <c r="F288" i="7" s="1"/>
  <c r="D622" i="9"/>
  <c r="D634" i="9" s="1"/>
  <c r="D2245" i="9"/>
  <c r="F39" i="8"/>
  <c r="H35" i="5" s="1"/>
  <c r="I35" i="5" s="1"/>
  <c r="C1102" i="9"/>
  <c r="B1102" i="9" s="1"/>
  <c r="E1109" i="9"/>
  <c r="C1109" i="9" s="1"/>
  <c r="G168" i="5"/>
  <c r="C1743" i="9"/>
  <c r="B1743" i="9" s="1"/>
  <c r="C1848" i="9"/>
  <c r="J19" i="7"/>
  <c r="E19" i="7"/>
  <c r="M66" i="5"/>
  <c r="G66" i="5" s="1"/>
  <c r="F66" i="5"/>
  <c r="I2662" i="9"/>
  <c r="E2662" i="9"/>
  <c r="I857" i="9"/>
  <c r="E857" i="9"/>
  <c r="I556" i="9"/>
  <c r="E556" i="9"/>
  <c r="D48" i="9"/>
  <c r="C43" i="9"/>
  <c r="L52" i="9" s="1"/>
  <c r="E1468" i="9"/>
  <c r="C1466" i="9"/>
  <c r="H46" i="8"/>
  <c r="L110" i="5" s="1"/>
  <c r="M110" i="5" s="1"/>
  <c r="F2840" i="9"/>
  <c r="I649" i="9"/>
  <c r="E649" i="9"/>
  <c r="C2618" i="9"/>
  <c r="G9" i="5"/>
  <c r="H48" i="8"/>
  <c r="F3085" i="9"/>
  <c r="M113" i="5"/>
  <c r="G26" i="4" s="1"/>
  <c r="F619" i="9"/>
  <c r="F622" i="9" s="1"/>
  <c r="F634" i="9" s="1"/>
  <c r="D1124" i="9"/>
  <c r="D1790" i="9"/>
  <c r="F31" i="8"/>
  <c r="H191" i="5" s="1"/>
  <c r="I191" i="5" s="1"/>
  <c r="D3085" i="9"/>
  <c r="F48" i="8"/>
  <c r="C1106" i="9"/>
  <c r="B1106" i="9" s="1"/>
  <c r="I3246" i="9"/>
  <c r="E3246" i="9"/>
  <c r="D775" i="9"/>
  <c r="F18" i="8"/>
  <c r="F2560" i="9"/>
  <c r="H43" i="8"/>
  <c r="L32" i="5" s="1"/>
  <c r="M32" i="5" s="1"/>
  <c r="M27" i="5" s="1"/>
  <c r="G11" i="4" s="1"/>
  <c r="J69" i="7" l="1"/>
  <c r="E69" i="7"/>
  <c r="E83" i="7"/>
  <c r="J83" i="7"/>
  <c r="E76" i="7"/>
  <c r="J76" i="7"/>
  <c r="J222" i="7"/>
  <c r="E222" i="7"/>
  <c r="J47" i="7"/>
  <c r="E47" i="7"/>
  <c r="K111" i="7"/>
  <c r="L111" i="7" s="1"/>
  <c r="K125" i="7"/>
  <c r="L125" i="7" s="1"/>
  <c r="K206" i="7"/>
  <c r="L206" i="7" s="1"/>
  <c r="K52" i="7"/>
  <c r="L52" i="7" s="1"/>
  <c r="K195" i="7"/>
  <c r="L195" i="7" s="1"/>
  <c r="K248" i="7"/>
  <c r="L248" i="7" s="1"/>
  <c r="K140" i="7"/>
  <c r="L140" i="7" s="1"/>
  <c r="K101" i="7"/>
  <c r="L101" i="7" s="1"/>
  <c r="K279" i="7"/>
  <c r="L279" i="7" s="1"/>
  <c r="L281" i="7" s="1"/>
  <c r="H36" i="6" s="1"/>
  <c r="L133" i="5" s="1"/>
  <c r="M133" i="5" s="1"/>
  <c r="I2344" i="9"/>
  <c r="E2344" i="9"/>
  <c r="L55" i="7"/>
  <c r="H10" i="6" s="1"/>
  <c r="L58" i="5" s="1"/>
  <c r="M58" i="5" s="1"/>
  <c r="I1574" i="9"/>
  <c r="E1574" i="9"/>
  <c r="E87" i="9"/>
  <c r="I87" i="9"/>
  <c r="I2729" i="9"/>
  <c r="E2729" i="9"/>
  <c r="I127" i="9"/>
  <c r="E127" i="9"/>
  <c r="I65" i="9"/>
  <c r="E65" i="9"/>
  <c r="D530" i="9"/>
  <c r="F14" i="8"/>
  <c r="C3246" i="9"/>
  <c r="B3246" i="9" s="1"/>
  <c r="E3250" i="9"/>
  <c r="C3250" i="9" s="1"/>
  <c r="G259" i="7"/>
  <c r="H259" i="7" s="1"/>
  <c r="G269" i="7"/>
  <c r="H269" i="7" s="1"/>
  <c r="G247" i="7"/>
  <c r="H247" i="7" s="1"/>
  <c r="D1020" i="9"/>
  <c r="F21" i="8"/>
  <c r="I52" i="9"/>
  <c r="F52" i="9"/>
  <c r="C857" i="9"/>
  <c r="B857" i="9" s="1"/>
  <c r="E862" i="9"/>
  <c r="C862" i="9" s="1"/>
  <c r="C232" i="9"/>
  <c r="E237" i="9"/>
  <c r="D2945" i="9"/>
  <c r="F47" i="8"/>
  <c r="H111" i="5" s="1"/>
  <c r="I111" i="5" s="1"/>
  <c r="C384" i="9"/>
  <c r="E388" i="9"/>
  <c r="C1810" i="9"/>
  <c r="E1814" i="9"/>
  <c r="C1644" i="9"/>
  <c r="E1649" i="9"/>
  <c r="C763" i="9"/>
  <c r="E767" i="9"/>
  <c r="C2475" i="9"/>
  <c r="E2479" i="9"/>
  <c r="F88" i="7"/>
  <c r="J90" i="7"/>
  <c r="C1360" i="9"/>
  <c r="F1369" i="9"/>
  <c r="D810" i="9"/>
  <c r="F19" i="8"/>
  <c r="C2799" i="9"/>
  <c r="E2804" i="9"/>
  <c r="H37" i="5"/>
  <c r="I37" i="5" s="1"/>
  <c r="H116" i="5"/>
  <c r="I116" i="5" s="1"/>
  <c r="H196" i="5"/>
  <c r="I196" i="5" s="1"/>
  <c r="F1019" i="9"/>
  <c r="C984" i="9"/>
  <c r="C801" i="9"/>
  <c r="E807" i="9"/>
  <c r="C2277" i="9"/>
  <c r="E2281" i="9"/>
  <c r="C2281" i="9" s="1"/>
  <c r="C2913" i="9"/>
  <c r="E2917" i="9"/>
  <c r="C2917" i="9" s="1"/>
  <c r="B43" i="9"/>
  <c r="C3031" i="9"/>
  <c r="E3035" i="9"/>
  <c r="C3035" i="9" s="1"/>
  <c r="H100" i="5"/>
  <c r="I100" i="5" s="1"/>
  <c r="H21" i="5"/>
  <c r="I21" i="5" s="1"/>
  <c r="H180" i="5"/>
  <c r="I180" i="5" s="1"/>
  <c r="F530" i="9"/>
  <c r="H14" i="8"/>
  <c r="D56" i="9"/>
  <c r="C48" i="9"/>
  <c r="C518" i="9"/>
  <c r="B518" i="9" s="1"/>
  <c r="E522" i="9"/>
  <c r="C725" i="9"/>
  <c r="E734" i="9"/>
  <c r="C3112" i="9"/>
  <c r="B3112" i="9" s="1"/>
  <c r="E3116" i="9"/>
  <c r="B232" i="9"/>
  <c r="H24" i="5"/>
  <c r="I24" i="5" s="1"/>
  <c r="H103" i="5"/>
  <c r="I103" i="5" s="1"/>
  <c r="H183" i="5"/>
  <c r="I183" i="5" s="1"/>
  <c r="C825" i="9"/>
  <c r="E831" i="9"/>
  <c r="B384" i="9"/>
  <c r="B1810" i="9"/>
  <c r="B1644" i="9"/>
  <c r="B763" i="9"/>
  <c r="B2475" i="9"/>
  <c r="H14" i="5"/>
  <c r="I14" i="5" s="1"/>
  <c r="H93" i="5"/>
  <c r="I93" i="5" s="1"/>
  <c r="H173" i="5"/>
  <c r="I173" i="5" s="1"/>
  <c r="G100" i="7"/>
  <c r="H100" i="7" s="1"/>
  <c r="G136" i="7"/>
  <c r="H136" i="7" s="1"/>
  <c r="G242" i="7"/>
  <c r="H242" i="7" s="1"/>
  <c r="G115" i="7"/>
  <c r="H115" i="7" s="1"/>
  <c r="G147" i="7"/>
  <c r="H147" i="7" s="1"/>
  <c r="G155" i="7"/>
  <c r="H155" i="7" s="1"/>
  <c r="G191" i="7"/>
  <c r="H191" i="7" s="1"/>
  <c r="G228" i="7"/>
  <c r="H228" i="7" s="1"/>
  <c r="G255" i="7"/>
  <c r="H255" i="7" s="1"/>
  <c r="G265" i="7"/>
  <c r="H265" i="7" s="1"/>
  <c r="G202" i="7"/>
  <c r="H202" i="7" s="1"/>
  <c r="G129" i="7"/>
  <c r="H129" i="7" s="1"/>
  <c r="G213" i="7"/>
  <c r="H213" i="7" s="1"/>
  <c r="G280" i="7"/>
  <c r="H280" i="7" s="1"/>
  <c r="G289" i="7"/>
  <c r="H289" i="7" s="1"/>
  <c r="C191" i="9"/>
  <c r="E196" i="9"/>
  <c r="C196" i="9" s="1"/>
  <c r="C1892" i="9"/>
  <c r="B1892" i="9" s="1"/>
  <c r="E1896" i="9"/>
  <c r="C1896" i="9" s="1"/>
  <c r="D2560" i="9"/>
  <c r="F43" i="8"/>
  <c r="H32" i="5" s="1"/>
  <c r="I32" i="5" s="1"/>
  <c r="B2799" i="9"/>
  <c r="G206" i="7"/>
  <c r="H206" i="7" s="1"/>
  <c r="G248" i="7"/>
  <c r="H248" i="7" s="1"/>
  <c r="G101" i="7"/>
  <c r="H101" i="7" s="1"/>
  <c r="G111" i="7"/>
  <c r="H111" i="7" s="1"/>
  <c r="G52" i="7"/>
  <c r="H52" i="7" s="1"/>
  <c r="H55" i="7" s="1"/>
  <c r="F10" i="6" s="1"/>
  <c r="H58" i="5" s="1"/>
  <c r="I58" i="5" s="1"/>
  <c r="G140" i="7"/>
  <c r="H140" i="7" s="1"/>
  <c r="G279" i="7"/>
  <c r="H279" i="7" s="1"/>
  <c r="G125" i="7"/>
  <c r="H125" i="7" s="1"/>
  <c r="G195" i="7"/>
  <c r="H195" i="7" s="1"/>
  <c r="B801" i="9"/>
  <c r="B2277" i="9"/>
  <c r="B2913" i="9"/>
  <c r="F1195" i="9"/>
  <c r="C1264" i="9"/>
  <c r="H24" i="8"/>
  <c r="H115" i="5"/>
  <c r="I115" i="5" s="1"/>
  <c r="H36" i="5"/>
  <c r="I36" i="5" s="1"/>
  <c r="I34" i="5" s="1"/>
  <c r="E12" i="4" s="1"/>
  <c r="H195" i="5"/>
  <c r="I195" i="5" s="1"/>
  <c r="I193" i="5" s="1"/>
  <c r="E40" i="4" s="1"/>
  <c r="G114" i="7"/>
  <c r="H114" i="7" s="1"/>
  <c r="G214" i="7"/>
  <c r="H214" i="7" s="1"/>
  <c r="G137" i="7"/>
  <c r="H137" i="7" s="1"/>
  <c r="G243" i="7"/>
  <c r="H243" i="7" s="1"/>
  <c r="G128" i="7"/>
  <c r="H128" i="7" s="1"/>
  <c r="G148" i="7"/>
  <c r="H148" i="7" s="1"/>
  <c r="G156" i="7"/>
  <c r="H156" i="7" s="1"/>
  <c r="G192" i="7"/>
  <c r="H192" i="7" s="1"/>
  <c r="G203" i="7"/>
  <c r="H203" i="7" s="1"/>
  <c r="G257" i="7"/>
  <c r="H257" i="7" s="1"/>
  <c r="G267" i="7"/>
  <c r="H267" i="7" s="1"/>
  <c r="E163" i="7"/>
  <c r="J163" i="7"/>
  <c r="F163" i="7" s="1"/>
  <c r="C685" i="9"/>
  <c r="B685" i="9" s="1"/>
  <c r="E690" i="9"/>
  <c r="C690" i="9" s="1"/>
  <c r="C2580" i="9"/>
  <c r="B2580" i="9" s="1"/>
  <c r="E2584" i="9"/>
  <c r="D1685" i="9"/>
  <c r="F30" i="8"/>
  <c r="H190" i="5" s="1"/>
  <c r="I190" i="5" s="1"/>
  <c r="I186" i="5" s="1"/>
  <c r="E39" i="4" s="1"/>
  <c r="B3031" i="9"/>
  <c r="K107" i="7"/>
  <c r="L107" i="7" s="1"/>
  <c r="K121" i="7"/>
  <c r="L121" i="7" s="1"/>
  <c r="K285" i="7"/>
  <c r="L285" i="7" s="1"/>
  <c r="L290" i="7" s="1"/>
  <c r="H37" i="6" s="1"/>
  <c r="L134" i="5" s="1"/>
  <c r="M134" i="5" s="1"/>
  <c r="M132" i="5" s="1"/>
  <c r="G30" i="4" s="1"/>
  <c r="C310" i="9"/>
  <c r="B310" i="9" s="1"/>
  <c r="E315" i="9"/>
  <c r="C1140" i="9"/>
  <c r="E1144" i="9"/>
  <c r="C2860" i="9"/>
  <c r="B2860" i="9" s="1"/>
  <c r="E2864" i="9"/>
  <c r="K259" i="7"/>
  <c r="L259" i="7" s="1"/>
  <c r="K269" i="7"/>
  <c r="L269" i="7" s="1"/>
  <c r="K247" i="7"/>
  <c r="L247" i="7" s="1"/>
  <c r="C649" i="9"/>
  <c r="B649" i="9" s="1"/>
  <c r="E657" i="9"/>
  <c r="C556" i="9"/>
  <c r="B556" i="9" s="1"/>
  <c r="E560" i="9"/>
  <c r="C2662" i="9"/>
  <c r="B2662" i="9" s="1"/>
  <c r="E2666" i="9"/>
  <c r="C2666" i="9" s="1"/>
  <c r="B725" i="9"/>
  <c r="D635" i="9"/>
  <c r="F15" i="8"/>
  <c r="B825" i="9"/>
  <c r="C580" i="9"/>
  <c r="E584" i="9"/>
  <c r="C2965" i="9"/>
  <c r="E2969" i="9"/>
  <c r="F28" i="7"/>
  <c r="J29" i="7"/>
  <c r="C1876" i="9"/>
  <c r="E1880" i="9"/>
  <c r="C1880" i="9" s="1"/>
  <c r="C1174" i="9"/>
  <c r="B1174" i="9" s="1"/>
  <c r="E1178" i="9"/>
  <c r="C3180" i="9"/>
  <c r="B3180" i="9" s="1"/>
  <c r="E3184" i="9"/>
  <c r="M106" i="5"/>
  <c r="G25" i="4" s="1"/>
  <c r="C476" i="9"/>
  <c r="E481" i="9"/>
  <c r="I246" i="7"/>
  <c r="I53" i="7"/>
  <c r="I184" i="7"/>
  <c r="I258" i="7"/>
  <c r="I268" i="7"/>
  <c r="B191" i="9"/>
  <c r="C2646" i="9"/>
  <c r="B2646" i="9" s="1"/>
  <c r="E2650" i="9"/>
  <c r="C2650" i="9" s="1"/>
  <c r="C1705" i="9"/>
  <c r="E1709" i="9"/>
  <c r="C2528" i="9"/>
  <c r="B2528" i="9" s="1"/>
  <c r="E2532" i="9"/>
  <c r="C2532" i="9" s="1"/>
  <c r="F49" i="8"/>
  <c r="H114" i="5" s="1"/>
  <c r="I114" i="5" s="1"/>
  <c r="I113" i="5" s="1"/>
  <c r="E26" i="4" s="1"/>
  <c r="D3155" i="9"/>
  <c r="H20" i="5"/>
  <c r="I20" i="5" s="1"/>
  <c r="H179" i="5"/>
  <c r="I179" i="5" s="1"/>
  <c r="H99" i="5"/>
  <c r="I99" i="5" s="1"/>
  <c r="C2140" i="9"/>
  <c r="E37" i="8"/>
  <c r="C2414" i="9"/>
  <c r="B2414" i="9" s="1"/>
  <c r="E2419" i="9"/>
  <c r="B1140" i="9"/>
  <c r="F1474" i="9"/>
  <c r="C1468" i="9"/>
  <c r="F19" i="7"/>
  <c r="J20" i="7"/>
  <c r="C272" i="9"/>
  <c r="B272" i="9" s="1"/>
  <c r="E277" i="9"/>
  <c r="C2260" i="9"/>
  <c r="B2260" i="9" s="1"/>
  <c r="E2264" i="9"/>
  <c r="C3269" i="9"/>
  <c r="B3269" i="9" s="1"/>
  <c r="E3273" i="9"/>
  <c r="C3273" i="9" s="1"/>
  <c r="D2840" i="9"/>
  <c r="F46" i="8"/>
  <c r="H110" i="5" s="1"/>
  <c r="I110" i="5" s="1"/>
  <c r="D2455" i="9"/>
  <c r="F42" i="8"/>
  <c r="H31" i="5" s="1"/>
  <c r="I31" i="5" s="1"/>
  <c r="B580" i="9"/>
  <c r="B2965" i="9"/>
  <c r="B1876" i="9"/>
  <c r="B476" i="9"/>
  <c r="D355" i="9"/>
  <c r="F10" i="8"/>
  <c r="E619" i="9"/>
  <c r="C619" i="9" s="1"/>
  <c r="C1930" i="9"/>
  <c r="E32" i="8"/>
  <c r="C1046" i="9"/>
  <c r="B1046" i="9" s="1"/>
  <c r="E1050" i="9"/>
  <c r="C3047" i="9"/>
  <c r="B3047" i="9" s="1"/>
  <c r="E3051" i="9"/>
  <c r="C3051" i="9" s="1"/>
  <c r="F1685" i="9"/>
  <c r="H30" i="8"/>
  <c r="L190" i="5" s="1"/>
  <c r="M190" i="5" s="1"/>
  <c r="M186" i="5" s="1"/>
  <c r="G39" i="4" s="1"/>
  <c r="B1705" i="9"/>
  <c r="L161" i="7"/>
  <c r="E161" i="7"/>
  <c r="C158" i="9"/>
  <c r="B158" i="9" s="1"/>
  <c r="E164" i="9"/>
  <c r="H19" i="5"/>
  <c r="I19" i="5" s="1"/>
  <c r="H98" i="5"/>
  <c r="I98" i="5" s="1"/>
  <c r="I97" i="5" s="1"/>
  <c r="E23" i="4" s="1"/>
  <c r="H178" i="5"/>
  <c r="I178" i="5" s="1"/>
  <c r="G93" i="7"/>
  <c r="H93" i="7" s="1"/>
  <c r="H95" i="7" s="1"/>
  <c r="F16" i="6" s="1"/>
  <c r="C2070" i="9"/>
  <c r="E35" i="8"/>
  <c r="C1070" i="9"/>
  <c r="B1070" i="9" s="1"/>
  <c r="E1074" i="9"/>
  <c r="F236" i="7"/>
  <c r="J237" i="7"/>
  <c r="F277" i="7"/>
  <c r="K204" i="7"/>
  <c r="L204" i="7" s="1"/>
  <c r="L208" i="7" s="1"/>
  <c r="H28" i="6" s="1"/>
  <c r="L43" i="5" s="1"/>
  <c r="M43" i="5" s="1"/>
  <c r="K127" i="7"/>
  <c r="L127" i="7" s="1"/>
  <c r="K215" i="7"/>
  <c r="L215" i="7" s="1"/>
  <c r="L216" i="7" s="1"/>
  <c r="H29" i="6" s="1"/>
  <c r="L44" i="5" s="1"/>
  <c r="M44" i="5" s="1"/>
  <c r="K138" i="7"/>
  <c r="L138" i="7" s="1"/>
  <c r="L142" i="7" s="1"/>
  <c r="H20" i="6" s="1"/>
  <c r="K244" i="7"/>
  <c r="L244" i="7" s="1"/>
  <c r="K256" i="7"/>
  <c r="L256" i="7" s="1"/>
  <c r="K266" i="7"/>
  <c r="L266" i="7" s="1"/>
  <c r="K113" i="7"/>
  <c r="L113" i="7" s="1"/>
  <c r="K149" i="7"/>
  <c r="L149" i="7" s="1"/>
  <c r="L150" i="7" s="1"/>
  <c r="H21" i="6" s="1"/>
  <c r="L201" i="5" s="1"/>
  <c r="M201" i="5" s="1"/>
  <c r="K157" i="7"/>
  <c r="L157" i="7" s="1"/>
  <c r="L158" i="7" s="1"/>
  <c r="H22" i="6" s="1"/>
  <c r="K193" i="7"/>
  <c r="L193" i="7" s="1"/>
  <c r="L197" i="7" s="1"/>
  <c r="H27" i="6" s="1"/>
  <c r="L42" i="5" s="1"/>
  <c r="M42" i="5" s="1"/>
  <c r="C1758" i="9"/>
  <c r="B1758" i="9" s="1"/>
  <c r="E1762" i="9"/>
  <c r="C1762" i="9" s="1"/>
  <c r="F83" i="7" l="1"/>
  <c r="J84" i="7"/>
  <c r="F222" i="7"/>
  <c r="J223" i="7"/>
  <c r="J77" i="7"/>
  <c r="F76" i="7"/>
  <c r="F47" i="7"/>
  <c r="J48" i="7"/>
  <c r="F69" i="7"/>
  <c r="J70" i="7"/>
  <c r="E133" i="9"/>
  <c r="C127" i="9"/>
  <c r="B127" i="9" s="1"/>
  <c r="C65" i="9"/>
  <c r="E69" i="9"/>
  <c r="E2733" i="9"/>
  <c r="C2729" i="9"/>
  <c r="B2729" i="9" s="1"/>
  <c r="E1578" i="9"/>
  <c r="C1574" i="9"/>
  <c r="L250" i="7"/>
  <c r="H33" i="6" s="1"/>
  <c r="L120" i="5" s="1"/>
  <c r="M120" i="5" s="1"/>
  <c r="I18" i="5"/>
  <c r="E9" i="4" s="1"/>
  <c r="I106" i="5"/>
  <c r="E25" i="4" s="1"/>
  <c r="H281" i="7"/>
  <c r="F36" i="6" s="1"/>
  <c r="H133" i="5" s="1"/>
  <c r="I133" i="5" s="1"/>
  <c r="C87" i="9"/>
  <c r="B87" i="9" s="1"/>
  <c r="E92" i="9"/>
  <c r="C92" i="9" s="1"/>
  <c r="E2348" i="9"/>
  <c r="C2344" i="9"/>
  <c r="B2344" i="9" s="1"/>
  <c r="I177" i="5"/>
  <c r="E37" i="4" s="1"/>
  <c r="B65" i="9"/>
  <c r="B1574" i="9"/>
  <c r="I27" i="5"/>
  <c r="E11" i="4" s="1"/>
  <c r="L41" i="5"/>
  <c r="M41" i="5" s="1"/>
  <c r="L200" i="5"/>
  <c r="M200" i="5" s="1"/>
  <c r="L165" i="7"/>
  <c r="H23" i="6" s="1"/>
  <c r="L212" i="5" s="1"/>
  <c r="M212" i="5" s="1"/>
  <c r="F161" i="7"/>
  <c r="C2264" i="9"/>
  <c r="E2283" i="9"/>
  <c r="C1709" i="9"/>
  <c r="E1764" i="9"/>
  <c r="E268" i="7"/>
  <c r="J268" i="7"/>
  <c r="F268" i="7" s="1"/>
  <c r="E246" i="7"/>
  <c r="J246" i="7"/>
  <c r="F246" i="7" s="1"/>
  <c r="C3184" i="9"/>
  <c r="E3275" i="9"/>
  <c r="E1146" i="9"/>
  <c r="C1144" i="9"/>
  <c r="C831" i="9"/>
  <c r="E864" i="9"/>
  <c r="K106" i="7"/>
  <c r="L106" i="7" s="1"/>
  <c r="L117" i="7" s="1"/>
  <c r="H18" i="6" s="1"/>
  <c r="K98" i="7"/>
  <c r="L98" i="7" s="1"/>
  <c r="L103" i="7" s="1"/>
  <c r="H17" i="6" s="1"/>
  <c r="K120" i="7"/>
  <c r="L120" i="7" s="1"/>
  <c r="L131" i="7" s="1"/>
  <c r="H19" i="6" s="1"/>
  <c r="K226" i="7"/>
  <c r="L226" i="7" s="1"/>
  <c r="L229" i="7" s="1"/>
  <c r="H31" i="6" s="1"/>
  <c r="L56" i="5" s="1"/>
  <c r="M56" i="5" s="1"/>
  <c r="K253" i="7"/>
  <c r="L253" i="7" s="1"/>
  <c r="L260" i="7" s="1"/>
  <c r="H34" i="6" s="1"/>
  <c r="L121" i="5" s="1"/>
  <c r="M121" i="5" s="1"/>
  <c r="K263" i="7"/>
  <c r="L263" i="7" s="1"/>
  <c r="L270" i="7" s="1"/>
  <c r="H35" i="6" s="1"/>
  <c r="L122" i="5" s="1"/>
  <c r="M122" i="5" s="1"/>
  <c r="C1019" i="9"/>
  <c r="F880" i="9"/>
  <c r="H20" i="8"/>
  <c r="E2839" i="9"/>
  <c r="C2804" i="9"/>
  <c r="E1112" i="9"/>
  <c r="C1112" i="9" s="1"/>
  <c r="C1074" i="9"/>
  <c r="H130" i="5"/>
  <c r="I130" i="5" s="1"/>
  <c r="H209" i="5"/>
  <c r="I209" i="5" s="1"/>
  <c r="H52" i="5"/>
  <c r="I52" i="5" s="1"/>
  <c r="E198" i="9"/>
  <c r="C164" i="9"/>
  <c r="E1052" i="9"/>
  <c r="C1050" i="9"/>
  <c r="E258" i="7"/>
  <c r="J258" i="7"/>
  <c r="F258" i="7" s="1"/>
  <c r="C481" i="9"/>
  <c r="E494" i="9"/>
  <c r="C2969" i="9"/>
  <c r="E3053" i="9"/>
  <c r="C560" i="9"/>
  <c r="E562" i="9"/>
  <c r="C734" i="9"/>
  <c r="E739" i="9"/>
  <c r="E809" i="9"/>
  <c r="C807" i="9"/>
  <c r="H15" i="5"/>
  <c r="I15" i="5" s="1"/>
  <c r="H174" i="5"/>
  <c r="I174" i="5" s="1"/>
  <c r="H94" i="5"/>
  <c r="I94" i="5" s="1"/>
  <c r="G15" i="6"/>
  <c r="F90" i="7"/>
  <c r="E15" i="6" s="1"/>
  <c r="C767" i="9"/>
  <c r="E774" i="9"/>
  <c r="C1814" i="9"/>
  <c r="E1898" i="9"/>
  <c r="G204" i="7"/>
  <c r="H204" i="7" s="1"/>
  <c r="H208" i="7" s="1"/>
  <c r="F28" i="6" s="1"/>
  <c r="H43" i="5" s="1"/>
  <c r="I43" i="5" s="1"/>
  <c r="G127" i="7"/>
  <c r="H127" i="7" s="1"/>
  <c r="G215" i="7"/>
  <c r="H215" i="7" s="1"/>
  <c r="G138" i="7"/>
  <c r="H138" i="7" s="1"/>
  <c r="H142" i="7" s="1"/>
  <c r="F20" i="6" s="1"/>
  <c r="G244" i="7"/>
  <c r="H244" i="7" s="1"/>
  <c r="H250" i="7" s="1"/>
  <c r="F33" i="6" s="1"/>
  <c r="H120" i="5" s="1"/>
  <c r="I120" i="5" s="1"/>
  <c r="G256" i="7"/>
  <c r="H256" i="7" s="1"/>
  <c r="G266" i="7"/>
  <c r="H266" i="7" s="1"/>
  <c r="G113" i="7"/>
  <c r="H113" i="7" s="1"/>
  <c r="G149" i="7"/>
  <c r="H149" i="7" s="1"/>
  <c r="G157" i="7"/>
  <c r="H157" i="7" s="1"/>
  <c r="H158" i="7" s="1"/>
  <c r="F22" i="6" s="1"/>
  <c r="G193" i="7"/>
  <c r="H193" i="7" s="1"/>
  <c r="H197" i="7" s="1"/>
  <c r="F27" i="6" s="1"/>
  <c r="H42" i="5" s="1"/>
  <c r="I42" i="5" s="1"/>
  <c r="C277" i="9"/>
  <c r="E279" i="9"/>
  <c r="G5" i="6"/>
  <c r="F20" i="7"/>
  <c r="E5" i="6" s="1"/>
  <c r="F1370" i="9"/>
  <c r="C1474" i="9"/>
  <c r="H26" i="8"/>
  <c r="E2454" i="9"/>
  <c r="C2419" i="9"/>
  <c r="E184" i="7"/>
  <c r="J184" i="7"/>
  <c r="C1178" i="9"/>
  <c r="E1194" i="9"/>
  <c r="H25" i="5"/>
  <c r="I25" i="5" s="1"/>
  <c r="I23" i="5" s="1"/>
  <c r="E10" i="4" s="1"/>
  <c r="H184" i="5"/>
  <c r="I184" i="5" s="1"/>
  <c r="I182" i="5" s="1"/>
  <c r="E38" i="4" s="1"/>
  <c r="H104" i="5"/>
  <c r="I104" i="5" s="1"/>
  <c r="C2864" i="9"/>
  <c r="E2919" i="9"/>
  <c r="C315" i="9"/>
  <c r="E318" i="9"/>
  <c r="C2584" i="9"/>
  <c r="E2668" i="9"/>
  <c r="L61" i="5"/>
  <c r="L138" i="5"/>
  <c r="L219" i="5"/>
  <c r="H216" i="7"/>
  <c r="F29" i="6" s="1"/>
  <c r="H44" i="5" s="1"/>
  <c r="I44" i="5" s="1"/>
  <c r="H150" i="7"/>
  <c r="F21" i="6" s="1"/>
  <c r="H201" i="5" s="1"/>
  <c r="I201" i="5" s="1"/>
  <c r="F54" i="9"/>
  <c r="C52" i="9"/>
  <c r="G107" i="7"/>
  <c r="H107" i="7" s="1"/>
  <c r="G121" i="7"/>
  <c r="H121" i="7" s="1"/>
  <c r="G285" i="7"/>
  <c r="H285" i="7" s="1"/>
  <c r="H290" i="7" s="1"/>
  <c r="F37" i="6" s="1"/>
  <c r="H134" i="5" s="1"/>
  <c r="I134" i="5" s="1"/>
  <c r="I132" i="5" s="1"/>
  <c r="E30" i="4" s="1"/>
  <c r="G106" i="7"/>
  <c r="H106" i="7" s="1"/>
  <c r="G98" i="7"/>
  <c r="H98" i="7" s="1"/>
  <c r="H103" i="7" s="1"/>
  <c r="F17" i="6" s="1"/>
  <c r="G120" i="7"/>
  <c r="H120" i="7" s="1"/>
  <c r="G226" i="7"/>
  <c r="H226" i="7" s="1"/>
  <c r="H229" i="7" s="1"/>
  <c r="F31" i="6" s="1"/>
  <c r="H56" i="5" s="1"/>
  <c r="I56" i="5" s="1"/>
  <c r="G253" i="7"/>
  <c r="H253" i="7" s="1"/>
  <c r="G263" i="7"/>
  <c r="H263" i="7" s="1"/>
  <c r="H270" i="7" s="1"/>
  <c r="F35" i="6" s="1"/>
  <c r="H122" i="5" s="1"/>
  <c r="I122" i="5" s="1"/>
  <c r="L45" i="5"/>
  <c r="M45" i="5" s="1"/>
  <c r="L202" i="5"/>
  <c r="M202" i="5" s="1"/>
  <c r="M119" i="5"/>
  <c r="G32" i="6"/>
  <c r="J127" i="5" s="1"/>
  <c r="F237" i="7"/>
  <c r="E32" i="6" s="1"/>
  <c r="E53" i="7"/>
  <c r="J53" i="7"/>
  <c r="F53" i="7" s="1"/>
  <c r="G6" i="6"/>
  <c r="F29" i="7"/>
  <c r="E6" i="6" s="1"/>
  <c r="C584" i="9"/>
  <c r="E622" i="9"/>
  <c r="C622" i="9" s="1"/>
  <c r="C657" i="9"/>
  <c r="E692" i="9"/>
  <c r="C1195" i="9"/>
  <c r="E24" i="8"/>
  <c r="I102" i="5"/>
  <c r="E24" i="4" s="1"/>
  <c r="C3116" i="9"/>
  <c r="E3118" i="9"/>
  <c r="C522" i="9"/>
  <c r="E529" i="9"/>
  <c r="D94" i="9"/>
  <c r="D109" i="9" s="1"/>
  <c r="F1265" i="9"/>
  <c r="C1369" i="9"/>
  <c r="H25" i="8"/>
  <c r="C2479" i="9"/>
  <c r="E2534" i="9"/>
  <c r="E1684" i="9"/>
  <c r="C1649" i="9"/>
  <c r="C388" i="9"/>
  <c r="E421" i="9"/>
  <c r="C237" i="9"/>
  <c r="E249" i="9"/>
  <c r="B52" i="9"/>
  <c r="G30" i="6" l="1"/>
  <c r="I227" i="7" s="1"/>
  <c r="F223" i="7"/>
  <c r="E30" i="6" s="1"/>
  <c r="H131" i="7"/>
  <c r="F19" i="6" s="1"/>
  <c r="H207" i="5" s="1"/>
  <c r="I207" i="5" s="1"/>
  <c r="G12" i="6"/>
  <c r="I99" i="7" s="1"/>
  <c r="F70" i="7"/>
  <c r="E12" i="6" s="1"/>
  <c r="G14" i="6"/>
  <c r="F84" i="7"/>
  <c r="E14" i="6" s="1"/>
  <c r="F48" i="7"/>
  <c r="E9" i="6" s="1"/>
  <c r="G9" i="6"/>
  <c r="H260" i="7"/>
  <c r="F34" i="6" s="1"/>
  <c r="H121" i="5" s="1"/>
  <c r="I121" i="5" s="1"/>
  <c r="G13" i="6"/>
  <c r="F77" i="7"/>
  <c r="E13" i="6" s="1"/>
  <c r="C1578" i="9"/>
  <c r="E1614" i="9"/>
  <c r="E2769" i="9"/>
  <c r="C2733" i="9"/>
  <c r="E2384" i="9"/>
  <c r="C2348" i="9"/>
  <c r="C69" i="9"/>
  <c r="E94" i="9"/>
  <c r="E109" i="9" s="1"/>
  <c r="E5" i="9" s="1"/>
  <c r="E144" i="9"/>
  <c r="C133" i="9"/>
  <c r="I119" i="5"/>
  <c r="E28" i="4" s="1"/>
  <c r="H45" i="5"/>
  <c r="I45" i="5" s="1"/>
  <c r="H202" i="5"/>
  <c r="I202" i="5" s="1"/>
  <c r="H41" i="5"/>
  <c r="I41" i="5" s="1"/>
  <c r="H200" i="5"/>
  <c r="I200" i="5" s="1"/>
  <c r="I199" i="5" s="1"/>
  <c r="E424" i="9"/>
  <c r="C421" i="9"/>
  <c r="E2559" i="9"/>
  <c r="C2534" i="9"/>
  <c r="C3118" i="9"/>
  <c r="E3154" i="9"/>
  <c r="F127" i="5"/>
  <c r="K127" i="5"/>
  <c r="G127" i="5" s="1"/>
  <c r="H55" i="5"/>
  <c r="I55" i="5" s="1"/>
  <c r="I54" i="5" s="1"/>
  <c r="E16" i="4" s="1"/>
  <c r="H215" i="5"/>
  <c r="I215" i="5" s="1"/>
  <c r="I214" i="5" s="1"/>
  <c r="E44" i="4" s="1"/>
  <c r="E2699" i="9"/>
  <c r="C2668" i="9"/>
  <c r="E2944" i="9"/>
  <c r="C2919" i="9"/>
  <c r="C1370" i="9"/>
  <c r="E26" i="8"/>
  <c r="C279" i="9"/>
  <c r="E284" i="9"/>
  <c r="E1124" i="9"/>
  <c r="C1052" i="9"/>
  <c r="C198" i="9"/>
  <c r="E214" i="9"/>
  <c r="L65" i="5"/>
  <c r="L142" i="5"/>
  <c r="L223" i="5"/>
  <c r="L129" i="5"/>
  <c r="M129" i="5" s="1"/>
  <c r="L208" i="5"/>
  <c r="M208" i="5" s="1"/>
  <c r="L51" i="5"/>
  <c r="M51" i="5" s="1"/>
  <c r="E1789" i="9"/>
  <c r="C1764" i="9"/>
  <c r="D5" i="9"/>
  <c r="F4" i="8"/>
  <c r="E704" i="9"/>
  <c r="C692" i="9"/>
  <c r="G28" i="4"/>
  <c r="H117" i="7"/>
  <c r="F18" i="6" s="1"/>
  <c r="M219" i="5"/>
  <c r="F219" i="5"/>
  <c r="J186" i="7"/>
  <c r="F184" i="7"/>
  <c r="E1929" i="9"/>
  <c r="C1898" i="9"/>
  <c r="C809" i="9"/>
  <c r="E775" i="9"/>
  <c r="G18" i="8"/>
  <c r="E3084" i="9"/>
  <c r="C3053" i="9"/>
  <c r="E1159" i="9"/>
  <c r="C1146" i="9"/>
  <c r="C529" i="9"/>
  <c r="E495" i="9"/>
  <c r="G13" i="8"/>
  <c r="J206" i="5"/>
  <c r="J49" i="5"/>
  <c r="J126" i="5"/>
  <c r="C54" i="9"/>
  <c r="F56" i="9"/>
  <c r="M138" i="5"/>
  <c r="F138" i="5"/>
  <c r="C318" i="9"/>
  <c r="E354" i="9"/>
  <c r="E2385" i="9"/>
  <c r="C2454" i="9"/>
  <c r="G41" i="8"/>
  <c r="J30" i="5" s="1"/>
  <c r="J11" i="5"/>
  <c r="J90" i="5"/>
  <c r="J170" i="5"/>
  <c r="C739" i="9"/>
  <c r="E705" i="9"/>
  <c r="G16" i="8"/>
  <c r="C880" i="9"/>
  <c r="E20" i="8"/>
  <c r="L50" i="5"/>
  <c r="M50" i="5" s="1"/>
  <c r="L128" i="5"/>
  <c r="M128" i="5" s="1"/>
  <c r="M124" i="5" s="1"/>
  <c r="G29" i="4" s="1"/>
  <c r="L207" i="5"/>
  <c r="M207" i="5" s="1"/>
  <c r="M204" i="5" s="1"/>
  <c r="G43" i="4" s="1"/>
  <c r="C864" i="9"/>
  <c r="E879" i="9"/>
  <c r="E3294" i="9"/>
  <c r="C3275" i="9"/>
  <c r="E2314" i="9"/>
  <c r="C2283" i="9"/>
  <c r="M199" i="5"/>
  <c r="C249" i="9"/>
  <c r="E215" i="9"/>
  <c r="G7" i="8"/>
  <c r="L221" i="5"/>
  <c r="L63" i="5"/>
  <c r="L140" i="5"/>
  <c r="E1615" i="9"/>
  <c r="C1684" i="9"/>
  <c r="G29" i="8"/>
  <c r="J189" i="5" s="1"/>
  <c r="C1265" i="9"/>
  <c r="E25" i="8"/>
  <c r="H128" i="5"/>
  <c r="I128" i="5" s="1"/>
  <c r="M61" i="5"/>
  <c r="F61" i="5"/>
  <c r="C1194" i="9"/>
  <c r="E1160" i="9"/>
  <c r="G23" i="8"/>
  <c r="J194" i="5" s="1"/>
  <c r="L141" i="5"/>
  <c r="L222" i="5"/>
  <c r="L64" i="5"/>
  <c r="J48" i="5"/>
  <c r="J125" i="5"/>
  <c r="J205" i="5"/>
  <c r="C774" i="9"/>
  <c r="E740" i="9"/>
  <c r="G17" i="8"/>
  <c r="C562" i="9"/>
  <c r="E634" i="9"/>
  <c r="C494" i="9"/>
  <c r="E460" i="9"/>
  <c r="G12" i="8"/>
  <c r="E2770" i="9"/>
  <c r="G45" i="8"/>
  <c r="J109" i="5" s="1"/>
  <c r="C2839" i="9"/>
  <c r="L55" i="5"/>
  <c r="M55" i="5" s="1"/>
  <c r="M54" i="5" s="1"/>
  <c r="G16" i="4" s="1"/>
  <c r="L215" i="5"/>
  <c r="M215" i="5" s="1"/>
  <c r="M214" i="5" s="1"/>
  <c r="G44" i="4" s="1"/>
  <c r="M40" i="5"/>
  <c r="I109" i="7" l="1"/>
  <c r="I123" i="7"/>
  <c r="H50" i="5"/>
  <c r="I50" i="5" s="1"/>
  <c r="E99" i="7"/>
  <c r="J99" i="7"/>
  <c r="F99" i="7" s="1"/>
  <c r="I146" i="7"/>
  <c r="I154" i="7"/>
  <c r="I254" i="7"/>
  <c r="I212" i="7"/>
  <c r="I264" i="7"/>
  <c r="M47" i="5"/>
  <c r="G15" i="4" s="1"/>
  <c r="I135" i="7"/>
  <c r="I201" i="7"/>
  <c r="I241" i="7"/>
  <c r="I122" i="7"/>
  <c r="I108" i="7"/>
  <c r="I190" i="7"/>
  <c r="E227" i="7"/>
  <c r="J227" i="7"/>
  <c r="F227" i="7" s="1"/>
  <c r="G4" i="8"/>
  <c r="E2700" i="9"/>
  <c r="C2769" i="9"/>
  <c r="G44" i="8"/>
  <c r="J108" i="5" s="1"/>
  <c r="I40" i="5"/>
  <c r="C1614" i="9"/>
  <c r="G28" i="8"/>
  <c r="J188" i="5" s="1"/>
  <c r="E1545" i="9"/>
  <c r="E110" i="9"/>
  <c r="G5" i="8"/>
  <c r="C144" i="9"/>
  <c r="E2315" i="9"/>
  <c r="C2384" i="9"/>
  <c r="G40" i="8"/>
  <c r="J29" i="5" s="1"/>
  <c r="C2770" i="9"/>
  <c r="E45" i="8"/>
  <c r="J98" i="5"/>
  <c r="J19" i="5"/>
  <c r="J178" i="5"/>
  <c r="I93" i="7"/>
  <c r="F125" i="5"/>
  <c r="K125" i="5"/>
  <c r="M141" i="5"/>
  <c r="G141" i="5" s="1"/>
  <c r="F141" i="5"/>
  <c r="C1615" i="9"/>
  <c r="E29" i="8"/>
  <c r="G49" i="8"/>
  <c r="J114" i="5" s="1"/>
  <c r="E3155" i="9"/>
  <c r="C3294" i="9"/>
  <c r="K170" i="5"/>
  <c r="F170" i="5"/>
  <c r="C2385" i="9"/>
  <c r="E41" i="8"/>
  <c r="K126" i="5"/>
  <c r="G126" i="5" s="1"/>
  <c r="F126" i="5"/>
  <c r="E2945" i="9"/>
  <c r="G47" i="8"/>
  <c r="J111" i="5" s="1"/>
  <c r="C3084" i="9"/>
  <c r="M118" i="5"/>
  <c r="G27" i="4" s="1"/>
  <c r="E635" i="9"/>
  <c r="C704" i="9"/>
  <c r="G15" i="8"/>
  <c r="M223" i="5"/>
  <c r="G223" i="5" s="1"/>
  <c r="F223" i="5"/>
  <c r="E2840" i="9"/>
  <c r="C2944" i="9"/>
  <c r="G46" i="8"/>
  <c r="J110" i="5" s="1"/>
  <c r="E355" i="9"/>
  <c r="C424" i="9"/>
  <c r="G10" i="8"/>
  <c r="M221" i="5"/>
  <c r="G221" i="5" s="1"/>
  <c r="F221" i="5"/>
  <c r="M198" i="5"/>
  <c r="G41" i="4" s="1"/>
  <c r="G42" i="4"/>
  <c r="F109" i="5"/>
  <c r="K109" i="5"/>
  <c r="G109" i="5" s="1"/>
  <c r="C460" i="9"/>
  <c r="E12" i="8"/>
  <c r="F48" i="5"/>
  <c r="K48" i="5"/>
  <c r="F194" i="5"/>
  <c r="K194" i="5"/>
  <c r="G61" i="5"/>
  <c r="K1997" i="9"/>
  <c r="I174" i="7"/>
  <c r="E810" i="9"/>
  <c r="C879" i="9"/>
  <c r="G19" i="8"/>
  <c r="J14" i="5"/>
  <c r="J93" i="5"/>
  <c r="J173" i="5"/>
  <c r="F90" i="5"/>
  <c r="K90" i="5"/>
  <c r="G138" i="5"/>
  <c r="F49" i="5"/>
  <c r="K49" i="5"/>
  <c r="G49" i="5" s="1"/>
  <c r="C495" i="9"/>
  <c r="E13" i="8"/>
  <c r="J21" i="5"/>
  <c r="J100" i="5"/>
  <c r="J180" i="5"/>
  <c r="E1790" i="9"/>
  <c r="C1929" i="9"/>
  <c r="G31" i="8"/>
  <c r="J191" i="5" s="1"/>
  <c r="G219" i="5"/>
  <c r="M142" i="5"/>
  <c r="G142" i="5" s="1"/>
  <c r="F142" i="5"/>
  <c r="E3085" i="9"/>
  <c r="C3154" i="9"/>
  <c r="G48" i="8"/>
  <c r="E42" i="4"/>
  <c r="C2314" i="9"/>
  <c r="E2245" i="9"/>
  <c r="G39" i="8"/>
  <c r="J35" i="5" s="1"/>
  <c r="J16" i="5"/>
  <c r="J95" i="5"/>
  <c r="J175" i="5"/>
  <c r="F11" i="5"/>
  <c r="K11" i="5"/>
  <c r="C354" i="9"/>
  <c r="E285" i="9"/>
  <c r="G9" i="8"/>
  <c r="F94" i="9"/>
  <c r="C56" i="9"/>
  <c r="F206" i="5"/>
  <c r="K206" i="5"/>
  <c r="G206" i="5" s="1"/>
  <c r="H129" i="5"/>
  <c r="I129" i="5" s="1"/>
  <c r="I124" i="5" s="1"/>
  <c r="H208" i="5"/>
  <c r="I208" i="5" s="1"/>
  <c r="I204" i="5" s="1"/>
  <c r="H51" i="5"/>
  <c r="I51" i="5" s="1"/>
  <c r="E1685" i="9"/>
  <c r="C1789" i="9"/>
  <c r="G30" i="8"/>
  <c r="J190" i="5" s="1"/>
  <c r="M65" i="5"/>
  <c r="G65" i="5" s="1"/>
  <c r="F65" i="5"/>
  <c r="E1020" i="9"/>
  <c r="C1124" i="9"/>
  <c r="G21" i="8"/>
  <c r="E2560" i="9"/>
  <c r="C2699" i="9"/>
  <c r="G43" i="8"/>
  <c r="J32" i="5" s="1"/>
  <c r="E2455" i="9"/>
  <c r="C2559" i="9"/>
  <c r="G42" i="8"/>
  <c r="J31" i="5" s="1"/>
  <c r="E14" i="4"/>
  <c r="C634" i="9"/>
  <c r="E530" i="9"/>
  <c r="G14" i="8"/>
  <c r="C740" i="9"/>
  <c r="E17" i="8"/>
  <c r="M64" i="5"/>
  <c r="G64" i="5" s="1"/>
  <c r="F64" i="5"/>
  <c r="I47" i="5"/>
  <c r="E15" i="4" s="1"/>
  <c r="M140" i="5"/>
  <c r="G140" i="5" s="1"/>
  <c r="F140" i="5"/>
  <c r="M39" i="5"/>
  <c r="G13" i="4" s="1"/>
  <c r="G14" i="4"/>
  <c r="J36" i="5"/>
  <c r="J115" i="5"/>
  <c r="J195" i="5"/>
  <c r="K205" i="5"/>
  <c r="F205" i="5"/>
  <c r="M222" i="5"/>
  <c r="G222" i="5" s="1"/>
  <c r="F222" i="5"/>
  <c r="C1160" i="9"/>
  <c r="E23" i="8"/>
  <c r="F189" i="5"/>
  <c r="K189" i="5"/>
  <c r="G189" i="5" s="1"/>
  <c r="M63" i="5"/>
  <c r="G63" i="5" s="1"/>
  <c r="F63" i="5"/>
  <c r="C215" i="9"/>
  <c r="E7" i="8"/>
  <c r="C705" i="9"/>
  <c r="E16" i="8"/>
  <c r="F30" i="5"/>
  <c r="K30" i="5"/>
  <c r="G30" i="5" s="1"/>
  <c r="I202" i="7"/>
  <c r="I129" i="7"/>
  <c r="I213" i="7"/>
  <c r="I100" i="7"/>
  <c r="I136" i="7"/>
  <c r="I242" i="7"/>
  <c r="I115" i="7"/>
  <c r="I147" i="7"/>
  <c r="I155" i="7"/>
  <c r="I191" i="7"/>
  <c r="I228" i="7"/>
  <c r="I255" i="7"/>
  <c r="I265" i="7"/>
  <c r="I289" i="7"/>
  <c r="I280" i="7"/>
  <c r="E1125" i="9"/>
  <c r="C1159" i="9"/>
  <c r="G22" i="8"/>
  <c r="I94" i="7" s="1"/>
  <c r="C775" i="9"/>
  <c r="E18" i="8"/>
  <c r="G26" i="6"/>
  <c r="J211" i="5" s="1"/>
  <c r="F186" i="7"/>
  <c r="E26" i="6" s="1"/>
  <c r="H16" i="5"/>
  <c r="I16" i="5" s="1"/>
  <c r="I13" i="5" s="1"/>
  <c r="H95" i="5"/>
  <c r="I95" i="5" s="1"/>
  <c r="I92" i="5" s="1"/>
  <c r="H175" i="5"/>
  <c r="I175" i="5" s="1"/>
  <c r="I172" i="5" s="1"/>
  <c r="E145" i="9"/>
  <c r="C214" i="9"/>
  <c r="G6" i="8"/>
  <c r="C284" i="9"/>
  <c r="E250" i="9"/>
  <c r="G8" i="8"/>
  <c r="J108" i="7" l="1"/>
  <c r="F108" i="7" s="1"/>
  <c r="E108" i="7"/>
  <c r="E135" i="7"/>
  <c r="J135" i="7"/>
  <c r="F135" i="7" s="1"/>
  <c r="J254" i="7"/>
  <c r="F254" i="7" s="1"/>
  <c r="E254" i="7"/>
  <c r="E122" i="7"/>
  <c r="J122" i="7"/>
  <c r="F122" i="7" s="1"/>
  <c r="E154" i="7"/>
  <c r="J154" i="7"/>
  <c r="F154" i="7" s="1"/>
  <c r="J241" i="7"/>
  <c r="F241" i="7" s="1"/>
  <c r="E241" i="7"/>
  <c r="E264" i="7"/>
  <c r="J264" i="7"/>
  <c r="F264" i="7" s="1"/>
  <c r="E146" i="7"/>
  <c r="J146" i="7"/>
  <c r="F146" i="7" s="1"/>
  <c r="J123" i="7"/>
  <c r="F123" i="7" s="1"/>
  <c r="E123" i="7"/>
  <c r="E190" i="7"/>
  <c r="J190" i="7"/>
  <c r="F190" i="7" s="1"/>
  <c r="E201" i="7"/>
  <c r="J201" i="7"/>
  <c r="F201" i="7" s="1"/>
  <c r="J212" i="7"/>
  <c r="F212" i="7" s="1"/>
  <c r="E212" i="7"/>
  <c r="J109" i="7"/>
  <c r="F109" i="7" s="1"/>
  <c r="E109" i="7"/>
  <c r="F108" i="5"/>
  <c r="K108" i="5"/>
  <c r="G108" i="5" s="1"/>
  <c r="M218" i="5"/>
  <c r="G45" i="4" s="1"/>
  <c r="E5" i="8"/>
  <c r="C110" i="9"/>
  <c r="K188" i="5"/>
  <c r="G188" i="5" s="1"/>
  <c r="F188" i="5"/>
  <c r="C2700" i="9"/>
  <c r="E44" i="8"/>
  <c r="F29" i="5"/>
  <c r="K29" i="5"/>
  <c r="G29" i="5" s="1"/>
  <c r="J103" i="5"/>
  <c r="J183" i="5"/>
  <c r="J24" i="5"/>
  <c r="E28" i="8"/>
  <c r="C1545" i="9"/>
  <c r="C2315" i="9"/>
  <c r="E40" i="8"/>
  <c r="E29" i="4"/>
  <c r="I118" i="5"/>
  <c r="E27" i="4" s="1"/>
  <c r="E43" i="4"/>
  <c r="I198" i="5"/>
  <c r="E41" i="4" s="1"/>
  <c r="E94" i="7"/>
  <c r="J94" i="7"/>
  <c r="F94" i="7" s="1"/>
  <c r="J255" i="7"/>
  <c r="F255" i="7" s="1"/>
  <c r="E255" i="7"/>
  <c r="J147" i="7"/>
  <c r="E147" i="7"/>
  <c r="E100" i="7"/>
  <c r="J100" i="7"/>
  <c r="F100" i="7" s="1"/>
  <c r="K36" i="5"/>
  <c r="G36" i="5" s="1"/>
  <c r="F36" i="5"/>
  <c r="C530" i="9"/>
  <c r="E14" i="8"/>
  <c r="C2455" i="9"/>
  <c r="E42" i="8"/>
  <c r="I128" i="7"/>
  <c r="I148" i="7"/>
  <c r="I156" i="7"/>
  <c r="I192" i="7"/>
  <c r="I203" i="7"/>
  <c r="I257" i="7"/>
  <c r="I267" i="7"/>
  <c r="I114" i="7"/>
  <c r="I214" i="7"/>
  <c r="I137" i="7"/>
  <c r="I243" i="7"/>
  <c r="F35" i="5"/>
  <c r="K35" i="5"/>
  <c r="G218" i="5"/>
  <c r="D45" i="4" s="1"/>
  <c r="G137" i="5"/>
  <c r="D31" i="4" s="1"/>
  <c r="F173" i="5"/>
  <c r="K173" i="5"/>
  <c r="C810" i="9"/>
  <c r="E19" i="8"/>
  <c r="G125" i="5"/>
  <c r="K19" i="5"/>
  <c r="F19" i="5"/>
  <c r="C250" i="9"/>
  <c r="E8" i="8"/>
  <c r="F211" i="5"/>
  <c r="K211" i="5"/>
  <c r="G211" i="5" s="1"/>
  <c r="J280" i="7"/>
  <c r="F280" i="7" s="1"/>
  <c r="E280" i="7"/>
  <c r="J228" i="7"/>
  <c r="F228" i="7" s="1"/>
  <c r="E228" i="7"/>
  <c r="J115" i="7"/>
  <c r="F115" i="7" s="1"/>
  <c r="E115" i="7"/>
  <c r="E213" i="7"/>
  <c r="J213" i="7"/>
  <c r="G205" i="5"/>
  <c r="I121" i="7"/>
  <c r="I107" i="7"/>
  <c r="I285" i="7"/>
  <c r="K175" i="5"/>
  <c r="I247" i="7"/>
  <c r="I259" i="7"/>
  <c r="I269" i="7"/>
  <c r="K180" i="5"/>
  <c r="G180" i="5" s="1"/>
  <c r="F180" i="5"/>
  <c r="M137" i="5"/>
  <c r="G31" i="4" s="1"/>
  <c r="F93" i="5"/>
  <c r="K93" i="5"/>
  <c r="G60" i="5"/>
  <c r="D17" i="4" s="1"/>
  <c r="G48" i="5"/>
  <c r="F110" i="5"/>
  <c r="K110" i="5"/>
  <c r="G110" i="5" s="1"/>
  <c r="F114" i="5"/>
  <c r="K114" i="5"/>
  <c r="F98" i="5"/>
  <c r="K98" i="5"/>
  <c r="J20" i="5"/>
  <c r="J99" i="5"/>
  <c r="J179" i="5"/>
  <c r="E22" i="4"/>
  <c r="I86" i="5"/>
  <c r="J289" i="7"/>
  <c r="F289" i="7" s="1"/>
  <c r="E289" i="7"/>
  <c r="J191" i="7"/>
  <c r="E191" i="7"/>
  <c r="E242" i="7"/>
  <c r="J242" i="7"/>
  <c r="E129" i="7"/>
  <c r="J129" i="7"/>
  <c r="F129" i="7" s="1"/>
  <c r="K195" i="5"/>
  <c r="G195" i="5" s="1"/>
  <c r="F195" i="5"/>
  <c r="I98" i="7"/>
  <c r="I120" i="7"/>
  <c r="I226" i="7"/>
  <c r="I253" i="7"/>
  <c r="I263" i="7"/>
  <c r="I106" i="7"/>
  <c r="I39" i="5"/>
  <c r="E13" i="4" s="1"/>
  <c r="F32" i="5"/>
  <c r="K32" i="5"/>
  <c r="G32" i="5" s="1"/>
  <c r="C1020" i="9"/>
  <c r="E21" i="8"/>
  <c r="K190" i="5"/>
  <c r="G190" i="5" s="1"/>
  <c r="F190" i="5"/>
  <c r="C285" i="9"/>
  <c r="E9" i="8"/>
  <c r="K95" i="5"/>
  <c r="C2245" i="9"/>
  <c r="E39" i="8"/>
  <c r="E48" i="8"/>
  <c r="C3085" i="9"/>
  <c r="F191" i="5"/>
  <c r="K191" i="5"/>
  <c r="G191" i="5" s="1"/>
  <c r="G186" i="5" s="1"/>
  <c r="D39" i="4" s="1"/>
  <c r="F100" i="5"/>
  <c r="K100" i="5"/>
  <c r="G100" i="5" s="1"/>
  <c r="G90" i="5"/>
  <c r="G87" i="5" s="1"/>
  <c r="K87" i="5"/>
  <c r="K14" i="5"/>
  <c r="F14" i="5"/>
  <c r="E174" i="7"/>
  <c r="J174" i="7"/>
  <c r="M60" i="5"/>
  <c r="G17" i="4" s="1"/>
  <c r="I138" i="7"/>
  <c r="I244" i="7"/>
  <c r="I256" i="7"/>
  <c r="I266" i="7"/>
  <c r="I113" i="7"/>
  <c r="I149" i="7"/>
  <c r="I157" i="7"/>
  <c r="I193" i="7"/>
  <c r="I204" i="7"/>
  <c r="I127" i="7"/>
  <c r="I215" i="7"/>
  <c r="E46" i="8"/>
  <c r="C2840" i="9"/>
  <c r="J25" i="5"/>
  <c r="J104" i="5"/>
  <c r="J184" i="5"/>
  <c r="C2945" i="9"/>
  <c r="E47" i="8"/>
  <c r="G170" i="5"/>
  <c r="G167" i="5" s="1"/>
  <c r="K167" i="5"/>
  <c r="E93" i="7"/>
  <c r="J93" i="7"/>
  <c r="E36" i="4"/>
  <c r="I166" i="5"/>
  <c r="C1125" i="9"/>
  <c r="E22" i="8"/>
  <c r="J37" i="5"/>
  <c r="J196" i="5"/>
  <c r="J116" i="5"/>
  <c r="C145" i="9"/>
  <c r="E6" i="8"/>
  <c r="E8" i="4"/>
  <c r="I7" i="5"/>
  <c r="J265" i="7"/>
  <c r="F265" i="7" s="1"/>
  <c r="E265" i="7"/>
  <c r="J155" i="7"/>
  <c r="E155" i="7"/>
  <c r="E136" i="7"/>
  <c r="J136" i="7"/>
  <c r="E202" i="7"/>
  <c r="J202" i="7"/>
  <c r="F115" i="5"/>
  <c r="K115" i="5"/>
  <c r="G115" i="5" s="1"/>
  <c r="F31" i="5"/>
  <c r="K31" i="5"/>
  <c r="G31" i="5" s="1"/>
  <c r="C2560" i="9"/>
  <c r="E43" i="8"/>
  <c r="C1685" i="9"/>
  <c r="E30" i="8"/>
  <c r="F109" i="9"/>
  <c r="C94" i="9"/>
  <c r="G11" i="5"/>
  <c r="G8" i="5" s="1"/>
  <c r="K8" i="5"/>
  <c r="K16" i="5"/>
  <c r="C1790" i="9"/>
  <c r="E31" i="8"/>
  <c r="F21" i="5"/>
  <c r="K21" i="5"/>
  <c r="G21" i="5" s="1"/>
  <c r="J15" i="5"/>
  <c r="J94" i="5"/>
  <c r="J174" i="5"/>
  <c r="I1997" i="9"/>
  <c r="E1997" i="9"/>
  <c r="G194" i="5"/>
  <c r="C355" i="9"/>
  <c r="E10" i="8"/>
  <c r="C635" i="9"/>
  <c r="E15" i="8"/>
  <c r="K111" i="5"/>
  <c r="G111" i="5" s="1"/>
  <c r="F111" i="5"/>
  <c r="C3155" i="9"/>
  <c r="E49" i="8"/>
  <c r="F178" i="5"/>
  <c r="K178" i="5"/>
  <c r="G27" i="5" l="1"/>
  <c r="D11" i="4" s="1"/>
  <c r="F103" i="5"/>
  <c r="K103" i="5"/>
  <c r="G103" i="5" s="1"/>
  <c r="K106" i="5"/>
  <c r="F25" i="4" s="1"/>
  <c r="F24" i="5"/>
  <c r="K24" i="5"/>
  <c r="G24" i="5" s="1"/>
  <c r="K183" i="5"/>
  <c r="G183" i="5" s="1"/>
  <c r="F183" i="5"/>
  <c r="G106" i="5"/>
  <c r="D25" i="4" s="1"/>
  <c r="I165" i="5"/>
  <c r="E33" i="4" s="1"/>
  <c r="E34" i="4"/>
  <c r="E1999" i="9"/>
  <c r="C1997" i="9"/>
  <c r="F15" i="5"/>
  <c r="K15" i="5"/>
  <c r="G15" i="5" s="1"/>
  <c r="D7" i="4"/>
  <c r="F202" i="7"/>
  <c r="K27" i="5"/>
  <c r="F11" i="4" s="1"/>
  <c r="J95" i="7"/>
  <c r="F93" i="7"/>
  <c r="F25" i="5"/>
  <c r="K25" i="5"/>
  <c r="J127" i="7"/>
  <c r="F127" i="7" s="1"/>
  <c r="E127" i="7"/>
  <c r="E149" i="7"/>
  <c r="J149" i="7"/>
  <c r="F149" i="7" s="1"/>
  <c r="E244" i="7"/>
  <c r="J244" i="7"/>
  <c r="F244" i="7" s="1"/>
  <c r="D21" i="4"/>
  <c r="E226" i="7"/>
  <c r="J226" i="7"/>
  <c r="F242" i="7"/>
  <c r="F179" i="5"/>
  <c r="K179" i="5"/>
  <c r="G179" i="5" s="1"/>
  <c r="G93" i="5"/>
  <c r="E121" i="7"/>
  <c r="J121" i="7"/>
  <c r="F121" i="7" s="1"/>
  <c r="G173" i="5"/>
  <c r="G35" i="5"/>
  <c r="E214" i="7"/>
  <c r="J214" i="7"/>
  <c r="F214" i="7" s="1"/>
  <c r="E203" i="7"/>
  <c r="J203" i="7"/>
  <c r="F203" i="7" s="1"/>
  <c r="E128" i="7"/>
  <c r="J128" i="7"/>
  <c r="F128" i="7" s="1"/>
  <c r="B1997" i="9"/>
  <c r="F155" i="7"/>
  <c r="I6" i="5"/>
  <c r="E6" i="4"/>
  <c r="K116" i="5"/>
  <c r="G116" i="5" s="1"/>
  <c r="F116" i="5"/>
  <c r="E204" i="7"/>
  <c r="J204" i="7"/>
  <c r="F204" i="7" s="1"/>
  <c r="E113" i="7"/>
  <c r="J113" i="7"/>
  <c r="F113" i="7" s="1"/>
  <c r="E138" i="7"/>
  <c r="J138" i="7"/>
  <c r="F138" i="7" s="1"/>
  <c r="E106" i="7"/>
  <c r="J106" i="7"/>
  <c r="E120" i="7"/>
  <c r="J120" i="7"/>
  <c r="K186" i="5"/>
  <c r="F39" i="4" s="1"/>
  <c r="F99" i="5"/>
  <c r="K99" i="5"/>
  <c r="G99" i="5" s="1"/>
  <c r="G114" i="5"/>
  <c r="J269" i="7"/>
  <c r="F269" i="7" s="1"/>
  <c r="E269" i="7"/>
  <c r="G19" i="5"/>
  <c r="E114" i="7"/>
  <c r="J114" i="7"/>
  <c r="F114" i="7" s="1"/>
  <c r="E192" i="7"/>
  <c r="J192" i="7"/>
  <c r="F192" i="7" s="1"/>
  <c r="F5" i="9"/>
  <c r="H4" i="8"/>
  <c r="C109" i="9"/>
  <c r="F136" i="7"/>
  <c r="F196" i="5"/>
  <c r="K196" i="5"/>
  <c r="F184" i="5"/>
  <c r="K184" i="5"/>
  <c r="E193" i="7"/>
  <c r="J193" i="7"/>
  <c r="F193" i="7" s="1"/>
  <c r="K13" i="5"/>
  <c r="F8" i="4" s="1"/>
  <c r="G14" i="5"/>
  <c r="E263" i="7"/>
  <c r="J263" i="7"/>
  <c r="E98" i="7"/>
  <c r="J98" i="7"/>
  <c r="I85" i="5"/>
  <c r="E19" i="4" s="1"/>
  <c r="E20" i="4"/>
  <c r="F20" i="5"/>
  <c r="K20" i="5"/>
  <c r="G20" i="5" s="1"/>
  <c r="J259" i="7"/>
  <c r="F259" i="7" s="1"/>
  <c r="E259" i="7"/>
  <c r="J285" i="7"/>
  <c r="E285" i="7"/>
  <c r="J243" i="7"/>
  <c r="F243" i="7" s="1"/>
  <c r="E243" i="7"/>
  <c r="E267" i="7"/>
  <c r="J267" i="7"/>
  <c r="F267" i="7" s="1"/>
  <c r="E156" i="7"/>
  <c r="J156" i="7"/>
  <c r="F156" i="7" s="1"/>
  <c r="F147" i="7"/>
  <c r="F174" i="5"/>
  <c r="K174" i="5"/>
  <c r="G174" i="5" s="1"/>
  <c r="F35" i="4"/>
  <c r="E266" i="7"/>
  <c r="J266" i="7"/>
  <c r="F266" i="7" s="1"/>
  <c r="G178" i="5"/>
  <c r="G177" i="5" s="1"/>
  <c r="D37" i="4" s="1"/>
  <c r="F94" i="5"/>
  <c r="K94" i="5"/>
  <c r="G94" i="5" s="1"/>
  <c r="F7" i="4"/>
  <c r="F37" i="5"/>
  <c r="K37" i="5"/>
  <c r="G37" i="5" s="1"/>
  <c r="D35" i="4"/>
  <c r="F104" i="5"/>
  <c r="K104" i="5"/>
  <c r="J215" i="7"/>
  <c r="F215" i="7" s="1"/>
  <c r="E215" i="7"/>
  <c r="E157" i="7"/>
  <c r="J157" i="7"/>
  <c r="F157" i="7" s="1"/>
  <c r="E256" i="7"/>
  <c r="J256" i="7"/>
  <c r="F256" i="7" s="1"/>
  <c r="F174" i="7"/>
  <c r="J175" i="7"/>
  <c r="F21" i="4"/>
  <c r="E253" i="7"/>
  <c r="J253" i="7"/>
  <c r="F191" i="7"/>
  <c r="G98" i="5"/>
  <c r="E247" i="7"/>
  <c r="J247" i="7"/>
  <c r="F247" i="7" s="1"/>
  <c r="J107" i="7"/>
  <c r="F107" i="7" s="1"/>
  <c r="E107" i="7"/>
  <c r="F213" i="7"/>
  <c r="J137" i="7"/>
  <c r="F137" i="7" s="1"/>
  <c r="E137" i="7"/>
  <c r="E257" i="7"/>
  <c r="J257" i="7"/>
  <c r="F257" i="7" s="1"/>
  <c r="E148" i="7"/>
  <c r="J148" i="7"/>
  <c r="F148" i="7" s="1"/>
  <c r="J216" i="7" l="1"/>
  <c r="K18" i="5"/>
  <c r="F9" i="4" s="1"/>
  <c r="J150" i="7"/>
  <c r="G21" i="6" s="1"/>
  <c r="J201" i="5" s="1"/>
  <c r="K177" i="5"/>
  <c r="F37" i="4" s="1"/>
  <c r="G113" i="5"/>
  <c r="D26" i="4" s="1"/>
  <c r="C5" i="9"/>
  <c r="E4" i="8"/>
  <c r="F98" i="7"/>
  <c r="L95" i="5"/>
  <c r="L16" i="5"/>
  <c r="L175" i="5"/>
  <c r="F106" i="7"/>
  <c r="J158" i="7"/>
  <c r="K34" i="5"/>
  <c r="F12" i="4" s="1"/>
  <c r="G16" i="6"/>
  <c r="F95" i="7"/>
  <c r="E16" i="6" s="1"/>
  <c r="G24" i="6"/>
  <c r="F175" i="7"/>
  <c r="E24" i="6" s="1"/>
  <c r="G104" i="5"/>
  <c r="G102" i="5" s="1"/>
  <c r="D24" i="4" s="1"/>
  <c r="K102" i="5"/>
  <c r="F24" i="4" s="1"/>
  <c r="G184" i="5"/>
  <c r="G182" i="5" s="1"/>
  <c r="D38" i="4" s="1"/>
  <c r="K182" i="5"/>
  <c r="F38" i="4" s="1"/>
  <c r="G25" i="5"/>
  <c r="G23" i="5" s="1"/>
  <c r="D10" i="4" s="1"/>
  <c r="K23" i="5"/>
  <c r="F10" i="4" s="1"/>
  <c r="C1999" i="9"/>
  <c r="E2001" i="9"/>
  <c r="G196" i="5"/>
  <c r="G193" i="5" s="1"/>
  <c r="D40" i="4" s="1"/>
  <c r="K193" i="5"/>
  <c r="F40" i="4" s="1"/>
  <c r="G97" i="5"/>
  <c r="D23" i="4" s="1"/>
  <c r="F253" i="7"/>
  <c r="J260" i="7"/>
  <c r="F285" i="7"/>
  <c r="J290" i="7"/>
  <c r="K97" i="5"/>
  <c r="F23" i="4" s="1"/>
  <c r="F263" i="7"/>
  <c r="J270" i="7"/>
  <c r="G18" i="5"/>
  <c r="D9" i="4" s="1"/>
  <c r="K113" i="5"/>
  <c r="F26" i="4" s="1"/>
  <c r="F120" i="7"/>
  <c r="K172" i="5"/>
  <c r="K92" i="5"/>
  <c r="G29" i="6"/>
  <c r="J44" i="5" s="1"/>
  <c r="F216" i="7"/>
  <c r="E29" i="6" s="1"/>
  <c r="F150" i="7"/>
  <c r="E21" i="6" s="1"/>
  <c r="I5" i="5"/>
  <c r="E5" i="4"/>
  <c r="G34" i="5"/>
  <c r="D12" i="4" s="1"/>
  <c r="F226" i="7"/>
  <c r="J229" i="7"/>
  <c r="G31" i="6" l="1"/>
  <c r="J56" i="5" s="1"/>
  <c r="F229" i="7"/>
  <c r="E31" i="6" s="1"/>
  <c r="F201" i="5"/>
  <c r="K201" i="5"/>
  <c r="G201" i="5" s="1"/>
  <c r="F36" i="4"/>
  <c r="K166" i="5"/>
  <c r="G37" i="6"/>
  <c r="J134" i="5" s="1"/>
  <c r="F290" i="7"/>
  <c r="E37" i="6" s="1"/>
  <c r="M175" i="5"/>
  <c r="F175" i="5"/>
  <c r="I254" i="5"/>
  <c r="E48" i="4" s="1"/>
  <c r="E4" i="4"/>
  <c r="F44" i="5"/>
  <c r="K44" i="5"/>
  <c r="G44" i="5" s="1"/>
  <c r="G35" i="6"/>
  <c r="J122" i="5" s="1"/>
  <c r="F270" i="7"/>
  <c r="E35" i="6" s="1"/>
  <c r="I124" i="7"/>
  <c r="I162" i="7"/>
  <c r="I110" i="7"/>
  <c r="I178" i="7"/>
  <c r="G22" i="6"/>
  <c r="F158" i="7"/>
  <c r="E22" i="6" s="1"/>
  <c r="M16" i="5"/>
  <c r="F16" i="5"/>
  <c r="K7" i="5"/>
  <c r="G34" i="6"/>
  <c r="J121" i="5" s="1"/>
  <c r="F260" i="7"/>
  <c r="E34" i="6" s="1"/>
  <c r="M95" i="5"/>
  <c r="F95" i="5"/>
  <c r="F22" i="4"/>
  <c r="K86" i="5"/>
  <c r="E2034" i="9"/>
  <c r="C2001" i="9"/>
  <c r="J52" i="5"/>
  <c r="J130" i="5"/>
  <c r="J209" i="5"/>
  <c r="K130" i="5" l="1"/>
  <c r="G130" i="5" s="1"/>
  <c r="F130" i="5"/>
  <c r="M13" i="5"/>
  <c r="G16" i="5"/>
  <c r="G13" i="5" s="1"/>
  <c r="F122" i="5"/>
  <c r="K122" i="5"/>
  <c r="G122" i="5" s="1"/>
  <c r="F52" i="5"/>
  <c r="K52" i="5"/>
  <c r="G52" i="5" s="1"/>
  <c r="E162" i="7"/>
  <c r="J162" i="7"/>
  <c r="K209" i="5"/>
  <c r="G209" i="5" s="1"/>
  <c r="F209" i="5"/>
  <c r="E1965" i="9"/>
  <c r="C2034" i="9"/>
  <c r="G33" i="8"/>
  <c r="M92" i="5"/>
  <c r="G95" i="5"/>
  <c r="G92" i="5" s="1"/>
  <c r="J178" i="7"/>
  <c r="E178" i="7"/>
  <c r="D9" i="3"/>
  <c r="D49" i="4"/>
  <c r="D10" i="3" s="1"/>
  <c r="J52" i="4"/>
  <c r="D54" i="4"/>
  <c r="D17" i="3" s="1"/>
  <c r="D52" i="4"/>
  <c r="J54" i="4"/>
  <c r="F134" i="5"/>
  <c r="K134" i="5"/>
  <c r="G134" i="5" s="1"/>
  <c r="F20" i="4"/>
  <c r="K121" i="5"/>
  <c r="G121" i="5" s="1"/>
  <c r="F121" i="5"/>
  <c r="F34" i="4"/>
  <c r="E110" i="7"/>
  <c r="J110" i="7"/>
  <c r="F6" i="4"/>
  <c r="J202" i="5"/>
  <c r="J45" i="5"/>
  <c r="E124" i="7"/>
  <c r="J124" i="7"/>
  <c r="M172" i="5"/>
  <c r="G175" i="5"/>
  <c r="G172" i="5" s="1"/>
  <c r="F56" i="5"/>
  <c r="K56" i="5"/>
  <c r="G56" i="5" s="1"/>
  <c r="D50" i="4" l="1"/>
  <c r="D13" i="3" s="1"/>
  <c r="D51" i="4"/>
  <c r="D14" i="3" s="1"/>
  <c r="F110" i="7"/>
  <c r="D11" i="3"/>
  <c r="G22" i="4"/>
  <c r="M86" i="5"/>
  <c r="D8" i="4"/>
  <c r="G7" i="5"/>
  <c r="G36" i="4"/>
  <c r="M166" i="5"/>
  <c r="I52" i="7"/>
  <c r="I140" i="7"/>
  <c r="I279" i="7"/>
  <c r="I125" i="7"/>
  <c r="I195" i="7"/>
  <c r="I206" i="7"/>
  <c r="I248" i="7"/>
  <c r="I101" i="7"/>
  <c r="I111" i="7"/>
  <c r="G8" i="4"/>
  <c r="M7" i="5"/>
  <c r="D36" i="4"/>
  <c r="G166" i="5"/>
  <c r="K45" i="5"/>
  <c r="G45" i="5" s="1"/>
  <c r="F45" i="5"/>
  <c r="F202" i="5"/>
  <c r="K202" i="5"/>
  <c r="G202" i="5" s="1"/>
  <c r="F124" i="7"/>
  <c r="F178" i="7"/>
  <c r="J180" i="7"/>
  <c r="C1965" i="9"/>
  <c r="E33" i="8"/>
  <c r="F162" i="7"/>
  <c r="J165" i="7"/>
  <c r="D15" i="3"/>
  <c r="J53" i="4"/>
  <c r="D53" i="4"/>
  <c r="D16" i="3" s="1"/>
  <c r="D22" i="4"/>
  <c r="G86" i="5"/>
  <c r="M6" i="5" l="1"/>
  <c r="G6" i="4"/>
  <c r="E248" i="7"/>
  <c r="J248" i="7"/>
  <c r="E279" i="7"/>
  <c r="J279" i="7"/>
  <c r="D20" i="4"/>
  <c r="J101" i="7"/>
  <c r="E101" i="7"/>
  <c r="E125" i="7"/>
  <c r="J125" i="7"/>
  <c r="M165" i="5"/>
  <c r="G33" i="4" s="1"/>
  <c r="G34" i="4"/>
  <c r="M85" i="5"/>
  <c r="G19" i="4" s="1"/>
  <c r="G20" i="4"/>
  <c r="G23" i="6"/>
  <c r="J212" i="5" s="1"/>
  <c r="F165" i="7"/>
  <c r="E23" i="6" s="1"/>
  <c r="G25" i="6"/>
  <c r="J210" i="5" s="1"/>
  <c r="F180" i="7"/>
  <c r="E25" i="6" s="1"/>
  <c r="E206" i="7"/>
  <c r="J206" i="7"/>
  <c r="E140" i="7"/>
  <c r="J140" i="7"/>
  <c r="D34" i="4"/>
  <c r="J111" i="7"/>
  <c r="E111" i="7"/>
  <c r="E195" i="7"/>
  <c r="J195" i="7"/>
  <c r="E52" i="7"/>
  <c r="J52" i="7"/>
  <c r="D6" i="4"/>
  <c r="F248" i="7" l="1"/>
  <c r="J250" i="7"/>
  <c r="F195" i="7"/>
  <c r="J197" i="7"/>
  <c r="F210" i="5"/>
  <c r="K210" i="5"/>
  <c r="G210" i="5" s="1"/>
  <c r="F206" i="7"/>
  <c r="J208" i="7"/>
  <c r="F52" i="7"/>
  <c r="J55" i="7"/>
  <c r="F212" i="5"/>
  <c r="K212" i="5"/>
  <c r="G212" i="5" s="1"/>
  <c r="F111" i="7"/>
  <c r="J117" i="7"/>
  <c r="F140" i="7"/>
  <c r="J142" i="7"/>
  <c r="F101" i="7"/>
  <c r="J103" i="7"/>
  <c r="F279" i="7"/>
  <c r="J281" i="7"/>
  <c r="F125" i="7"/>
  <c r="J131" i="7"/>
  <c r="M5" i="5"/>
  <c r="G5" i="4"/>
  <c r="G20" i="6" l="1"/>
  <c r="F142" i="7"/>
  <c r="E20" i="6" s="1"/>
  <c r="G28" i="6"/>
  <c r="J43" i="5" s="1"/>
  <c r="F208" i="7"/>
  <c r="E28" i="6" s="1"/>
  <c r="G27" i="6"/>
  <c r="J42" i="5" s="1"/>
  <c r="F197" i="7"/>
  <c r="E27" i="6" s="1"/>
  <c r="M254" i="5"/>
  <c r="G48" i="4" s="1"/>
  <c r="D12" i="3" s="1"/>
  <c r="G4" i="4"/>
  <c r="G19" i="6"/>
  <c r="F131" i="7"/>
  <c r="E19" i="6" s="1"/>
  <c r="G18" i="6"/>
  <c r="F117" i="7"/>
  <c r="E18" i="6" s="1"/>
  <c r="G33" i="6"/>
  <c r="J120" i="5" s="1"/>
  <c r="F250" i="7"/>
  <c r="E33" i="6" s="1"/>
  <c r="G36" i="6"/>
  <c r="J133" i="5" s="1"/>
  <c r="F281" i="7"/>
  <c r="E36" i="6" s="1"/>
  <c r="G17" i="6"/>
  <c r="F103" i="7"/>
  <c r="E17" i="6" s="1"/>
  <c r="G10" i="6"/>
  <c r="J58" i="5" s="1"/>
  <c r="F55" i="7"/>
  <c r="E10" i="6" s="1"/>
  <c r="F58" i="5" l="1"/>
  <c r="K58" i="5"/>
  <c r="G58" i="5" s="1"/>
  <c r="F43" i="5"/>
  <c r="K43" i="5"/>
  <c r="G43" i="5" s="1"/>
  <c r="F133" i="5"/>
  <c r="K133" i="5"/>
  <c r="J51" i="5"/>
  <c r="J129" i="5"/>
  <c r="J208" i="5"/>
  <c r="J215" i="5"/>
  <c r="J55" i="5"/>
  <c r="F120" i="5"/>
  <c r="K120" i="5"/>
  <c r="J128" i="5"/>
  <c r="J207" i="5"/>
  <c r="J50" i="5"/>
  <c r="F42" i="5"/>
  <c r="K42" i="5"/>
  <c r="G42" i="5" s="1"/>
  <c r="J41" i="5"/>
  <c r="J200" i="5"/>
  <c r="F128" i="5" l="1"/>
  <c r="K128" i="5"/>
  <c r="F215" i="5"/>
  <c r="K215" i="5"/>
  <c r="K132" i="5"/>
  <c r="F30" i="4" s="1"/>
  <c r="G133" i="5"/>
  <c r="G132" i="5" s="1"/>
  <c r="D30" i="4" s="1"/>
  <c r="K119" i="5"/>
  <c r="G120" i="5"/>
  <c r="G119" i="5" s="1"/>
  <c r="F208" i="5"/>
  <c r="K208" i="5"/>
  <c r="G208" i="5" s="1"/>
  <c r="K200" i="5"/>
  <c r="F200" i="5"/>
  <c r="K50" i="5"/>
  <c r="F50" i="5"/>
  <c r="F129" i="5"/>
  <c r="K129" i="5"/>
  <c r="G129" i="5" s="1"/>
  <c r="K41" i="5"/>
  <c r="F41" i="5"/>
  <c r="F207" i="5"/>
  <c r="K207" i="5"/>
  <c r="K55" i="5"/>
  <c r="F55" i="5"/>
  <c r="F51" i="5"/>
  <c r="K51" i="5"/>
  <c r="G51" i="5" s="1"/>
  <c r="G207" i="5" l="1"/>
  <c r="G204" i="5" s="1"/>
  <c r="D43" i="4" s="1"/>
  <c r="K204" i="5"/>
  <c r="F43" i="4" s="1"/>
  <c r="D28" i="4"/>
  <c r="K214" i="5"/>
  <c r="F44" i="4" s="1"/>
  <c r="G215" i="5"/>
  <c r="G214" i="5" s="1"/>
  <c r="D44" i="4" s="1"/>
  <c r="K199" i="5"/>
  <c r="G200" i="5"/>
  <c r="G199" i="5" s="1"/>
  <c r="F28" i="4"/>
  <c r="G128" i="5"/>
  <c r="G124" i="5" s="1"/>
  <c r="D29" i="4" s="1"/>
  <c r="K124" i="5"/>
  <c r="F29" i="4" s="1"/>
  <c r="K54" i="5"/>
  <c r="F16" i="4" s="1"/>
  <c r="G55" i="5"/>
  <c r="G54" i="5" s="1"/>
  <c r="D16" i="4" s="1"/>
  <c r="K40" i="5"/>
  <c r="G41" i="5"/>
  <c r="G40" i="5" s="1"/>
  <c r="G50" i="5"/>
  <c r="G47" i="5" s="1"/>
  <c r="D15" i="4" s="1"/>
  <c r="K47" i="5"/>
  <c r="F15" i="4" s="1"/>
  <c r="K118" i="5" l="1"/>
  <c r="F27" i="4" s="1"/>
  <c r="G39" i="5"/>
  <c r="D14" i="4"/>
  <c r="G198" i="5"/>
  <c r="D42" i="4"/>
  <c r="K39" i="5"/>
  <c r="F14" i="4"/>
  <c r="K198" i="5"/>
  <c r="F42" i="4"/>
  <c r="G118" i="5"/>
  <c r="K85" i="5"/>
  <c r="F19" i="4" s="1"/>
  <c r="F13" i="4" l="1"/>
  <c r="K6" i="5"/>
  <c r="D41" i="4"/>
  <c r="G165" i="5"/>
  <c r="D33" i="4" s="1"/>
  <c r="F41" i="4"/>
  <c r="K165" i="5"/>
  <c r="F33" i="4" s="1"/>
  <c r="D27" i="4"/>
  <c r="G85" i="5"/>
  <c r="D19" i="4" s="1"/>
  <c r="D13" i="4"/>
  <c r="G6" i="5"/>
  <c r="G5" i="5" l="1"/>
  <c r="D5" i="4"/>
  <c r="K5" i="5"/>
  <c r="F5" i="4"/>
  <c r="K254" i="5" l="1"/>
  <c r="F48" i="4" s="1"/>
  <c r="F4" i="4"/>
  <c r="G254" i="5"/>
  <c r="D48" i="4" s="1"/>
  <c r="D4" i="4"/>
  <c r="D57" i="4" l="1"/>
  <c r="D20" i="3" s="1"/>
  <c r="D58" i="4"/>
  <c r="D21" i="3" s="1"/>
  <c r="D5" i="3"/>
  <c r="D55" i="4"/>
  <c r="D18" i="3" s="1"/>
  <c r="J55" i="4"/>
  <c r="D56" i="4"/>
  <c r="D19" i="3" s="1"/>
  <c r="D8" i="3" l="1"/>
  <c r="D59" i="4"/>
  <c r="D22" i="3"/>
  <c r="D60" i="4" l="1"/>
  <c r="D23" i="3" s="1"/>
  <c r="D61" i="4" l="1"/>
  <c r="J61" i="4" l="1"/>
  <c r="L61" i="4"/>
  <c r="D62" i="4"/>
  <c r="D24" i="3" s="1"/>
  <c r="D63" i="4" l="1"/>
  <c r="L62" i="4"/>
  <c r="L63" i="4" s="1"/>
  <c r="J62" i="4"/>
  <c r="E62" i="4" s="1"/>
  <c r="J63" i="4" l="1"/>
  <c r="L64" i="4"/>
  <c r="L65" i="4" s="1"/>
  <c r="L67" i="4" s="1"/>
  <c r="J64" i="4"/>
  <c r="J65" i="4" s="1"/>
  <c r="J67" i="4" s="1"/>
  <c r="D25" i="3"/>
  <c r="D64" i="4"/>
  <c r="D26" i="3" s="1"/>
  <c r="D65" i="4" l="1"/>
  <c r="D27" i="3" l="1"/>
  <c r="D67" i="4"/>
  <c r="D29" i="3" s="1"/>
  <c r="E27" i="3" l="1"/>
  <c r="E6" i="3"/>
  <c r="E7" i="3"/>
  <c r="E28" i="3"/>
  <c r="E9" i="3"/>
  <c r="E13" i="3"/>
  <c r="E14" i="3"/>
  <c r="E10" i="3"/>
  <c r="E17" i="3"/>
  <c r="E11" i="3"/>
  <c r="E15" i="3"/>
  <c r="E16" i="3"/>
  <c r="E12" i="3"/>
  <c r="E19" i="3"/>
  <c r="E5" i="3"/>
  <c r="E18" i="3"/>
  <c r="E21" i="3"/>
  <c r="E20" i="3"/>
  <c r="E8" i="3"/>
  <c r="E22" i="3"/>
  <c r="E23" i="3"/>
  <c r="E24" i="3"/>
  <c r="E26" i="3"/>
  <c r="E25" i="3"/>
</calcChain>
</file>

<file path=xl/comments1.xml><?xml version="1.0" encoding="utf-8"?>
<comments xmlns="http://schemas.openxmlformats.org/spreadsheetml/2006/main">
  <authors>
    <author/>
  </authors>
  <commentList>
    <comment ref="D4" authorId="0" shapeId="0">
      <text>
        <r>
          <rPr>
            <sz val="9"/>
            <color theme="1"/>
            <rFont val="굴림체"/>
            <family val="3"/>
            <charset val="129"/>
          </rPr>
          <t>해당 페이지 이동은 아래의 HyperLink(→) 셀을 클릭하세요!!</t>
        </r>
      </text>
    </comment>
  </commentList>
</comments>
</file>

<file path=xl/comments10.xml><?xml version="1.0" encoding="utf-8"?>
<comments xmlns="http://schemas.openxmlformats.org/spreadsheetml/2006/main">
  <authors>
    <author/>
  </authors>
  <commentList>
    <comment ref="J1" authorId="0" shapeId="0">
      <text>
        <r>
          <rPr>
            <sz val="9"/>
            <color theme="1"/>
            <rFont val="굴림체"/>
            <family val="3"/>
            <charset val="129"/>
          </rPr>
          <t>해당 위치로 이동은 아래의 HyperLink(→) 셀을 클릭하세요!!</t>
        </r>
      </text>
    </comment>
  </commentList>
</comments>
</file>

<file path=xl/comments11.xml><?xml version="1.0" encoding="utf-8"?>
<comments xmlns="http://schemas.openxmlformats.org/spreadsheetml/2006/main">
  <authors>
    <author/>
  </authors>
  <commentList>
    <comment ref="J3" authorId="0" shapeId="0">
      <text>
        <r>
          <rPr>
            <sz val="9"/>
            <color theme="1"/>
            <rFont val="굴림체"/>
            <family val="3"/>
            <charset val="129"/>
          </rPr>
          <t>주의) 현재행 아래 내용을 수정 또는 삭제하지 마십시요.</t>
        </r>
      </text>
    </comment>
    <comment ref="K3" authorId="0" shapeId="0">
      <text>
        <r>
          <rPr>
            <sz val="9"/>
            <color theme="1"/>
            <rFont val="굴림체"/>
            <family val="3"/>
            <charset val="129"/>
          </rPr>
          <t>해당 위치로 이동은 아래의 HyperLink(→) 셀을 클릭하세요!!</t>
        </r>
      </text>
    </comment>
  </commentList>
</comments>
</file>

<file path=xl/comments12.xml><?xml version="1.0" encoding="utf-8"?>
<comments xmlns="http://schemas.openxmlformats.org/spreadsheetml/2006/main">
  <authors>
    <author/>
  </authors>
  <commentList>
    <comment ref="N4" authorId="0" shapeId="0">
      <text>
        <r>
          <rPr>
            <sz val="9"/>
            <color theme="1"/>
            <rFont val="굴림체"/>
            <family val="3"/>
            <charset val="129"/>
          </rPr>
          <t>주의) 현재행 아래 내용을 수정 또는 삭제하지 마십시요.</t>
        </r>
      </text>
    </comment>
    <comment ref="Z4" authorId="0" shapeId="0">
      <text>
        <r>
          <rPr>
            <sz val="9"/>
            <color theme="1"/>
            <rFont val="굴림체"/>
            <family val="3"/>
            <charset val="129"/>
          </rPr>
          <t>해당 위치로 이동은 아래의 HyperLink(→) 셀을 클릭하세요!!</t>
        </r>
      </text>
    </comment>
  </commentList>
</comments>
</file>

<file path=xl/comments13.xml><?xml version="1.0" encoding="utf-8"?>
<comments xmlns="http://schemas.openxmlformats.org/spreadsheetml/2006/main">
  <authors>
    <author/>
  </authors>
  <commentList>
    <comment ref="G3" authorId="0" shapeId="0">
      <text>
        <r>
          <rPr>
            <sz val="9"/>
            <color theme="1"/>
            <rFont val="굴림체"/>
            <family val="3"/>
            <charset val="129"/>
          </rPr>
          <t>주의) 현재행 아래 내용을 수정 또는 삭제하지 마십시요.</t>
        </r>
      </text>
    </comment>
    <comment ref="H3" authorId="0" shapeId="0">
      <text>
        <r>
          <rPr>
            <sz val="9"/>
            <color theme="1"/>
            <rFont val="굴림체"/>
            <family val="3"/>
            <charset val="129"/>
          </rPr>
          <t>해당 위치로 이동은 아래의 HyperLink(→) 셀을 클릭하세요!!</t>
        </r>
      </text>
    </comment>
  </commentList>
</comments>
</file>

<file path=xl/comments14.xml><?xml version="1.0" encoding="utf-8"?>
<comments xmlns="http://schemas.openxmlformats.org/spreadsheetml/2006/main">
  <authors>
    <author/>
  </authors>
  <commentList>
    <comment ref="G3" authorId="0" shapeId="0">
      <text>
        <r>
          <rPr>
            <sz val="9"/>
            <color theme="1"/>
            <rFont val="굴림체"/>
            <family val="3"/>
            <charset val="129"/>
          </rPr>
          <t>주의) 현재행 아래 내용을 수정 또는 삭제하지 마십시요.</t>
        </r>
      </text>
    </comment>
    <comment ref="H3" authorId="0" shapeId="0">
      <text>
        <r>
          <rPr>
            <sz val="9"/>
            <color theme="1"/>
            <rFont val="굴림체"/>
            <family val="3"/>
            <charset val="129"/>
          </rPr>
          <t>해당 위치로 이동은 아래의 HyperLink(→) 셀을 클릭하세요!!</t>
        </r>
      </text>
    </comment>
  </commentList>
</comments>
</file>

<file path=xl/comments15.xml><?xml version="1.0" encoding="utf-8"?>
<comments xmlns="http://schemas.openxmlformats.org/spreadsheetml/2006/main">
  <authors>
    <author/>
  </authors>
  <commentList>
    <comment ref="G3" authorId="0" shapeId="0">
      <text>
        <r>
          <rPr>
            <sz val="9"/>
            <color theme="1"/>
            <rFont val="굴림체"/>
            <family val="3"/>
            <charset val="129"/>
          </rPr>
          <t>주의) 현재행 아래 내용을 수정 또는 삭제하지 마십시요.</t>
        </r>
      </text>
    </comment>
    <comment ref="H3" authorId="0" shapeId="0">
      <text>
        <r>
          <rPr>
            <sz val="9"/>
            <color theme="1"/>
            <rFont val="굴림체"/>
            <family val="3"/>
            <charset val="129"/>
          </rPr>
          <t>해당 위치로 이동은 아래의 HyperLink(→) 셀을 클릭하세요!!</t>
        </r>
      </text>
    </comment>
  </commentList>
</comments>
</file>

<file path=xl/comments16.xml><?xml version="1.0" encoding="utf-8"?>
<comments xmlns="http://schemas.openxmlformats.org/spreadsheetml/2006/main">
  <authors>
    <author/>
  </authors>
  <commentList>
    <comment ref="R4" authorId="0" shapeId="0">
      <text>
        <r>
          <rPr>
            <sz val="9"/>
            <color theme="1"/>
            <rFont val="굴림체"/>
            <family val="3"/>
            <charset val="129"/>
          </rPr>
          <t>주의) 현재행 아래 내용을 수정 또는 삭제하지 마십시요.</t>
        </r>
      </text>
    </comment>
    <comment ref="S4" authorId="0" shapeId="0">
      <text>
        <r>
          <rPr>
            <sz val="9"/>
            <color theme="1"/>
            <rFont val="굴림체"/>
            <family val="3"/>
            <charset val="129"/>
          </rPr>
          <t>해당 위치로 이동은 아래의 HyperLink(→) 셀을 클릭하세요!!</t>
        </r>
      </text>
    </comment>
  </commentList>
</comments>
</file>

<file path=xl/comments17.xml><?xml version="1.0" encoding="utf-8"?>
<comments xmlns="http://schemas.openxmlformats.org/spreadsheetml/2006/main">
  <authors>
    <author/>
  </authors>
  <commentList>
    <comment ref="J3" authorId="0" shapeId="0">
      <text>
        <r>
          <rPr>
            <sz val="9"/>
            <color theme="1"/>
            <rFont val="굴림체"/>
            <family val="3"/>
            <charset val="129"/>
          </rPr>
          <t>해당 위치로 이동은 아래의 HyperLink(→) 셀을 클릭하세요!!</t>
        </r>
      </text>
    </comment>
  </commentList>
</comments>
</file>

<file path=xl/comments18.xml><?xml version="1.0" encoding="utf-8"?>
<comments xmlns="http://schemas.openxmlformats.org/spreadsheetml/2006/main">
  <authors>
    <author/>
  </authors>
  <commentList>
    <comment ref="J3" authorId="0" shapeId="0">
      <text>
        <r>
          <rPr>
            <sz val="9"/>
            <color theme="1"/>
            <rFont val="굴림체"/>
            <family val="3"/>
            <charset val="129"/>
          </rPr>
          <t>해당 위치로 이동은 아래의 HyperLink(→) 셀을 클릭하세요!!</t>
        </r>
      </text>
    </comment>
  </commentList>
</comments>
</file>

<file path=xl/comments19.xml><?xml version="1.0" encoding="utf-8"?>
<comments xmlns="http://schemas.openxmlformats.org/spreadsheetml/2006/main">
  <authors>
    <author/>
  </authors>
  <commentList>
    <comment ref="J3" authorId="0" shapeId="0">
      <text>
        <r>
          <rPr>
            <sz val="9"/>
            <color theme="1"/>
            <rFont val="굴림체"/>
            <family val="3"/>
            <charset val="129"/>
          </rPr>
          <t>해당 위치로 이동은 아래의 HyperLink(→) 셀을 클릭하세요!!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2" authorId="0" shapeId="0">
      <text>
        <r>
          <rPr>
            <sz val="9"/>
            <color theme="1"/>
            <rFont val="굴림체"/>
            <family val="3"/>
            <charset val="129"/>
          </rPr>
          <t>해당 위치로 이동은 아래의 HyperLink(→) 셀을 클릭하세요!!</t>
        </r>
      </text>
    </comment>
    <comment ref="B8" authorId="0" shapeId="0">
      <text>
        <r>
          <rPr>
            <sz val="9"/>
            <color theme="1"/>
            <rFont val="굴림체"/>
            <family val="3"/>
            <charset val="129"/>
          </rPr>
          <t>해당 위치로 이동은 아래의 HyperLink(→) 셀을 클릭하세요!!</t>
        </r>
      </text>
    </comment>
  </commentList>
</comments>
</file>

<file path=xl/comments20.xml><?xml version="1.0" encoding="utf-8"?>
<comments xmlns="http://schemas.openxmlformats.org/spreadsheetml/2006/main">
  <authors>
    <author/>
  </authors>
  <commentList>
    <comment ref="L3" authorId="0" shapeId="0">
      <text>
        <r>
          <rPr>
            <sz val="9"/>
            <color theme="1"/>
            <rFont val="굴림체"/>
            <family val="3"/>
            <charset val="129"/>
          </rPr>
          <t>해당 위치로 이동은 아래의 HyperLink(→) 셀을 클릭하세요!!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H4" authorId="0" shapeId="0">
      <text>
        <r>
          <rPr>
            <sz val="9"/>
            <color theme="1"/>
            <rFont val="굴림체"/>
            <family val="3"/>
            <charset val="129"/>
          </rPr>
          <t>해당 위치로 이동은 아래의 HyperLink(→) 셀을 클릭하세요!!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H3" authorId="0" shapeId="0">
      <text>
        <r>
          <rPr>
            <sz val="9"/>
            <color theme="1"/>
            <rFont val="굴림체"/>
            <family val="3"/>
            <charset val="129"/>
          </rPr>
          <t>주의) 현재행 아래 내용을 수정 또는 삭제하지 마십시요.</t>
        </r>
      </text>
    </comment>
    <comment ref="Q3" authorId="0" shapeId="0">
      <text>
        <r>
          <rPr>
            <sz val="9"/>
            <color theme="1"/>
            <rFont val="굴림체"/>
            <family val="3"/>
            <charset val="129"/>
          </rPr>
          <t>해당 위치로 이동은 아래의 HyperLink(→) 셀을 클릭하세요!!</t>
        </r>
      </text>
    </comment>
    <comment ref="I62" authorId="0" shapeId="0">
      <text>
        <r>
          <rPr>
            <sz val="9"/>
            <color theme="1"/>
            <rFont val="굴림체"/>
            <family val="3"/>
            <charset val="129"/>
          </rPr>
          <t>이윤보정액 : 총공사비 금액이 다를경우 임의조정(±α) 하십시요</t>
        </r>
      </text>
    </comment>
    <comment ref="I64" authorId="0" shapeId="0">
      <text>
        <r>
          <rPr>
            <sz val="9"/>
            <color theme="1"/>
            <rFont val="굴림체"/>
            <family val="3"/>
            <charset val="129"/>
          </rPr>
          <t>부가세보정 : 총공사비 금액에 1원 차이 발생할 경우 부가세 조정(+1) 하십시요</t>
        </r>
      </text>
    </comment>
    <comment ref="I66" authorId="0" shapeId="0">
      <text>
        <r>
          <rPr>
            <sz val="9"/>
            <color theme="1"/>
            <rFont val="굴림체"/>
            <family val="3"/>
            <charset val="129"/>
          </rPr>
          <t>관급자재대(도급자설치) : 원자재대 금액을 입력하세요.</t>
        </r>
      </text>
    </comment>
    <comment ref="O66" authorId="0" shapeId="0">
      <text>
        <r>
          <rPr>
            <sz val="9"/>
            <color theme="1"/>
            <rFont val="굴림체"/>
            <family val="3"/>
            <charset val="129"/>
          </rPr>
          <t>조달수수료</t>
        </r>
      </text>
    </comment>
  </commentList>
</comments>
</file>

<file path=xl/comments5.xml><?xml version="1.0" encoding="utf-8"?>
<comments xmlns="http://schemas.openxmlformats.org/spreadsheetml/2006/main">
  <authors>
    <author/>
  </authors>
  <commentList>
    <comment ref="O4" authorId="0" shapeId="0">
      <text>
        <r>
          <rPr>
            <sz val="9"/>
            <color theme="1"/>
            <rFont val="굴림체"/>
            <family val="3"/>
            <charset val="129"/>
          </rPr>
          <t>주의) 현재행 아래 내용을 수정 또는 삭제하지 마십시요.</t>
        </r>
      </text>
    </comment>
    <comment ref="AC4" authorId="0" shapeId="0">
      <text>
        <r>
          <rPr>
            <sz val="9"/>
            <color theme="1"/>
            <rFont val="굴림체"/>
            <family val="3"/>
            <charset val="129"/>
          </rPr>
          <t>해당 위치로 이동은 아래의 HyperLink(→) 셀을 클릭하세요!!</t>
        </r>
      </text>
    </comment>
  </commentList>
</comments>
</file>

<file path=xl/comments6.xml><?xml version="1.0" encoding="utf-8"?>
<comments xmlns="http://schemas.openxmlformats.org/spreadsheetml/2006/main">
  <authors>
    <author/>
  </authors>
  <commentList>
    <comment ref="J3" authorId="0" shapeId="0">
      <text>
        <r>
          <rPr>
            <sz val="9"/>
            <color theme="1"/>
            <rFont val="굴림체"/>
            <family val="3"/>
            <charset val="129"/>
          </rPr>
          <t>주의) 현재행 아래 내용을 수정 또는 삭제하지 마십시요.</t>
        </r>
      </text>
    </comment>
    <comment ref="K3" authorId="0" shapeId="0">
      <text>
        <r>
          <rPr>
            <sz val="9"/>
            <color theme="1"/>
            <rFont val="굴림체"/>
            <family val="3"/>
            <charset val="129"/>
          </rPr>
          <t>해당 위치로 이동은 아래의 HyperLink(→) 셀을 클릭하세요!!</t>
        </r>
      </text>
    </comment>
  </commentList>
</comments>
</file>

<file path=xl/comments7.xml><?xml version="1.0" encoding="utf-8"?>
<comments xmlns="http://schemas.openxmlformats.org/spreadsheetml/2006/main">
  <authors>
    <author/>
  </authors>
  <commentList>
    <comment ref="N4" authorId="0" shapeId="0">
      <text>
        <r>
          <rPr>
            <sz val="9"/>
            <color theme="1"/>
            <rFont val="굴림체"/>
            <family val="3"/>
            <charset val="129"/>
          </rPr>
          <t>주의) 현재행 아래 내용을 수정 또는 삭제하지 마십시요.</t>
        </r>
      </text>
    </comment>
    <comment ref="Z4" authorId="0" shapeId="0">
      <text>
        <r>
          <rPr>
            <sz val="9"/>
            <color theme="1"/>
            <rFont val="굴림체"/>
            <family val="3"/>
            <charset val="129"/>
          </rPr>
          <t>해당 위치로 이동은 아래의 HyperLink(→) 셀을 클릭하세요!!</t>
        </r>
      </text>
    </comment>
  </commentList>
</comments>
</file>

<file path=xl/comments8.xml><?xml version="1.0" encoding="utf-8"?>
<comments xmlns="http://schemas.openxmlformats.org/spreadsheetml/2006/main">
  <authors>
    <author/>
  </authors>
  <commentList>
    <comment ref="J3" authorId="0" shapeId="0">
      <text>
        <r>
          <rPr>
            <sz val="9"/>
            <color theme="1"/>
            <rFont val="굴림체"/>
            <family val="3"/>
            <charset val="129"/>
          </rPr>
          <t>주의) 현재행 아래 내용을 수정 또는 삭제하지 마십시요.</t>
        </r>
      </text>
    </comment>
    <comment ref="K3" authorId="0" shapeId="0">
      <text>
        <r>
          <rPr>
            <sz val="9"/>
            <color theme="1"/>
            <rFont val="굴림체"/>
            <family val="3"/>
            <charset val="129"/>
          </rPr>
          <t>해당 위치로 이동은 아래의 HyperLink(→) 셀을 클릭하세요!!</t>
        </r>
      </text>
    </comment>
  </commentList>
</comments>
</file>

<file path=xl/comments9.xml><?xml version="1.0" encoding="utf-8"?>
<comments xmlns="http://schemas.openxmlformats.org/spreadsheetml/2006/main">
  <authors>
    <author/>
  </authors>
  <commentList>
    <comment ref="G4" authorId="0" shapeId="0">
      <text>
        <r>
          <rPr>
            <sz val="9"/>
            <color theme="1"/>
            <rFont val="굴림체"/>
            <family val="3"/>
            <charset val="129"/>
          </rPr>
          <t>주의) 현재행 아래 내용을 수정 또는 삭제하지 마십시요.</t>
        </r>
      </text>
    </comment>
    <comment ref="Y4" authorId="0" shapeId="0">
      <text>
        <r>
          <rPr>
            <sz val="9"/>
            <color theme="1"/>
            <rFont val="굴림체"/>
            <family val="3"/>
            <charset val="129"/>
          </rPr>
          <t>해당 위치로 이동은 아래의 HyperLink(→) 셀을 클릭하세요!!</t>
        </r>
      </text>
    </comment>
  </commentList>
</comments>
</file>

<file path=xl/sharedStrings.xml><?xml version="1.0" encoding="utf-8"?>
<sst xmlns="http://schemas.openxmlformats.org/spreadsheetml/2006/main" count="11947" uniqueCount="2412">
  <si>
    <t>일위대가 목록표</t>
  </si>
  <si>
    <t>공사명 : 2024년 간선임도사업(기번3)</t>
  </si>
  <si>
    <t>호표</t>
  </si>
  <si>
    <t>명      칭</t>
  </si>
  <si>
    <t>규      격</t>
  </si>
  <si>
    <t>단위</t>
  </si>
  <si>
    <t>합  계</t>
  </si>
  <si>
    <t>노 무 비</t>
  </si>
  <si>
    <t>재 료 비</t>
  </si>
  <si>
    <t>경  비</t>
  </si>
  <si>
    <t>비  고</t>
  </si>
  <si>
    <t>제   1호표</t>
  </si>
  <si>
    <t>모르터바르기</t>
  </si>
  <si>
    <t>1:3</t>
  </si>
  <si>
    <t>m3</t>
  </si>
  <si>
    <t>대가    1</t>
  </si>
  <si>
    <t xml:space="preserve"> 제    2 호표</t>
  </si>
  <si>
    <t>제   2호표</t>
  </si>
  <si>
    <t>파형강관부설</t>
  </si>
  <si>
    <t>D=800mm</t>
  </si>
  <si>
    <t>m</t>
  </si>
  <si>
    <t>대가    2</t>
  </si>
  <si>
    <t xml:space="preserve"> 제    3 호표</t>
  </si>
  <si>
    <t>제   3호표</t>
  </si>
  <si>
    <t>D=1000mm</t>
  </si>
  <si>
    <t>대가    3</t>
  </si>
  <si>
    <t xml:space="preserve"> 제    4 호표</t>
  </si>
  <si>
    <t>제   4호표</t>
  </si>
  <si>
    <t>글자새김</t>
  </si>
  <si>
    <t>자당 6*6</t>
  </si>
  <si>
    <t>자</t>
  </si>
  <si>
    <t>대가    4</t>
  </si>
  <si>
    <t xml:space="preserve"> 제    5 호표</t>
  </si>
  <si>
    <t>제   5호표</t>
  </si>
  <si>
    <t>규준틀설치</t>
  </si>
  <si>
    <t>종단규준틀</t>
  </si>
  <si>
    <t>개소</t>
  </si>
  <si>
    <t>대가    5</t>
  </si>
  <si>
    <t xml:space="preserve"> 제    6 호표</t>
  </si>
  <si>
    <t>제   6호표</t>
  </si>
  <si>
    <t>찰쌓기(켜쌓기)</t>
  </si>
  <si>
    <t>L3=55cm이하</t>
  </si>
  <si>
    <t>m2</t>
  </si>
  <si>
    <t>대가    6</t>
  </si>
  <si>
    <t xml:space="preserve"> 제    7 호표</t>
  </si>
  <si>
    <t>제   7호표</t>
  </si>
  <si>
    <t>임도준공표지석</t>
  </si>
  <si>
    <t>30x20x60</t>
  </si>
  <si>
    <t>대가    7</t>
  </si>
  <si>
    <t xml:space="preserve"> 제    8 호표</t>
  </si>
  <si>
    <t>제   8호표</t>
  </si>
  <si>
    <t>횡단규준틀</t>
  </si>
  <si>
    <t>대가    8</t>
  </si>
  <si>
    <t xml:space="preserve"> 제    9 호표</t>
  </si>
  <si>
    <t>제   9호표</t>
  </si>
  <si>
    <t>찰붙임</t>
  </si>
  <si>
    <t>대가    9</t>
  </si>
  <si>
    <t xml:space="preserve"> 제   10 호표</t>
  </si>
  <si>
    <t>제  10호표</t>
  </si>
  <si>
    <t>L3=35cm이하</t>
  </si>
  <si>
    <t>대가   10</t>
  </si>
  <si>
    <t xml:space="preserve"> 제   11 호표</t>
  </si>
  <si>
    <t>제  11호표</t>
  </si>
  <si>
    <t>메쌓기(켜쌓기)</t>
  </si>
  <si>
    <t>대가   11</t>
  </si>
  <si>
    <t xml:space="preserve"> 제   12 호표</t>
  </si>
  <si>
    <t>제  12호표</t>
  </si>
  <si>
    <t>제근</t>
  </si>
  <si>
    <t>밀림(90㎥/ha)</t>
  </si>
  <si>
    <t>대가   12</t>
  </si>
  <si>
    <t xml:space="preserve"> 제   13 호표</t>
  </si>
  <si>
    <t>제  13호표</t>
  </si>
  <si>
    <t>수로형토사개거</t>
  </si>
  <si>
    <t>대가   13</t>
  </si>
  <si>
    <t xml:space="preserve"> 제   14 호표</t>
  </si>
  <si>
    <t>제  14호표</t>
  </si>
  <si>
    <t>돌붙임(채집)</t>
  </si>
  <si>
    <t>찰붙임 L3=45</t>
  </si>
  <si>
    <t>대가   14</t>
  </si>
  <si>
    <t xml:space="preserve"> 제   15 호표</t>
  </si>
  <si>
    <t>제  15호표</t>
  </si>
  <si>
    <t>관보호공(Φ800m/m)</t>
  </si>
  <si>
    <t>동물이동통로 돌집수정ㄴ형</t>
  </si>
  <si>
    <t>대가   15</t>
  </si>
  <si>
    <t xml:space="preserve"> 제   16 호표</t>
  </si>
  <si>
    <t>제  16호표</t>
  </si>
  <si>
    <t>동물이동통로 돌집수정ㄷ형</t>
  </si>
  <si>
    <t>대가   16</t>
  </si>
  <si>
    <t xml:space="preserve"> 제   17 호표</t>
  </si>
  <si>
    <t>제  17호표</t>
  </si>
  <si>
    <t>돌기슭막이(찰쌓기,기초무,구입)</t>
  </si>
  <si>
    <t>H=1.5  L3=45cm</t>
  </si>
  <si>
    <t>대가   17</t>
  </si>
  <si>
    <t xml:space="preserve"> 제   18 호표</t>
  </si>
  <si>
    <t>제  18호표</t>
  </si>
  <si>
    <t>돌기슭막이(메쌓기,기초무,구입)</t>
  </si>
  <si>
    <t>H=2.0  L3=45cm</t>
  </si>
  <si>
    <t>대가   18</t>
  </si>
  <si>
    <t xml:space="preserve"> 제   19 호표</t>
  </si>
  <si>
    <t>제  19호표</t>
  </si>
  <si>
    <t>H=2.5  L3=45cm</t>
  </si>
  <si>
    <t>대가   19</t>
  </si>
  <si>
    <t xml:space="preserve"> 제   20 호표</t>
  </si>
  <si>
    <t>제  20호표</t>
  </si>
  <si>
    <t>물넘이 집수부</t>
  </si>
  <si>
    <t>대가   20</t>
  </si>
  <si>
    <t xml:space="preserve"> 제   21 호표</t>
  </si>
  <si>
    <t>제  21호표</t>
  </si>
  <si>
    <t>콘크리트비빔</t>
  </si>
  <si>
    <t>기계비빔40mm</t>
  </si>
  <si>
    <t>대가   21</t>
  </si>
  <si>
    <t xml:space="preserve"> 제   22 호표</t>
  </si>
  <si>
    <t>제  22호표</t>
  </si>
  <si>
    <t>콘크리트포장(t=0.2m)</t>
  </si>
  <si>
    <t>물넘이</t>
  </si>
  <si>
    <t>대가   22</t>
  </si>
  <si>
    <t xml:space="preserve"> 제   23 호표</t>
  </si>
  <si>
    <t>제  23호표</t>
  </si>
  <si>
    <t>포장거푸집</t>
  </si>
  <si>
    <t>T=20cm(양면)</t>
  </si>
  <si>
    <t>대가   23</t>
  </si>
  <si>
    <t xml:space="preserve"> 제   24 호표</t>
  </si>
  <si>
    <t>제  24호표</t>
  </si>
  <si>
    <t>대가   24</t>
  </si>
  <si>
    <t xml:space="preserve"> 제   25 호표</t>
  </si>
  <si>
    <t>제  25호표</t>
  </si>
  <si>
    <t>대가   25</t>
  </si>
  <si>
    <t xml:space="preserve"> 제   26 호표</t>
  </si>
  <si>
    <t>제  26호표</t>
  </si>
  <si>
    <t>대가   26</t>
  </si>
  <si>
    <t xml:space="preserve"> 제   27 호표</t>
  </si>
  <si>
    <t>제  27호표</t>
  </si>
  <si>
    <t>메붙임</t>
  </si>
  <si>
    <t>대가   27</t>
  </si>
  <si>
    <t xml:space="preserve"> 제   28 호표</t>
  </si>
  <si>
    <t>제  28호표</t>
  </si>
  <si>
    <t>메붙임 L3=45</t>
  </si>
  <si>
    <t>대가   28</t>
  </si>
  <si>
    <t xml:space="preserve"> 제   29 호표</t>
  </si>
  <si>
    <t>제  29호표</t>
  </si>
  <si>
    <t>D=1200mm</t>
  </si>
  <si>
    <t>대가   29</t>
  </si>
  <si>
    <t xml:space="preserve"> 제   30 호표</t>
  </si>
  <si>
    <t>제  30호표</t>
  </si>
  <si>
    <t>기슭막이(H=2.0m)구입</t>
  </si>
  <si>
    <t>깬돌, 찰쌓기 L3=45</t>
  </si>
  <si>
    <t>대가   30</t>
  </si>
  <si>
    <t xml:space="preserve"> 제   31 호표</t>
  </si>
  <si>
    <t>제  31호표</t>
  </si>
  <si>
    <t>기슭막이(H=1.5m)채집</t>
  </si>
  <si>
    <t>깬돌, 메쌓기 L3=45</t>
  </si>
  <si>
    <t>대가   31</t>
  </si>
  <si>
    <t xml:space="preserve"> 제   32 호표</t>
  </si>
  <si>
    <t>제  32호표</t>
  </si>
  <si>
    <t>기슭막이(H=2.0m)채집</t>
  </si>
  <si>
    <t>대가   32</t>
  </si>
  <si>
    <t xml:space="preserve"> 제   33 호표</t>
  </si>
  <si>
    <t>제  33호표</t>
  </si>
  <si>
    <t>돌붙임(구입)</t>
  </si>
  <si>
    <t>L3=35 (찰붙임)</t>
  </si>
  <si>
    <t>대가   33</t>
  </si>
  <si>
    <t xml:space="preserve"> 제   34 호표</t>
  </si>
  <si>
    <t>제  34호표</t>
  </si>
  <si>
    <t>L3=35 (메붙임)</t>
  </si>
  <si>
    <t>대가   34</t>
  </si>
  <si>
    <t>단 가 산 출 근 거</t>
  </si>
  <si>
    <t>STmate</t>
  </si>
  <si>
    <t>단가산출근거 목록표</t>
  </si>
  <si>
    <t>암발파</t>
  </si>
  <si>
    <t>TYPE-V</t>
  </si>
  <si>
    <t>D00009</t>
  </si>
  <si>
    <t>측구파기(토사) 굴삭기0.4m3  / m3</t>
  </si>
  <si>
    <t>측구파기(토사)</t>
  </si>
  <si>
    <t>굴삭기0.4m3</t>
  </si>
  <si>
    <t>D00042</t>
  </si>
  <si>
    <t>구조물터파기(연암) 대형브레카+B/H0.7㎥  / m3</t>
  </si>
  <si>
    <t>구조물터파기(연암)</t>
  </si>
  <si>
    <t>대형브레카+B/H0.7㎥</t>
  </si>
  <si>
    <t>D00075</t>
  </si>
  <si>
    <t>콘크리트믹서사용 0.45 m3  / m3</t>
  </si>
  <si>
    <t>콘크리트믹서사용</t>
  </si>
  <si>
    <t>0.45 m3</t>
  </si>
  <si>
    <t>D00154</t>
  </si>
  <si>
    <t>노면정리 굴삭기 0.7m3  / m2</t>
  </si>
  <si>
    <t>노면정리</t>
  </si>
  <si>
    <t>굴삭기 0.7m3</t>
  </si>
  <si>
    <t>D00159</t>
  </si>
  <si>
    <t>뒷채움 150m/m 내외  / m3</t>
  </si>
  <si>
    <t>뒷채움</t>
  </si>
  <si>
    <t>150m/m 내외</t>
  </si>
  <si>
    <t>D00959</t>
  </si>
  <si>
    <t>막자갈채집 기계  / m3</t>
  </si>
  <si>
    <t>막자갈채집</t>
  </si>
  <si>
    <t>기계</t>
  </si>
  <si>
    <t>D01036</t>
  </si>
  <si>
    <t>유용토운반 무대  / m3</t>
  </si>
  <si>
    <t>유용토운반</t>
  </si>
  <si>
    <t>무대</t>
  </si>
  <si>
    <t>D01038</t>
  </si>
  <si>
    <t>성토사면다짐 굴삭기0.7m3  / m2</t>
  </si>
  <si>
    <t>성토사면다짐</t>
  </si>
  <si>
    <t>굴삭기0.7m3</t>
  </si>
  <si>
    <t>D01124</t>
  </si>
  <si>
    <t>고임돌채집 기계  / m3</t>
  </si>
  <si>
    <t>고임돌채집</t>
  </si>
  <si>
    <t>D01129</t>
  </si>
  <si>
    <t>야면석채집 L3=45cm내외  / m2</t>
  </si>
  <si>
    <t>야면석채집</t>
  </si>
  <si>
    <t>L3=45cm내외</t>
  </si>
  <si>
    <t>D01251</t>
  </si>
  <si>
    <t>측구파기(연암) 대형브레카+B/H0.7㎥  / m3</t>
  </si>
  <si>
    <t>측구파기(연암)</t>
  </si>
  <si>
    <t>D01341</t>
  </si>
  <si>
    <t>절토(토사) 굴삭기0.7m3  / m3</t>
  </si>
  <si>
    <t>절토(토사)</t>
  </si>
  <si>
    <t>D01343</t>
  </si>
  <si>
    <t>구조물터파기(토사) 굴삭기0.7m3  / m3</t>
  </si>
  <si>
    <t>구조물터파기(토사)</t>
  </si>
  <si>
    <t>D01344</t>
  </si>
  <si>
    <t>구조물 되메우기 굴삭기0.7m3  / m3</t>
  </si>
  <si>
    <t>구조물 되메우기</t>
  </si>
  <si>
    <t>D01874</t>
  </si>
  <si>
    <t>절토(연암) 굴삭기0.7m3+대형브레카  / m3</t>
  </si>
  <si>
    <t>절토(연암)</t>
  </si>
  <si>
    <t>굴삭기0.7m3+대형브레카</t>
  </si>
  <si>
    <t>D01989</t>
  </si>
  <si>
    <t>파쇄석운반(울진군 울진읍 대흥리) L=80.00km  / ton</t>
  </si>
  <si>
    <t>파쇄석운반(울진군 울진읍 대흥리)</t>
  </si>
  <si>
    <t>L=80.00km</t>
  </si>
  <si>
    <t>ton</t>
  </si>
  <si>
    <t>D02119</t>
  </si>
  <si>
    <t>야면석채집 L3=35cm내외  / m2</t>
  </si>
  <si>
    <t>L3=35cm내외</t>
  </si>
  <si>
    <t>D02139</t>
  </si>
  <si>
    <t>다지기 굴삭기0.7m3  / m3</t>
  </si>
  <si>
    <t>다지기</t>
  </si>
  <si>
    <t>D02145</t>
  </si>
  <si>
    <t>사토처리   / m3</t>
  </si>
  <si>
    <t>사토처리</t>
  </si>
  <si>
    <t>D02153</t>
  </si>
  <si>
    <t>중기운반(울진군 울진읍 대흥리) L=19.00km  / 대</t>
  </si>
  <si>
    <t>중기운반(울진군 울진읍 대흥리)</t>
  </si>
  <si>
    <t>L=19.00km</t>
  </si>
  <si>
    <t>대</t>
  </si>
  <si>
    <t>D02154</t>
  </si>
  <si>
    <t>모래운반(울진군 울진읍 대흥리) L=16.40km  / m3</t>
  </si>
  <si>
    <t>모래운반(울진군 울진읍 대흥리)</t>
  </si>
  <si>
    <t>L=16.40km</t>
  </si>
  <si>
    <t>D02155</t>
  </si>
  <si>
    <t>자갈운반(울진군 울진읍 대흥리) L=16.40km  / m3</t>
  </si>
  <si>
    <t>자갈운반(울진군 울진읍 대흥리)</t>
  </si>
  <si>
    <t>D02157</t>
  </si>
  <si>
    <t>시멘트운반(울진군 울진읍 대흥리) L=19.00km  / 대</t>
  </si>
  <si>
    <t>시멘트운반(울진군 울진읍 대흥리)</t>
  </si>
  <si>
    <t>D02172</t>
  </si>
  <si>
    <t>도자운반-토사 L=40.94m  / m3</t>
  </si>
  <si>
    <t>도자운반-토사</t>
  </si>
  <si>
    <t>L=40.94m</t>
  </si>
  <si>
    <t>D02173</t>
  </si>
  <si>
    <t>도자운반-암 L=39.13m  / m3</t>
  </si>
  <si>
    <t>도자운반-암</t>
  </si>
  <si>
    <t>L=39.13m</t>
  </si>
  <si>
    <t>D02174</t>
  </si>
  <si>
    <t>덤프운반-토사 L=64.00m  / m3</t>
  </si>
  <si>
    <t>덤프운반-토사</t>
  </si>
  <si>
    <t>L=64.00m</t>
  </si>
  <si>
    <t>D02175</t>
  </si>
  <si>
    <t>덤프운반-암 L=64.00m  / m3</t>
  </si>
  <si>
    <t>덤프운반-암</t>
  </si>
  <si>
    <t>D02195</t>
  </si>
  <si>
    <t>유로폼 설치 및 해체 간단  / m2</t>
  </si>
  <si>
    <t>유로폼 설치 및 해체</t>
  </si>
  <si>
    <t>간단</t>
  </si>
  <si>
    <t>D02200</t>
  </si>
  <si>
    <t>콘크리트비빔 채움재  / m3</t>
  </si>
  <si>
    <t>채움재</t>
  </si>
  <si>
    <t>D02242</t>
  </si>
  <si>
    <t>기계운반(울진군 울진읍 대흥리) L=19.00km  / 대</t>
  </si>
  <si>
    <t>기계운반(울진군 울진읍 대흥리)</t>
  </si>
  <si>
    <t>D02246</t>
  </si>
  <si>
    <t>유로폼 설치 및 해체 보통  / m2</t>
  </si>
  <si>
    <t>보통</t>
  </si>
  <si>
    <t>D02248</t>
  </si>
  <si>
    <t>콘크리트포장(B-type) t=20cm  / m2</t>
  </si>
  <si>
    <t>콘크리트포장(B-type)</t>
  </si>
  <si>
    <t>t=20cm</t>
  </si>
  <si>
    <t>D02251</t>
  </si>
  <si>
    <t>철근가공 및 조립 Type-Ⅱ-2,현장가공조립  / ton</t>
  </si>
  <si>
    <t>철근가공 및 조립</t>
  </si>
  <si>
    <t>Type-Ⅱ-2,현장가공조립</t>
  </si>
  <si>
    <t>D02252</t>
  </si>
  <si>
    <t>철근운반(울진군 울진읍 대흥리) L=19.00km  / 톤</t>
  </si>
  <si>
    <t>제  35호표</t>
  </si>
  <si>
    <t>철근운반(울진군 울진읍 대흥리)</t>
  </si>
  <si>
    <t>톤</t>
  </si>
  <si>
    <t>_x0007_'건설표준품셈  11-3(굴삭기) 적용'</t>
  </si>
  <si>
    <t>D02253</t>
  </si>
  <si>
    <t>제  36호표</t>
  </si>
  <si>
    <t>D02254</t>
  </si>
  <si>
    <t>도자운반-토사 L=43.66m  / m3</t>
  </si>
  <si>
    <t>제  37호표</t>
  </si>
  <si>
    <t>L=43.66m</t>
  </si>
  <si>
    <t>D02255</t>
  </si>
  <si>
    <t>도자운반-암 L=39.07m  / m3</t>
  </si>
  <si>
    <t>제  38호표</t>
  </si>
  <si>
    <t>L=39.07m</t>
  </si>
  <si>
    <t>D02256</t>
  </si>
  <si>
    <t>덤프운반-토사 L=293.78m  / m3</t>
  </si>
  <si>
    <t>제  39호표</t>
  </si>
  <si>
    <t>L=293.78m</t>
  </si>
  <si>
    <t>D02257</t>
  </si>
  <si>
    <t>덤프운반-암 L=318.60m  / m3</t>
  </si>
  <si>
    <t>제  40호표</t>
  </si>
  <si>
    <t>L=318.60m</t>
  </si>
  <si>
    <t>D02258</t>
  </si>
  <si>
    <t>도자운반-토사 L=38.30m  / m3</t>
  </si>
  <si>
    <t>제  41호표</t>
  </si>
  <si>
    <t>L=38.30m</t>
  </si>
  <si>
    <t>D02259</t>
  </si>
  <si>
    <t>도자운반-암 L=40.90m  / m3</t>
  </si>
  <si>
    <t>제  42호표</t>
  </si>
  <si>
    <t>L=40.90m</t>
  </si>
  <si>
    <t>D02260</t>
  </si>
  <si>
    <t>덤프운반-토사 L=385.00m  / m3</t>
  </si>
  <si>
    <t>제  43호표</t>
  </si>
  <si>
    <t>L=385.00m</t>
  </si>
  <si>
    <t>D02261</t>
  </si>
  <si>
    <t>덤프운반-암 L=353.00m  / m3</t>
  </si>
  <si>
    <t>제  44호표</t>
  </si>
  <si>
    <t>L=353.00m</t>
  </si>
  <si>
    <t>D02262</t>
  </si>
  <si>
    <t>레미콘타설 무근(장비사용타설)  / m3</t>
  </si>
  <si>
    <t>제  45호표</t>
  </si>
  <si>
    <t>레미콘타설</t>
  </si>
  <si>
    <t>무근(장비사용타설)</t>
  </si>
  <si>
    <t>D02263</t>
  </si>
  <si>
    <t>사토처리 대흥2공구 L=0.118km  / m3</t>
  </si>
  <si>
    <t>제  46호표</t>
  </si>
  <si>
    <t>대흥2공구 L=0.118km</t>
  </si>
  <si>
    <t>중 기 사 용 료</t>
  </si>
  <si>
    <t>수량부분 값 수정은 아래의 연두색 부분에</t>
  </si>
  <si>
    <t>중기 목록표</t>
  </si>
  <si>
    <t>불도우저19ton</t>
  </si>
  <si>
    <t>(토사)</t>
  </si>
  <si>
    <t>시간</t>
  </si>
  <si>
    <t>중기    1</t>
  </si>
  <si>
    <t>X00003</t>
  </si>
  <si>
    <t>굴삭기(0.2m3)</t>
  </si>
  <si>
    <t>중기    2</t>
  </si>
  <si>
    <t>X00004</t>
  </si>
  <si>
    <t>굴삭기(0.4m3)</t>
  </si>
  <si>
    <t>중기    3</t>
  </si>
  <si>
    <t>X00005</t>
  </si>
  <si>
    <t>굴삭기(0.7m3)</t>
  </si>
  <si>
    <t>중기    4</t>
  </si>
  <si>
    <t>X00006</t>
  </si>
  <si>
    <t>굴삭기(1.0m3)</t>
  </si>
  <si>
    <t>중기    5</t>
  </si>
  <si>
    <t>X00009</t>
  </si>
  <si>
    <t>0.7㎥,(암석)</t>
  </si>
  <si>
    <t>중기    6</t>
  </si>
  <si>
    <t>X00014</t>
  </si>
  <si>
    <t>굴삭기+브레카(0.7m3)</t>
  </si>
  <si>
    <t>중기    7</t>
  </si>
  <si>
    <t>X00028</t>
  </si>
  <si>
    <t>덤프트럭15ton(토사)</t>
  </si>
  <si>
    <t>중기    8</t>
  </si>
  <si>
    <t>X00030</t>
  </si>
  <si>
    <t>덤프트럭10.5ton(암)</t>
  </si>
  <si>
    <t>할증율:1.25</t>
  </si>
  <si>
    <t>중기    9</t>
  </si>
  <si>
    <t>X00031</t>
  </si>
  <si>
    <t>덤프트럭15ton(암)</t>
  </si>
  <si>
    <t>중기   10</t>
  </si>
  <si>
    <t>X00032</t>
  </si>
  <si>
    <t>덤프자동덮개</t>
  </si>
  <si>
    <t>15톤</t>
  </si>
  <si>
    <t>중기   11</t>
  </si>
  <si>
    <t>X00044</t>
  </si>
  <si>
    <t>트럭탑재형크레인</t>
  </si>
  <si>
    <t>5톤</t>
  </si>
  <si>
    <t>중기   12</t>
  </si>
  <si>
    <t>X00046</t>
  </si>
  <si>
    <t>트럭 트랙터 및 평판트레일러</t>
  </si>
  <si>
    <t>20Ton</t>
  </si>
  <si>
    <t>중기   13</t>
  </si>
  <si>
    <t>X00048</t>
  </si>
  <si>
    <t>콘크리트믹서0.45m3</t>
  </si>
  <si>
    <t>중기   14</t>
  </si>
  <si>
    <t>X00055</t>
  </si>
  <si>
    <t>크로울러드릴</t>
  </si>
  <si>
    <t>탑승유압식</t>
  </si>
  <si>
    <t>중기   15</t>
  </si>
  <si>
    <t>X00074</t>
  </si>
  <si>
    <t>덤프트럭2.5ton(토사)</t>
  </si>
  <si>
    <t>중기   16</t>
  </si>
  <si>
    <t>X00084</t>
  </si>
  <si>
    <t>(암)</t>
  </si>
  <si>
    <t>중기   17</t>
  </si>
  <si>
    <t>X00086</t>
  </si>
  <si>
    <t>24톤</t>
  </si>
  <si>
    <t>중기   18</t>
  </si>
  <si>
    <t>X00087</t>
  </si>
  <si>
    <t>덤프트럭24ton(토사)</t>
  </si>
  <si>
    <t>중기   19</t>
  </si>
  <si>
    <t>X00089</t>
  </si>
  <si>
    <t>굴삭기+부착용 집게(0.6m3)</t>
  </si>
  <si>
    <t>중기   20</t>
  </si>
  <si>
    <t>X00092</t>
  </si>
  <si>
    <t>덤프트럭4.5ton(암)</t>
  </si>
  <si>
    <t>중기   21</t>
  </si>
  <si>
    <t>X00099</t>
  </si>
  <si>
    <t>굴삭기+진동콤팩터</t>
  </si>
  <si>
    <t>0.7m3</t>
  </si>
  <si>
    <t>중기   22</t>
  </si>
  <si>
    <t>X00101</t>
  </si>
  <si>
    <t>할증율:1.20</t>
  </si>
  <si>
    <t>중기   23</t>
  </si>
  <si>
    <t>X00102</t>
  </si>
  <si>
    <t>덤프트럭</t>
  </si>
  <si>
    <t>10.5톤</t>
  </si>
  <si>
    <t>중기   24</t>
  </si>
  <si>
    <t>X00105</t>
  </si>
  <si>
    <t>굴삭기(타이어)</t>
  </si>
  <si>
    <t>0.6㎥,(부착용집게,0.7~0.8㎥)</t>
  </si>
  <si>
    <t>중기   25</t>
  </si>
  <si>
    <t>재료비 수량,금액 집계표</t>
  </si>
  <si>
    <t>재료비 목록표</t>
  </si>
  <si>
    <t>단   가</t>
  </si>
  <si>
    <t xml:space="preserve">   1</t>
  </si>
  <si>
    <t>휘발유</t>
  </si>
  <si>
    <t>L</t>
  </si>
  <si>
    <t>자재    1</t>
  </si>
  <si>
    <t>_x0007_`COD|M00001_x0005_`QTY1|1_x0005_`BQC|2024.02_x0005_`EQC|_x0005_`JDC|_x0005_`WQC|_x0005_`EDT|_x0005_`</t>
  </si>
  <si>
    <t xml:space="preserve">   2</t>
  </si>
  <si>
    <t>경유</t>
  </si>
  <si>
    <t>저유황(0.05%)</t>
  </si>
  <si>
    <t>자재    2</t>
  </si>
  <si>
    <t>_x0007_`COD|M00003_x0005_`QTY1|1_x0005_`BQC|2024.02_x0005_`EQC|_x0005_`JDC|_x0005_`WQC|_x0005_`EDT|_x0005_`</t>
  </si>
  <si>
    <t xml:space="preserve">   3</t>
  </si>
  <si>
    <t>각재</t>
  </si>
  <si>
    <t>외송</t>
  </si>
  <si>
    <t>M3</t>
  </si>
  <si>
    <t>31</t>
  </si>
  <si>
    <t>_x0007_`COD|M00004_x0005_`QTY1|1_x0005_`BQC|2024.01_x0005_`EQC|_x0005_`JDC|_x0005_`WQC|_x0005_`EDT|_x0005_`</t>
  </si>
  <si>
    <t xml:space="preserve">   4</t>
  </si>
  <si>
    <t>못</t>
  </si>
  <si>
    <t>N 50</t>
  </si>
  <si>
    <t>KG</t>
  </si>
  <si>
    <t>97</t>
  </si>
  <si>
    <t>_x0007_`COD|M00005_x0005_`QTY1|1_x0005_`BQC|2024.01_x0005_`EQC|_x0005_`JDC|_x0005_`WQC|_x0005_`EDT|_x0005_`</t>
  </si>
  <si>
    <t xml:space="preserve">   5</t>
  </si>
  <si>
    <t>판재</t>
  </si>
  <si>
    <t>754</t>
  </si>
  <si>
    <t>_x0007_`COD|M00007_x0005_`QTY1|1_x0005_`BQC|2024.01_x0005_`EQC|_x0005_`JDC|_x0005_`WQC|_x0005_`EDT|_x0005_`</t>
  </si>
  <si>
    <t xml:space="preserve">   6</t>
  </si>
  <si>
    <t>전기뇌관</t>
  </si>
  <si>
    <t>(3.5m)</t>
  </si>
  <si>
    <t>개</t>
  </si>
  <si>
    <t>457</t>
  </si>
  <si>
    <t>_x0007_`COD|M00018_x0005_`QTY1|1_x0005_`BQC|2024.01_x0005_`EQC|_x0005_`JDC|_x0005_`WQC|_x0005_`EDT|_x0005_`</t>
  </si>
  <si>
    <t xml:space="preserve">   7</t>
  </si>
  <si>
    <t>폭약</t>
  </si>
  <si>
    <t>(28m/m(메가바이트))</t>
  </si>
  <si>
    <t>444</t>
  </si>
  <si>
    <t>_x0007_`COD|M00034_x0005_`QTY1|1_x0005_`BQC|2024.01_x0005_`EQC|_x0005_`JDC|_x0005_`WQC|_x0005_`EDT|_x0005_`</t>
  </si>
  <si>
    <t xml:space="preserve">   8</t>
  </si>
  <si>
    <t>화강석</t>
  </si>
  <si>
    <t>거창석</t>
  </si>
  <si>
    <t>734</t>
  </si>
  <si>
    <t>_x0007_`COD|M00075_x0005_`QTY1|1_x0005_`BQC|2024.01_x0005_`EQC|_x0005_`JDC|_x0005_`WQC|_x0005_`EDT|_x0005_`</t>
  </si>
  <si>
    <t xml:space="preserve">   9</t>
  </si>
  <si>
    <t>P.V.C PIPE</t>
  </si>
  <si>
    <t>VG2(50m/m)</t>
  </si>
  <si>
    <t>M</t>
  </si>
  <si>
    <t>B01143_1</t>
  </si>
  <si>
    <t>_x0007_`COD|M00082_x0005_`QTY1|1_x0005_`BQC|2024.01_x0005_`EQC|_x0005_`JDC|_x0005_`WQC|_x0005_`EDT|_x0005_`</t>
  </si>
  <si>
    <t xml:space="preserve">  10</t>
  </si>
  <si>
    <t>잡재료비</t>
  </si>
  <si>
    <t>재료비의 %</t>
  </si>
  <si>
    <t>%</t>
  </si>
  <si>
    <t>대가   8호표</t>
  </si>
  <si>
    <t>_x0007_`COD|M00090_x0005_`QTY1|1_x0005_`UNT|M%_x0005_`BQC|_x0005_`EQC|_x0005_`JDC|_x0005_`WQC|_x0005_`EDT|_x0005_`</t>
  </si>
  <si>
    <t xml:space="preserve">  11</t>
  </si>
  <si>
    <t>잡품</t>
  </si>
  <si>
    <t>주연료의 %</t>
  </si>
  <si>
    <t>_x0007_`COD|B00467_x0005_`QTY1|1_x0005_`EXI|0_x0005_`IPR|0_x0005_`BLA|F_x0005_`</t>
  </si>
  <si>
    <t>_x0007_`COD|M00093_x0005_`QTY1|1_x0005_`UNT|M%_x0005_`BQC|_x0005_`EQC|_x0005_`JDC|_x0005_`WQC|_x0005_`EDT|_x0005_`</t>
  </si>
  <si>
    <t xml:space="preserve">  12</t>
  </si>
  <si>
    <t>조달수수료</t>
  </si>
  <si>
    <t>재료비*0.54%</t>
  </si>
  <si>
    <t>B00467_1</t>
  </si>
  <si>
    <t>_x0007_`COD|M00095_x0005_`QTY1|1_x0005_`UNT|M%_x0005_`BQC|_x0005_`EQC|_x0005_`JDC|_x0005_`WQC|_x0005_`EDT|_x0005_`</t>
  </si>
  <si>
    <t xml:space="preserve">  13</t>
  </si>
  <si>
    <t>잡유</t>
  </si>
  <si>
    <t>대가   5호표</t>
  </si>
  <si>
    <t>_x0007_`COD|M00099_x0005_`QTY1|1_x0005_`UNT|M%_x0005_`BQC|_x0005_`EQC|_x0005_`JDC|_x0005_`WQC|_x0005_`EDT|_x0005_`</t>
  </si>
  <si>
    <t xml:space="preserve">  14</t>
  </si>
  <si>
    <t>시멘트</t>
  </si>
  <si>
    <t>별도계상</t>
  </si>
  <si>
    <t>107</t>
  </si>
  <si>
    <t>_x0007_`COD|M00101_x0005_`QTY1|1_x0005_`BQC|_x0005_`EQC|_x0005_`JDC|_x0005_`WQC|_x0005_`EDT|_x0005_`</t>
  </si>
  <si>
    <t xml:space="preserve">  15</t>
  </si>
  <si>
    <t>모 래</t>
  </si>
  <si>
    <t>88</t>
  </si>
  <si>
    <t>_x0007_`COD|M00103_x0005_`QTY1|1_x0005_`BQC|_x0005_`EQC|_x0005_`JDC|_x0005_`WQC|_x0005_`EDT|_x0005_`</t>
  </si>
  <si>
    <t xml:space="preserve">  16</t>
  </si>
  <si>
    <t>패널(유로폼)</t>
  </si>
  <si>
    <t>600*1200mm</t>
  </si>
  <si>
    <t>매</t>
  </si>
  <si>
    <t>_x0007_`COD|B00194_x0005_`QTY1|1_x0005_`EXI|0_x0005_`IPR|0_x0005_`BLA|F_x0005_`</t>
  </si>
  <si>
    <t>_x0007_`COD|M00112_x0005_`QTY1|1_x0005_`BQC|2024.01_x0005_`EQC|_x0005_`JDC|_x0005_`WQC|_x0005_`EDT|_x0005_`</t>
  </si>
  <si>
    <t xml:space="preserve">  17</t>
  </si>
  <si>
    <t>내부코너패널(유로폼)</t>
  </si>
  <si>
    <t>(100+200)*1200mm</t>
  </si>
  <si>
    <t>E2_1</t>
  </si>
  <si>
    <t>_x0007_`COD|M00113_x0005_`QTY1|1_x0005_`BQC|2024.01_x0005_`EQC|_x0005_`JDC|_x0005_`WQC|_x0005_`EDT|_x0005_`</t>
  </si>
  <si>
    <t xml:space="preserve">  18</t>
  </si>
  <si>
    <t>파형강관(1000M/M)</t>
  </si>
  <si>
    <t>B00194_1</t>
  </si>
  <si>
    <t>_x0007_`COD|M00219_x0005_`QTY1|1_x0005_`BQC|_x0005_`EQC|_x0005_`JDC|_x0005_`WQC|_x0005_`EDT|_x0005_`</t>
  </si>
  <si>
    <t xml:space="preserve">  19</t>
  </si>
  <si>
    <t>파형강관(800mm)</t>
  </si>
  <si>
    <t>1076</t>
  </si>
  <si>
    <t>_x0007_`COD|M00222_x0005_`QTY1|1_x0005_`BQC|_x0005_`EQC|_x0005_`JDC|_x0005_`WQC|_x0005_`EDT|_x0005_`</t>
  </si>
  <si>
    <t xml:space="preserve">  20</t>
  </si>
  <si>
    <t>치즐</t>
  </si>
  <si>
    <t>준비공</t>
  </si>
  <si>
    <t>_x0007_`COD|M00292_x0005_`QTY1|1_x0005_`BQC|2023.01_x0005_`EQC|_x0005_`JDC|_x0005_`WQC|_x0005_`EDT|_x0005_`</t>
  </si>
  <si>
    <t xml:space="preserve">  21</t>
  </si>
  <si>
    <t>시 멘 트</t>
  </si>
  <si>
    <t>40Kg/포</t>
  </si>
  <si>
    <t>1.1</t>
  </si>
  <si>
    <t>_x0007_`COD|M00299_x0005_`QTY1|1_x0005_`BQC|2024.01_x0005_`EQC|_x0005_`JDC|_x0005_`WQC|_x0005_`EDT|_x0005_`</t>
  </si>
  <si>
    <t xml:space="preserve">  22</t>
  </si>
  <si>
    <t>자 갈(40m/m)</t>
  </si>
  <si>
    <t>울진</t>
  </si>
  <si>
    <t>E3_1</t>
  </si>
  <si>
    <t>_x0007_`COD|M00495_x0005_`QTY1|1_x0005_`BQC|2024.01_x0005_`EQC|_x0005_`JDC|_x0005_`WQC|_x0005_`EDT|_x0005_`</t>
  </si>
  <si>
    <t xml:space="preserve">  23</t>
  </si>
  <si>
    <t>CMT_1</t>
  </si>
  <si>
    <t>_x0007_`COD|M00580_x0005_`QTY1|1_x0005_`UNT|M%_x0005_`BQC|_x0005_`EQC|_x0005_`JDC|_x0005_`WQC|_x0005_`EDT|_x0005_`</t>
  </si>
  <si>
    <t xml:space="preserve">  24</t>
  </si>
  <si>
    <t>모래</t>
  </si>
  <si>
    <t>토공사</t>
  </si>
  <si>
    <t>_x0007_`COD|M00782_x0005_`QTY1|1_x0005_`BQC|2024.01_x0005_`EQC|_x0005_`JDC|_x0005_`WQC|_x0005_`EDT|_x0005_`</t>
  </si>
  <si>
    <t xml:space="preserve">  25</t>
  </si>
  <si>
    <t>파쇄암</t>
  </si>
  <si>
    <t>㎡</t>
  </si>
  <si>
    <t>1.</t>
  </si>
  <si>
    <t>_x0007_`COD|M00792_x0005_`QTY1|1_x0005_`BQC|_x0005_`EQC|_x0005_`JDC|_x0005_`WQC|_x0005_`EDT|_x0005_`</t>
  </si>
  <si>
    <t xml:space="preserve">  26</t>
  </si>
  <si>
    <t>파형강관</t>
  </si>
  <si>
    <t>Φ800m/m, 2.7t</t>
  </si>
  <si>
    <t>E4_1</t>
  </si>
  <si>
    <t>_x0007_`COD|M00798_x0005_`QTY1|1_x0005_`BQC|2024.01_x0005_`EQC|거양_x0005_`JDC|_x0005_`WQC|_x0005_`EDT|_x0005_`</t>
  </si>
  <si>
    <t xml:space="preserve">  27</t>
  </si>
  <si>
    <t>공구손료</t>
  </si>
  <si>
    <t>인건비의 %</t>
  </si>
  <si>
    <t>관급자재대</t>
  </si>
  <si>
    <t>_x0007_`COD|M00920_x0005_`QTY1|1_x0005_`UNT|L%_x0005_`BQC|_x0005_`EQC|_x0005_`JDC|_x0005_`WQC|_x0005_`EDT|_x0005_`</t>
  </si>
  <si>
    <t xml:space="preserve">  28</t>
  </si>
  <si>
    <t>국가지점번호판</t>
  </si>
  <si>
    <t>임도(말뚝형)</t>
  </si>
  <si>
    <t>L=1.20km</t>
  </si>
  <si>
    <t>_x0007_`COD|M00921_x0005_`QTY1|1_x0005_`BQC|2024.01_x0005_`EQC|_x0005_`JDC|_x0005_`WQC|_x0005_`EDT|_x0005_`</t>
  </si>
  <si>
    <t xml:space="preserve">  29</t>
  </si>
  <si>
    <t>상차가(영덕 축산)</t>
  </si>
  <si>
    <t>1공구</t>
  </si>
  <si>
    <t>_x0007_`COD|M00924_x0005_`QTY1|1_x0005_`BQC|2024.01_x0005_`EQC|_x0005_`JDC|_x0005_`WQC|_x0005_`EDT|_x0005_`</t>
  </si>
  <si>
    <t xml:space="preserve">  30</t>
  </si>
  <si>
    <t>Φ1000m/m, 2.7t</t>
  </si>
  <si>
    <t>인터넷</t>
  </si>
  <si>
    <t>_x0007_`COD|M00934_x0005_`QTY1|1_x0005_`BQC|2024.01_x0005_`EQC|거양_x0005_`JDC|_x0005_`WQC|_x0005_`EDT|_x0005_`</t>
  </si>
  <si>
    <t xml:space="preserve">  31</t>
  </si>
  <si>
    <t>면목</t>
  </si>
  <si>
    <t>A25</t>
  </si>
  <si>
    <t xml:space="preserve"> □</t>
  </si>
  <si>
    <t>_x0007_`COD|M00938_x0005_`QTY1|1_x0005_`BQC|_x0005_`EQC|_x0005_`JDC|_x0005_`WQC|_x0005_`EDT|_x0005_`</t>
  </si>
  <si>
    <t xml:space="preserve">  32</t>
  </si>
  <si>
    <t>(100x200)x1200mm</t>
  </si>
  <si>
    <t>E5_1</t>
  </si>
  <si>
    <t>_x0007_`COD|M00939_x0005_`QTY1|1_x0005_`BQC|24년 1월_x0005_`EQC|_x0005_`JDC|_x0005_`WQC|_x0005_`EDT|_x0005_`</t>
  </si>
  <si>
    <t xml:space="preserve">  33</t>
  </si>
  <si>
    <t>와이어메쉬</t>
  </si>
  <si>
    <t>#6-100mm×100mm</t>
  </si>
  <si>
    <t>_x0007_`COD|_x0005_`QTY1|1_x0005_`EXI|1_x0005_`ITT|0_x0005_`PSKP|1_x0005_`</t>
  </si>
  <si>
    <t>_x0007_`COD|M00940_x0005_`QTY1|1_x0005_`BQC|2024.01_x0005_`EQC|거양_x0005_`JDC|_x0005_`WQC|_x0005_`EDT|_x0005_`</t>
  </si>
  <si>
    <t xml:space="preserve">  34</t>
  </si>
  <si>
    <t>자 갈</t>
  </si>
  <si>
    <t>27</t>
  </si>
  <si>
    <t>_x0007_`COD|M00941_x0005_`QTY1|1_x0005_`BQC|_x0005_`EQC|_x0005_`JDC|_x0005_`WQC|_x0005_`EDT|_x0005_`</t>
  </si>
  <si>
    <t xml:space="preserve">  35</t>
  </si>
  <si>
    <t>결속선(철선)</t>
  </si>
  <si>
    <t>#20 , 0.9M/M</t>
  </si>
  <si>
    <t>울진 울진 대흥 산65</t>
  </si>
  <si>
    <t>_x0007_`COD|M00943_x0005_`QTY1|1_x0005_`BQC|24.01_x0005_`EQC|_x0005_`JDC|_x0005_`WQC|_x0005_`EDT|_x0005_`</t>
  </si>
  <si>
    <t xml:space="preserve">  36</t>
  </si>
  <si>
    <t>이형철근,SD400</t>
  </si>
  <si>
    <t>HD16m/m</t>
  </si>
  <si>
    <t>TON</t>
  </si>
  <si>
    <t>2024년 간선임도사업(기번3)</t>
  </si>
  <si>
    <t>_x0007_`COD|M00944_x0005_`QTY1|1_x0005_`BQC|_x0005_`EQC|_x0005_`JDC|_x0005_`WQC|_x0005_`EDT|_x0005_`</t>
  </si>
  <si>
    <t xml:space="preserve">  37</t>
  </si>
  <si>
    <t>파형강관이음관</t>
  </si>
  <si>
    <t>Φ800m/m</t>
  </si>
  <si>
    <t>□</t>
  </si>
  <si>
    <t>_x0007_`COD|M00945_x0005_`QTY1|1_x0005_`BQC|2024.01_x0005_`EQC|거양_x0005_`JDC|_x0005_`WQC|_x0005_`EDT|_x0005_`</t>
  </si>
  <si>
    <t xml:space="preserve">  38</t>
  </si>
  <si>
    <t>Φ1000m/m</t>
  </si>
  <si>
    <t>E10_1</t>
  </si>
  <si>
    <t>_x0007_`COD|M00946_x0005_`QTY1|1_x0005_`BQC|2024.01_x0005_`EQC|거양_x0005_`JDC|_x0005_`WQC|_x0005_`EDT|_x0005_`</t>
  </si>
  <si>
    <t xml:space="preserve">  39</t>
  </si>
  <si>
    <t>저유황</t>
  </si>
  <si>
    <t>자재   39</t>
  </si>
  <si>
    <t>_x0007_`COD|M00947_x0005_`QTY1|1_x0005_`BQC|24년_x0005_`EQC|_x0005_`JDC|1510150520282163_x0005_`WQC|_x0005_`EDT|2024.01.02_x0005_`</t>
  </si>
  <si>
    <t xml:space="preserve">  40</t>
  </si>
  <si>
    <t>깬돌(L3=45cm)</t>
  </si>
  <si>
    <t>_x0007_`JTYP|0_x0005_`ACTL|F_x0005_`</t>
  </si>
  <si>
    <t>_x0007_`COD|M00948_x0005_`QTY1|1_x0005_`BQC|_x0005_`EQC|_x0005_`JDC|_x0005_`WQC|_x0005_`EDT|_x0005_`</t>
  </si>
  <si>
    <t xml:space="preserve">  41</t>
  </si>
  <si>
    <t>파형강관(68X13,1RS)</t>
  </si>
  <si>
    <t>금    액</t>
  </si>
  <si>
    <t>_x0007_`COD|M00949_x0005_`QTY1|1_x0005_`BQC|_x0005_`EQC|_x0005_`JDC|_x0005_`WQC|_x0005_`EDT|_x0005_`</t>
  </si>
  <si>
    <t xml:space="preserve">  42</t>
  </si>
  <si>
    <t>공구손료 및 잡재료</t>
  </si>
  <si>
    <t>노무비의 %</t>
  </si>
  <si>
    <t>_x0007_`COD|M00950_x0005_`QTY1|1_x0005_`UNT|L%_x0005_`BQC|_x0005_`EQC|_x0005_`JDC|_x0005_`WQC|_x0005_`EDT|_x0005_`</t>
  </si>
  <si>
    <t xml:space="preserve">  43</t>
  </si>
  <si>
    <t>깬돌(L3=35cm)</t>
  </si>
  <si>
    <t>수   량</t>
  </si>
  <si>
    <t>_x0007_`COD|M00951_x0005_`QTY1|1_x0005_`BQC|_x0005_`EQC|_x0005_`JDC|_x0005_`WQC|_x0005_`EDT|_x0005_`</t>
  </si>
  <si>
    <t xml:space="preserve">  44</t>
  </si>
  <si>
    <t>레미콘(울진)</t>
  </si>
  <si>
    <t>25-18-80</t>
  </si>
  <si>
    <t>거양</t>
  </si>
  <si>
    <t>_x0007_`COD|M00952_x0005_`QTY1|1_x0005_`BQC|240308_x0005_`EQC|_x0005_`JDC|_x0005_`WQC|_x0005_`EDT|_x0005_`</t>
  </si>
  <si>
    <t xml:space="preserve">  45</t>
  </si>
  <si>
    <t>Φ1200m/m, 3.2t</t>
  </si>
  <si>
    <t>공   종</t>
  </si>
  <si>
    <t>_x0007_`COD|M00953_x0005_`QTY1|1_x0005_`BQC|_x0005_`EQC|조달_x0005_`JDC|_x0005_`WQC|_x0005_`EDT|_x0005_`</t>
  </si>
  <si>
    <t xml:space="preserve">  46</t>
  </si>
  <si>
    <t>Φ1200m/m</t>
  </si>
  <si>
    <t>설 계 내 역 서</t>
  </si>
  <si>
    <t>_x0007_`COD|M00954_x0005_`QTY1|1_x0005_`BQC|2024.01_x0005_`EQC|거양_x0005_`JDC|_x0005_`WQC|_x0005_`EDT|_x0005_`</t>
  </si>
  <si>
    <t>노무비 목록표</t>
  </si>
  <si>
    <t>건축목공</t>
  </si>
  <si>
    <t>인</t>
  </si>
  <si>
    <t>노무    1</t>
  </si>
  <si>
    <t>_x0007_`COD|L00001_x0005_`QTY1|1_x0005_`BQC|2024.01_x0005_`EQC|_x0005_`JDC|_x0005_`WQC|_x0005_`EDT|_x0005_`</t>
  </si>
  <si>
    <t>형틀목공</t>
  </si>
  <si>
    <t>노무    2</t>
  </si>
  <si>
    <t>_x0007_`COD|L00002_x0005_`QTY1|1_x0005_`BQC|2024.01_x0005_`EQC|_x0005_`JDC|_x0005_`WQC|_x0005_`EDT|_x0005_`</t>
  </si>
  <si>
    <t>석공</t>
  </si>
  <si>
    <t>노무    3</t>
  </si>
  <si>
    <t>_x0007_`COD|L00005_x0005_`QTY1|1_x0005_`BQC|2024.01_x0005_`EQC|_x0005_`JDC|_x0005_`WQC|_x0005_`EDT|_x0005_`</t>
  </si>
  <si>
    <t>콘크리트공</t>
  </si>
  <si>
    <t>노무    4</t>
  </si>
  <si>
    <t>_x0007_`COD|L00007_x0005_`QTY1|1_x0005_`BQC|2024.01_x0005_`EQC|_x0005_`JDC|_x0005_`WQC|_x0005_`EDT|_x0005_`</t>
  </si>
  <si>
    <t>화약취급공</t>
  </si>
  <si>
    <t>노무    5</t>
  </si>
  <si>
    <t>_x0007_`COD|L00010_x0005_`QTY1|1_x0005_`BQC|2024.01_x0005_`EQC|_x0005_`JDC|_x0005_`WQC|_x0005_`EDT|_x0005_`</t>
  </si>
  <si>
    <t>보통인부</t>
  </si>
  <si>
    <t>노무    6</t>
  </si>
  <si>
    <t>_x0007_`COD|L00017_x0005_`QTY1|1_x0005_`BQC|2024.01_x0005_`EQC|_x0005_`JDC|_x0005_`WQC|_x0005_`EDT|_x0005_`</t>
  </si>
  <si>
    <t>건설기계운전사</t>
  </si>
  <si>
    <t>노무    7</t>
  </si>
  <si>
    <t>_x0007_`COD|L00018_x0005_`QTY1|1_x0005_`BQC|2024.01_x0005_`EQC|_x0005_`JDC|_x0005_`WQC|_x0005_`EDT|_x0005_`</t>
  </si>
  <si>
    <t>화물차운전사</t>
  </si>
  <si>
    <t>노무    8</t>
  </si>
  <si>
    <t>_x0007_`COD|L00020_x0005_`QTY1|1_x0005_`BQC|2024.01_x0005_`EQC|_x0005_`JDC|_x0005_`WQC|_x0005_`EDT|_x0005_`</t>
  </si>
  <si>
    <t>일반기계운전사</t>
  </si>
  <si>
    <t>노무    9</t>
  </si>
  <si>
    <t>_x0007_`COD|L00021_x0005_`QTY1|1_x0005_`BQC|2024.01_x0005_`EQC|_x0005_`JDC|_x0005_`WQC|_x0005_`EDT|_x0005_`</t>
  </si>
  <si>
    <t>배관공(수도)</t>
  </si>
  <si>
    <t>노무   10</t>
  </si>
  <si>
    <t>_x0007_`COD|L00032_x0005_`QTY1|1_x0005_`BQC|2024.01_x0005_`EQC|_x0005_`JDC|_x0005_`WQC|_x0005_`EDT|_x0005_`</t>
  </si>
  <si>
    <t>철근공</t>
  </si>
  <si>
    <t>노무   11</t>
  </si>
  <si>
    <t>_x0007_`COD|L00033_x0005_`QTY1|1_x0005_`BQC|01000000007_x0005_`EQC|01000001008_x0005_`JDC|L001010101000008_x0005_`WQC|_x0005_`EDT|2024.상_x0005_`</t>
  </si>
  <si>
    <t>포장공</t>
  </si>
  <si>
    <t>노무   12</t>
  </si>
  <si>
    <t>_x0007_`COD|L00034_x0005_`QTY1|1_x0005_`BQC|01000000038_x0005_`EQC|01000001019_x0005_`JDC|L001010101000019_x0005_`WQC|_x0005_`EDT|2024.상_x0005_`</t>
  </si>
  <si>
    <t>경비 목록표</t>
  </si>
  <si>
    <t>불도우져19TON</t>
  </si>
  <si>
    <t>천원</t>
  </si>
  <si>
    <t>경비    1</t>
  </si>
  <si>
    <t>_x0007_`COD|S00001_x0005_`QTY1|1_x0005_`BQC|_x0005_`EQC|_x0005_`JDC|_x0005_`WQC|_x0005_`EDT|_x0005_`</t>
  </si>
  <si>
    <t>무한궤도</t>
  </si>
  <si>
    <t>경비    2</t>
  </si>
  <si>
    <t>_x0007_`COD|S00003_x0005_`QTY1|1_x0005_`BQC|_x0005_`EQC|_x0005_`JDC|_x0005_`WQC|_x0005_`EDT|_x0005_`</t>
  </si>
  <si>
    <t>경비    3</t>
  </si>
  <si>
    <t>_x0007_`COD|S00004_x0005_`QTY1|1_x0005_`BQC|_x0005_`EQC|_x0005_`JDC|_x0005_`WQC|_x0005_`EDT|_x0005_`</t>
  </si>
  <si>
    <t>경비    4</t>
  </si>
  <si>
    <t>_x0007_`COD|S00005_x0005_`QTY1|1_x0005_`BQC|_x0005_`EQC|_x0005_`JDC|_x0005_`WQC|_x0005_`EDT|_x0005_`</t>
  </si>
  <si>
    <t>경비    5</t>
  </si>
  <si>
    <t>_x0007_`COD|S00006_x0005_`QTY1|1_x0005_`BQC|_x0005_`EQC|_x0005_`JDC|_x0005_`WQC|_x0005_`EDT|_x0005_`</t>
  </si>
  <si>
    <t>대형브레이카(0.7m3)</t>
  </si>
  <si>
    <t>경비    6</t>
  </si>
  <si>
    <t>_x0007_`COD|S00008_x0005_`QTY1|1_x0005_`BQC|_x0005_`EQC|_x0005_`JDC|_x0005_`WQC|_x0005_`EDT|_x0005_`</t>
  </si>
  <si>
    <t>덤프트럭4.5톤</t>
  </si>
  <si>
    <t>경비    7</t>
  </si>
  <si>
    <t>_x0007_`COD|S00017_x0005_`QTY1|1_x0005_`BQC|_x0005_`EQC|_x0005_`JDC|_x0005_`WQC|_x0005_`EDT|_x0005_`</t>
  </si>
  <si>
    <t>덤프트럭10.5톤</t>
  </si>
  <si>
    <t>경비    8</t>
  </si>
  <si>
    <t>_x0007_`COD|S00020_x0005_`QTY1|1_x0005_`BQC|_x0005_`EQC|_x0005_`JDC|_x0005_`WQC|_x0005_`EDT|_x0005_`</t>
  </si>
  <si>
    <t>덤프트럭15.0톤</t>
  </si>
  <si>
    <t>경비    9</t>
  </si>
  <si>
    <t>_x0007_`COD|S00021_x0005_`QTY1|1_x0005_`BQC|_x0005_`EQC|_x0005_`JDC|_x0005_`WQC|_x0005_`EDT|_x0005_`</t>
  </si>
  <si>
    <t>경비   10</t>
  </si>
  <si>
    <t>_x0007_`COD|S00022_x0005_`QTY1|1_x0005_`BQC|_x0005_`EQC|_x0005_`JDC|_x0005_`WQC|_x0005_`EDT|_x0005_`</t>
  </si>
  <si>
    <t>유압식진동콤팩터</t>
  </si>
  <si>
    <t>0.7m3 굴삭기용</t>
  </si>
  <si>
    <t>경비   11</t>
  </si>
  <si>
    <t>_x0007_`COD|S00023_x0005_`QTY1|1_x0005_`BQC|_x0005_`EQC|_x0005_`JDC|_x0005_`WQC|_x0005_`EDT|_x0005_`</t>
  </si>
  <si>
    <t>경비   12</t>
  </si>
  <si>
    <t>_x0007_`COD|S00036_x0005_`QTY1|1_x0005_`BQC|_x0005_`EQC|_x0005_`JDC|_x0005_`WQC|_x0005_`EDT|_x0005_`</t>
  </si>
  <si>
    <t>경비   13</t>
  </si>
  <si>
    <t>_x0007_`COD|S00038_x0005_`QTY1|1_x0005_`BQC|_x0005_`EQC|_x0005_`JDC|_x0005_`WQC|_x0005_`EDT|_x0005_`</t>
  </si>
  <si>
    <t>크로울러드릴(탑승유압식)</t>
  </si>
  <si>
    <t>110kw</t>
  </si>
  <si>
    <t>경비   14</t>
  </si>
  <si>
    <t>_x0007_`COD|S00043_x0005_`QTY1|1_x0005_`BQC|_x0005_`EQC|_x0005_`JDC|_x0005_`WQC|_x0005_`EDT|_x0005_`</t>
  </si>
  <si>
    <t>경비   15</t>
  </si>
  <si>
    <t>_x0007_`COD|S00058_x0005_`QTY1|1_x0005_`BQC|_x0005_`EQC|_x0005_`JDC|_x0005_`WQC|_x0005_`EDT|_x0005_`</t>
  </si>
  <si>
    <t>구역화물자동차</t>
  </si>
  <si>
    <t>5톤(20km 이내)</t>
  </si>
  <si>
    <t>회</t>
  </si>
  <si>
    <t>경비   16</t>
  </si>
  <si>
    <t>_x0007_`COD|S00073_x0005_`QTY1|1_x0005_`BQC|_x0005_`EQC|_x0005_`JDC|_x0005_`WQC|_x0005_`EDT|_x0005_`</t>
  </si>
  <si>
    <t>부착용집게</t>
  </si>
  <si>
    <t>경비   17</t>
  </si>
  <si>
    <t>_x0007_`COD|S00138_x0005_`QTY1|1_x0005_`BQC|_x0005_`EQC|_x0005_`JDC|_x0005_`WQC|_x0005_`EDT|_x0005_`</t>
  </si>
  <si>
    <t>덤프트럭2.5톤</t>
  </si>
  <si>
    <t>경비   18</t>
  </si>
  <si>
    <t>_x0007_`COD|S00145_x0005_`QTY1|1_x0005_`BQC|_x0005_`EQC|_x0005_`JDC|_x0005_`WQC|_x0005_`EDT|_x0005_`</t>
  </si>
  <si>
    <t>굴삭기(0.6m3)</t>
  </si>
  <si>
    <t>타이어</t>
  </si>
  <si>
    <t>경비   19</t>
  </si>
  <si>
    <t>_x0007_`COD|S00146_x0005_`QTY1|1_x0005_`BQC|_x0005_`EQC|_x0005_`JDC|_x0005_`WQC|_x0005_`EDT|_x0005_`</t>
  </si>
  <si>
    <t>덤프트럭24.0톤</t>
  </si>
  <si>
    <t>경비   20</t>
  </si>
  <si>
    <t>_x0007_`COD|S00167_x0005_`QTY1|1_x0005_`BQC|_x0005_`EQC|_x0005_`JDC|_x0005_`WQC|_x0005_`EDT|_x0005_`</t>
  </si>
  <si>
    <t>경비   21</t>
  </si>
  <si>
    <t>_x0007_`COD|S00168_x0005_`QTY1|1_x0005_`BQC|_x0005_`EQC|_x0005_`JDC|_x0005_`WQC|_x0005_`EDT|_x0005_`</t>
  </si>
  <si>
    <t>부착용 집게</t>
  </si>
  <si>
    <t>0.6~0.8㎥</t>
  </si>
  <si>
    <t>경비   22</t>
  </si>
  <si>
    <t>_x0007_`COD|S00169_x0005_`QTY1|1_x0005_`BQC|_x0005_`EQC|02720600700_x0005_`JDC|0000720600700000_x0005_`WQC|_x0005_`EDT|2024_x0005_`</t>
  </si>
  <si>
    <t>0.6㎥</t>
  </si>
  <si>
    <t>경비   23</t>
  </si>
  <si>
    <t>_x0007_`COD|S00170_x0005_`QTY1|1_x0005_`BQC|_x0005_`EQC|02021100600_x0005_`JDC|0000021100600000_x0005_`WQC|_x0005_`EDT|2024_x0005_`</t>
  </si>
  <si>
    <t>1. 환  율</t>
  </si>
  <si>
    <t>100,000$ 미만</t>
  </si>
  <si>
    <t>100,000$ 이상</t>
  </si>
  <si>
    <t>유로화(€)</t>
  </si>
  <si>
    <t>엔화(100￥)</t>
  </si>
  <si>
    <t>2. 인 건 비</t>
  </si>
  <si>
    <t>*  1/8*16/12*25/20  =</t>
  </si>
  <si>
    <t>3. 단가 및 재료비</t>
  </si>
  <si>
    <t>NO</t>
  </si>
  <si>
    <t>단 가 명</t>
  </si>
  <si>
    <t>규    격</t>
  </si>
  <si>
    <t>가  격</t>
  </si>
  <si>
    <t>1</t>
  </si>
  <si>
    <t>2</t>
  </si>
  <si>
    <t>3</t>
  </si>
  <si>
    <t>4</t>
  </si>
  <si>
    <t>5</t>
  </si>
  <si>
    <t>6</t>
  </si>
  <si>
    <t>자재단가 대비표</t>
  </si>
  <si>
    <t>조달가격</t>
  </si>
  <si>
    <t>페이지</t>
  </si>
  <si>
    <t>물가정보</t>
  </si>
  <si>
    <t>물가자료</t>
  </si>
  <si>
    <t>적산정보</t>
  </si>
  <si>
    <t>견적단가</t>
  </si>
  <si>
    <t>적용 단가</t>
  </si>
  <si>
    <t>이전단가</t>
  </si>
  <si>
    <t>최소단가</t>
  </si>
  <si>
    <t>위치</t>
  </si>
  <si>
    <t>물가지명</t>
  </si>
  <si>
    <t>별명</t>
  </si>
  <si>
    <t>조달</t>
  </si>
  <si>
    <t>물정</t>
  </si>
  <si>
    <t>물자</t>
  </si>
  <si>
    <t>적산</t>
  </si>
  <si>
    <t>견적</t>
  </si>
  <si>
    <t>85</t>
  </si>
  <si>
    <t>98</t>
  </si>
  <si>
    <t>68</t>
  </si>
  <si>
    <t>_x0007_`COD|B01143_x0005_`QTY1|1_x0005_`EXI|0_x0005_`IPR|0_x0005_`BLA|F_x0005_`</t>
  </si>
  <si>
    <t>대가  12호표</t>
  </si>
  <si>
    <t>_x0007_`COD|_x0005_`QTY1|1_x0005_`EXI|1_x0005_`ITT|0_x0005_`</t>
  </si>
  <si>
    <t>2.</t>
  </si>
  <si>
    <t>총 괄 설 계 내 역 서</t>
  </si>
  <si>
    <t>1.2</t>
  </si>
  <si>
    <t>절토</t>
  </si>
  <si>
    <t>D01341_1</t>
  </si>
  <si>
    <t>_x0007_`COD|D01341_x0005_`QTY1|1_x0005_`EXI|0_x0005_`IPR|0_x0005_`BLA|F_x0005_`</t>
  </si>
  <si>
    <t>산근  13호표</t>
  </si>
  <si>
    <t>D01874_1</t>
  </si>
  <si>
    <t>_x0007_`COD|D01874_x0005_`QTY1|1_x0005_`EXI|0_x0005_`IPR|0_x0005_`BLA|F_x0005_`</t>
  </si>
  <si>
    <t>산근  16호표</t>
  </si>
  <si>
    <t>D00006_1</t>
  </si>
  <si>
    <t>_x0007_`COD|D00006_x0005_`QTY1|1_x0005_`EXI|0_x0005_`IPR|0_x0005_`BLA|F_x0005_`</t>
  </si>
  <si>
    <t>산근   1호표</t>
  </si>
  <si>
    <t>1.3</t>
  </si>
  <si>
    <t>구조물터파기 및 되메우기</t>
  </si>
  <si>
    <t>D01343_1</t>
  </si>
  <si>
    <t>_x0007_`COD|D01343_x0005_`QTY1|1_x0005_`EXI|0_x0005_`IPR|0_x0005_`BLA|F_x0005_`</t>
  </si>
  <si>
    <t>산근  14호표</t>
  </si>
  <si>
    <t>D00042_1</t>
  </si>
  <si>
    <t>_x0007_`COD|D00042_x0005_`QTY1|1_x0005_`EXI|0_x0005_`IPR|0_x0005_`BLA|F_x0005_`</t>
  </si>
  <si>
    <t>산근   3호표</t>
  </si>
  <si>
    <t>D01344_1</t>
  </si>
  <si>
    <t>_x0007_`COD|D01344_x0005_`QTY1|1_x0005_`EXI|0_x0005_`IPR|0_x0005_`BLA|F_x0005_`</t>
  </si>
  <si>
    <t>산근  15호표</t>
  </si>
  <si>
    <t>1.4</t>
  </si>
  <si>
    <t>측구파기</t>
  </si>
  <si>
    <t>D00009_1</t>
  </si>
  <si>
    <t>_x0007_`COD|D00009_x0005_`QTY1|1_x0005_`EXI|0_x0005_`IPR|0_x0005_`BLA|F_x0005_`</t>
  </si>
  <si>
    <t>산근   2호표</t>
  </si>
  <si>
    <t>D01251_1</t>
  </si>
  <si>
    <t>_x0007_`COD|D01251_x0005_`QTY1|1_x0005_`EXI|0_x0005_`IPR|0_x0005_`BLA|F_x0005_`</t>
  </si>
  <si>
    <t>산근  12호표</t>
  </si>
  <si>
    <t>1.5</t>
  </si>
  <si>
    <t>유용성토</t>
  </si>
  <si>
    <t>D01036_1</t>
  </si>
  <si>
    <t>_x0007_`COD|D01036_x0005_`QTY1|1_x0005_`EXI|0_x0005_`IPR|0_x0005_`BLA|F_x0005_`</t>
  </si>
  <si>
    <t>산근   8호표</t>
  </si>
  <si>
    <t>D02254_1</t>
  </si>
  <si>
    <t>_x0007_`COD|D02254_x0005_`QTY1|1_x0005_`EXI|0_x0005_`IPR|0_x0005_`BLA|F_x0005_`</t>
  </si>
  <si>
    <t>산근  37호표</t>
  </si>
  <si>
    <t>D02255_1</t>
  </si>
  <si>
    <t>_x0007_`COD|D02255_x0005_`QTY1|1_x0005_`EXI|0_x0005_`IPR|0_x0005_`BLA|F_x0005_`</t>
  </si>
  <si>
    <t>산근  38호표</t>
  </si>
  <si>
    <t>D02256_1</t>
  </si>
  <si>
    <t>_x0007_`COD|D02256_x0005_`QTY1|1_x0005_`EXI|0_x0005_`IPR|0_x0005_`BLA|F_x0005_`</t>
  </si>
  <si>
    <t>산근  39호표</t>
  </si>
  <si>
    <t>D02257_1</t>
  </si>
  <si>
    <t>_x0007_`COD|D02257_x0005_`QTY1|1_x0005_`EXI|0_x0005_`IPR|0_x0005_`BLA|F_x0005_`</t>
  </si>
  <si>
    <t>산근  40호표</t>
  </si>
  <si>
    <t>1.6</t>
  </si>
  <si>
    <t>사토 및 다짐공</t>
  </si>
  <si>
    <t>D02253_1</t>
  </si>
  <si>
    <t>_x0007_`COD|D02253_x0005_`QTY1|1_x0005_`EXI|0_x0005_`IPR|0_x0005_`BLA|F_x0005_`</t>
  </si>
  <si>
    <t>산근  36호표</t>
  </si>
  <si>
    <t>D01038_1</t>
  </si>
  <si>
    <t>_x0007_`COD|D01038_x0005_`QTY1|1_x0005_`EXI|0_x0005_`IPR|0_x0005_`BLA|F_x0005_`</t>
  </si>
  <si>
    <t>산근   9호표</t>
  </si>
  <si>
    <t>D00154_1</t>
  </si>
  <si>
    <t>_x0007_`COD|D00154_x0005_`QTY1|1_x0005_`EXI|0_x0005_`IPR|0_x0005_`BLA|F_x0005_`</t>
  </si>
  <si>
    <t>산근   5호표</t>
  </si>
  <si>
    <t>구조물공</t>
  </si>
  <si>
    <t>운반공</t>
  </si>
  <si>
    <t>3.</t>
  </si>
  <si>
    <t>2.1</t>
  </si>
  <si>
    <t>돌기슭막이공</t>
  </si>
  <si>
    <t>B01180_1</t>
  </si>
  <si>
    <t>_x0007_`COD|B01180_x0005_`QTY1|1_x0005_`EXI|0_x0005_`IPR|0_x0005_`BLA|F_x0005_`</t>
  </si>
  <si>
    <t>대가  17호표</t>
  </si>
  <si>
    <t>B01195_1</t>
  </si>
  <si>
    <t>_x0007_`COD|B01195_x0005_`QTY1|1_x0005_`EXI|0_x0005_`IPR|0_x0005_`BLA|F_x0005_`</t>
  </si>
  <si>
    <t>대가  24호표</t>
  </si>
  <si>
    <t>B01196_1</t>
  </si>
  <si>
    <t>_x0007_`COD|B01196_x0005_`QTY1|1_x0005_`EXI|0_x0005_`IPR|0_x0005_`BLA|F_x0005_`</t>
  </si>
  <si>
    <t>대가  25호표</t>
  </si>
  <si>
    <t>B01197_1</t>
  </si>
  <si>
    <t>_x0007_`COD|B01197_x0005_`QTY1|1_x0005_`EXI|0_x0005_`IPR|0_x0005_`BLA|F_x0005_`</t>
  </si>
  <si>
    <t>대가  26호표</t>
  </si>
  <si>
    <t>B01184_1</t>
  </si>
  <si>
    <t>_x0007_`COD|B01184_x0005_`QTY1|1_x0005_`EXI|0_x0005_`IPR|0_x0005_`BLA|F_x0005_`</t>
  </si>
  <si>
    <t>대가  19호표</t>
  </si>
  <si>
    <t>2.2</t>
  </si>
  <si>
    <t>배수공</t>
  </si>
  <si>
    <t>B00064_1</t>
  </si>
  <si>
    <t>_x0007_`COD|B00064_x0005_`QTY1|1_x0005_`EXI|0_x0005_`IPR|0_x0005_`BLA|F_x0005_`</t>
  </si>
  <si>
    <t>대가   2호표</t>
  </si>
  <si>
    <t>B00065_1</t>
  </si>
  <si>
    <t>_x0007_`COD|B00065_x0005_`QTY1|1_x0005_`EXI|0_x0005_`IPR|0_x0005_`BLA|F_x0005_`</t>
  </si>
  <si>
    <t>대가   3호표</t>
  </si>
  <si>
    <t>B01156_1</t>
  </si>
  <si>
    <t>_x0007_`COD|B01156_x0005_`QTY1|1_x0005_`EXI|0_x0005_`IPR|0_x0005_`BLA|F_x0005_`</t>
  </si>
  <si>
    <t>대가  16호표</t>
  </si>
  <si>
    <t>B01155_1</t>
  </si>
  <si>
    <t>_x0007_`COD|B01155_x0005_`QTY1|1_x0005_`EXI|0_x0005_`IPR|0_x0005_`BLA|F_x0005_`</t>
  </si>
  <si>
    <t>대가  15호표</t>
  </si>
  <si>
    <t>B01146_1</t>
  </si>
  <si>
    <t>_x0007_`COD|B01146_x0005_`QTY1|1_x0005_`EXI|0_x0005_`IPR|0_x0005_`BLA|F_x0005_`</t>
  </si>
  <si>
    <t>대가  13호표</t>
  </si>
  <si>
    <t>2.3</t>
  </si>
  <si>
    <t>기타구조물</t>
  </si>
  <si>
    <t>B01147_1</t>
  </si>
  <si>
    <t>_x0007_`COD|B01147_x0005_`QTY1|1_x0005_`EXI|0_x0005_`IPR|0_x0005_`BLA|F_x0005_`</t>
  </si>
  <si>
    <t>대가  14호표</t>
  </si>
  <si>
    <t>B01199_1</t>
  </si>
  <si>
    <t>_x0007_`COD|B01199_x0005_`QTY1|1_x0005_`EXI|0_x0005_`IPR|0_x0005_`BLA|F_x0005_`</t>
  </si>
  <si>
    <t>대가  28호표</t>
  </si>
  <si>
    <t>M00921_1</t>
  </si>
  <si>
    <t>_x0007_`COD|M00921_x0005_`QTY1|1_x0005_`EXI|0_x0005_`IPR|0_x0005_`KWN|0_x0005_`BLA|F_x0005_`</t>
  </si>
  <si>
    <t>자재   28</t>
  </si>
  <si>
    <t>B00363_1</t>
  </si>
  <si>
    <t>_x0007_`COD|B00363_x0005_`QTY1|1_x0005_`EXI|0_x0005_`IPR|0_x0005_`BLA|F_x0005_`</t>
  </si>
  <si>
    <t>대가   7호표</t>
  </si>
  <si>
    <t>D02153_1</t>
  </si>
  <si>
    <t>_x0007_`COD|D02153_x0005_`QTY1|1_x0005_`EXI|0_x0005_`IPR|0_x0005_`BLA|F_x0005_`</t>
  </si>
  <si>
    <t>산근  21호표</t>
  </si>
  <si>
    <t>D02242_1</t>
  </si>
  <si>
    <t>_x0007_`COD|D02242_x0005_`QTY1|1_x0005_`EXI|0_x0005_`IPR|0_x0005_`BLA|F_x0005_`</t>
  </si>
  <si>
    <t>산근  31호표</t>
  </si>
  <si>
    <t>D02154_1</t>
  </si>
  <si>
    <t>_x0007_`COD|D02154_x0005_`QTY1|1_x0005_`EXI|0_x0005_`IPR|0_x0005_`BLA|F_x0005_`</t>
  </si>
  <si>
    <t>산근  22호표</t>
  </si>
  <si>
    <t>D02155_1</t>
  </si>
  <si>
    <t>_x0007_`COD|D02155_x0005_`QTY1|1_x0005_`EXI|0_x0005_`IPR|0_x0005_`BLA|F_x0005_`</t>
  </si>
  <si>
    <t>산근  23호표</t>
  </si>
  <si>
    <t>D01989_1</t>
  </si>
  <si>
    <t>_x0007_`COD|D01989_x0005_`QTY1|1_x0005_`EXI|0_x0005_`IPR|0_x0005_`BLA|F_x0005_`</t>
  </si>
  <si>
    <t>산근  17호표</t>
  </si>
  <si>
    <t>D02157_1</t>
  </si>
  <si>
    <t>_x0007_`COD|D02157_x0005_`QTY1|1_x0005_`EXI|0_x0005_`IPR|0_x0005_`BLA|F_x0005_`</t>
  </si>
  <si>
    <t>산근  24호표</t>
  </si>
  <si>
    <t>4.</t>
  </si>
  <si>
    <t>자재대</t>
  </si>
  <si>
    <t>M00782_1</t>
  </si>
  <si>
    <t>_x0007_`COD|M00782_x0005_`QTY1|1_x0005_`EXI|0_x0005_`IPR|0_x0005_`KWN|0_x0005_`BLA|F_x0005_`</t>
  </si>
  <si>
    <t>자재   24</t>
  </si>
  <si>
    <t>M00495_1</t>
  </si>
  <si>
    <t>_x0007_`COD|M00495_x0005_`QTY1|1_x0005_`EXI|0_x0005_`IPR|0_x0005_`KWN|0_x0005_`BLA|F_x0005_`</t>
  </si>
  <si>
    <t>자재   22</t>
  </si>
  <si>
    <t>M00924_1</t>
  </si>
  <si>
    <t>_x0007_`COD|M00924_x0005_`QTY1|1_x0005_`EXI|0_x0005_`IPR|0_x0005_`KWN|0_x0005_`BLA|F_x0005_`</t>
  </si>
  <si>
    <t>자재   29</t>
  </si>
  <si>
    <t>M00299_1</t>
  </si>
  <si>
    <t>_x0007_`COD|M00299_x0005_`QTY1|1_x0005_`EXI|0_x0005_`IPR|0_x0005_`KWN|0_x0005_`BLA|F_x0005_`</t>
  </si>
  <si>
    <t>자재   21</t>
  </si>
  <si>
    <t>2공구</t>
  </si>
  <si>
    <t>3공구</t>
  </si>
  <si>
    <t>L=1.10km</t>
  </si>
  <si>
    <t>M00952_1</t>
  </si>
  <si>
    <t>(제외금액)</t>
  </si>
  <si>
    <t>D02258_1</t>
  </si>
  <si>
    <t>_x0007_`COD|D02258_x0005_`QTY1|1_x0005_`EXI|0_x0005_`IPR|0_x0005_`BLA|F_x0005_`</t>
  </si>
  <si>
    <t>산근  41호표</t>
  </si>
  <si>
    <t>D02259_1</t>
  </si>
  <si>
    <t>_x0007_`COD|D02259_x0005_`QTY1|1_x0005_`EXI|0_x0005_`IPR|0_x0005_`BLA|F_x0005_`</t>
  </si>
  <si>
    <t>산근  42호표</t>
  </si>
  <si>
    <t>D02260_1</t>
  </si>
  <si>
    <t>_x0007_`COD|D02260_x0005_`QTY1|1_x0005_`EXI|0_x0005_`IPR|0_x0005_`BLA|F_x0005_`</t>
  </si>
  <si>
    <t>산근  43호표</t>
  </si>
  <si>
    <t>D02261_1</t>
  </si>
  <si>
    <t>_x0007_`COD|D02261_x0005_`QTY1|1_x0005_`EXI|0_x0005_`IPR|0_x0005_`BLA|F_x0005_`</t>
  </si>
  <si>
    <t>산근  44호표</t>
  </si>
  <si>
    <t>D02263_1</t>
  </si>
  <si>
    <t>_x0007_`COD|D02263_x0005_`QTY1|1_x0005_`EXI|0_x0005_`IPR|0_x0005_`BLA|F_x0005_`</t>
  </si>
  <si>
    <t>산근  46호표</t>
  </si>
  <si>
    <t>B01202_1</t>
  </si>
  <si>
    <t>_x0007_`COD|B01202_x0005_`QTY1|1_x0005_`EXI|0_x0005_`IPR|0_x0005_`BLA|F_x0005_`</t>
  </si>
  <si>
    <t>대가  30호표</t>
  </si>
  <si>
    <t>B01203_1</t>
  </si>
  <si>
    <t>_x0007_`COD|B01203_x0005_`QTY1|1_x0005_`EXI|0_x0005_`IPR|0_x0005_`BLA|F_x0005_`</t>
  </si>
  <si>
    <t>대가  31호표</t>
  </si>
  <si>
    <t>B01204_1</t>
  </si>
  <si>
    <t>_x0007_`COD|B01204_x0005_`QTY1|1_x0005_`EXI|0_x0005_`IPR|0_x0005_`BLA|F_x0005_`</t>
  </si>
  <si>
    <t>대가  32호표</t>
  </si>
  <si>
    <t>B01201_1</t>
  </si>
  <si>
    <t>_x0007_`COD|B01201_x0005_`QTY1|1_x0005_`EXI|0_x0005_`IPR|0_x0005_`BLA|F_x0005_`</t>
  </si>
  <si>
    <t>대가  29호표</t>
  </si>
  <si>
    <t>B01207_1</t>
  </si>
  <si>
    <t>_x0007_`COD|B01207_x0005_`QTY1|1_x0005_`EXI|0_x0005_`IPR|0_x0005_`BLA|F_x0005_`</t>
  </si>
  <si>
    <t>대가  33호표</t>
  </si>
  <si>
    <t>B01208_1</t>
  </si>
  <si>
    <t>_x0007_`COD|B01208_x0005_`QTY1|1_x0005_`EXI|0_x0005_`IPR|0_x0005_`BLA|F_x0005_`</t>
  </si>
  <si>
    <t>대가  34호표</t>
  </si>
  <si>
    <t>_x0007_`COD|D02252_x0005_`QTY1|1_x0005_`EXI|0_x0005_`IPR|0_x0005_`BLA|F_x0005_`</t>
  </si>
  <si>
    <t>D02252_1</t>
  </si>
  <si>
    <t>D02172_1</t>
  </si>
  <si>
    <t>_x0007_`COD|D02172_x0005_`QTY1|1_x0005_`EXI|0_x0005_`IPR|0_x0005_`BLA|F_x0005_`</t>
  </si>
  <si>
    <t>산근  25호표</t>
  </si>
  <si>
    <t>D02173_1</t>
  </si>
  <si>
    <t>_x0007_`COD|D02173_x0005_`QTY1|1_x0005_`EXI|0_x0005_`IPR|0_x0005_`BLA|F_x0005_`</t>
  </si>
  <si>
    <t>산근  26호표</t>
  </si>
  <si>
    <t>D02174_1</t>
  </si>
  <si>
    <t>_x0007_`COD|D02174_x0005_`QTY1|1_x0005_`EXI|0_x0005_`IPR|0_x0005_`BLA|F_x0005_`</t>
  </si>
  <si>
    <t>산근  27호표</t>
  </si>
  <si>
    <t>D02175_1</t>
  </si>
  <si>
    <t>_x0007_`COD|D02175_x0005_`QTY1|1_x0005_`EXI|0_x0005_`IPR|0_x0005_`BLA|F_x0005_`</t>
  </si>
  <si>
    <t>산근  28호표</t>
  </si>
  <si>
    <t>D02145_1</t>
  </si>
  <si>
    <t>_x0007_`COD|D02145_x0005_`QTY1|1_x0005_`EXI|0_x0005_`IPR|0_x0005_`BLA|F_x0005_`</t>
  </si>
  <si>
    <t>산근  20호표</t>
  </si>
  <si>
    <t>B01183_1</t>
  </si>
  <si>
    <t>_x0007_`COD|B01183_x0005_`QTY1|1_x0005_`EXI|0_x0005_`IPR|0_x0005_`BLA|F_x0005_`</t>
  </si>
  <si>
    <t>대가  18호표</t>
  </si>
  <si>
    <t>B01191_1</t>
  </si>
  <si>
    <t>_x0007_`COD|B01191_x0005_`QTY1|1_x0005_`EXI|0_x0005_`IPR|0_x0005_`BLA|F_x0005_`</t>
  </si>
  <si>
    <t>대가  22호표</t>
  </si>
  <si>
    <t>B01192_1</t>
  </si>
  <si>
    <t>_x0007_`COD|B01192_x0005_`QTY1|1_x0005_`EXI|0_x0005_`IPR|0_x0005_`BLA|F_x0005_`</t>
  </si>
  <si>
    <t>대가  23호표</t>
  </si>
  <si>
    <t>B01189_1</t>
  </si>
  <si>
    <t>_x0007_`COD|B01189_x0005_`QTY1|1_x0005_`EXI|0_x0005_`IPR|0_x0005_`BLA|F_x0005_`</t>
  </si>
  <si>
    <t>대가  20호표</t>
  </si>
  <si>
    <t>산근  35호표</t>
  </si>
  <si>
    <t>M00940_1</t>
  </si>
  <si>
    <t>_x0007_`COD|M00940_x0005_`QTY1|1_x0005_`EXI|0_x0005_`IPR|0_x0005_`KWN|0_x0005_`BLA|F_x0005_`</t>
  </si>
  <si>
    <t>자재   33</t>
  </si>
  <si>
    <t>M00944_1</t>
  </si>
  <si>
    <t>_x0007_`COD|M00944_x0005_`QTY1|1_x0005_`EXI|0_x0005_`IPR|0_x0005_`KWN|0_x0005_`BLA|F_x0005_`</t>
  </si>
  <si>
    <t>자재   36</t>
  </si>
  <si>
    <t>_x0007_`COD|M00952_x0005_`QTY1|1_x0005_`EXI|0_x0005_`IPR|0_x0005_`KWN|0_x0005_`BLA|F_x0005_`</t>
  </si>
  <si>
    <t>자재   44</t>
  </si>
  <si>
    <t>M00798_1</t>
  </si>
  <si>
    <t>_x0007_`COD|M00798_x0005_`QTY1|1_x0005_`EXI|0_x0005_`IPR|0_x0005_`KWN|0_x0005_`BLA|F_x0005_`</t>
  </si>
  <si>
    <t>자재   26</t>
  </si>
  <si>
    <t>M00934_1</t>
  </si>
  <si>
    <t>_x0007_`COD|M00934_x0005_`QTY1|1_x0005_`EXI|0_x0005_`IPR|0_x0005_`KWN|0_x0005_`BLA|F_x0005_`</t>
  </si>
  <si>
    <t>자재   30</t>
  </si>
  <si>
    <t>M00953_1</t>
  </si>
  <si>
    <t>_x0007_`COD|M00953_x0005_`QTY1|1_x0005_`EXI|0_x0005_`IPR|0_x0005_`KWN|0_x0005_`BLA|F_x0005_`</t>
  </si>
  <si>
    <t>자재   45</t>
  </si>
  <si>
    <t>M00945_1</t>
  </si>
  <si>
    <t>_x0007_`COD|M00945_x0005_`QTY1|1_x0005_`EXI|0_x0005_`IPR|0_x0005_`KWN|0_x0005_`BLA|F_x0005_`</t>
  </si>
  <si>
    <t>자재   37</t>
  </si>
  <si>
    <t>M00946_1</t>
  </si>
  <si>
    <t>_x0007_`COD|M00946_x0005_`QTY1|1_x0005_`EXI|0_x0005_`IPR|0_x0005_`KWN|0_x0005_`BLA|F_x0005_`</t>
  </si>
  <si>
    <t>자재   38</t>
  </si>
  <si>
    <t>M00954_1</t>
  </si>
  <si>
    <t>_x0007_`COD|M00954_x0005_`QTY1|1_x0005_`EXI|0_x0005_`IPR|0_x0005_`KWN|0_x0005_`BLA|F_x0005_`</t>
  </si>
  <si>
    <t>자재   46</t>
  </si>
  <si>
    <t>M00095_1</t>
  </si>
  <si>
    <t>_x0007_`COD|M00095_x0005_`QTY1|1_x0005_`EXI|0_x0005_`IPR|0_x0005_`KWN|0_x0005_`BLA|F_x0005_`</t>
  </si>
  <si>
    <t>자재   12</t>
  </si>
  <si>
    <t>C4_1</t>
  </si>
  <si>
    <t xml:space="preserve">    가.</t>
  </si>
  <si>
    <t>순공사비계</t>
  </si>
  <si>
    <t xml:space="preserve"> 1. 간접노무비</t>
  </si>
  <si>
    <t>_x0007_`DTP|201_x0005_`QTY1|1_x0005_`BDC|_x0005_`SRE|LA_x0005_`</t>
  </si>
  <si>
    <t xml:space="preserve"> 2. 산재보험료</t>
  </si>
  <si>
    <t>_x0007_`DTP|301_x0005_`QTY1|1_x0005_`BDC|_x0005_`SRE|SA_x0005_`</t>
  </si>
  <si>
    <t xml:space="preserve"> 3. 고용보험료</t>
  </si>
  <si>
    <t>_x0007_`DTP|302_x0005_`QTY1|1_x0005_`BDC|_x0005_`SRE|SA_x0005_`</t>
  </si>
  <si>
    <t xml:space="preserve"> 4. 건강보험료</t>
  </si>
  <si>
    <t>_x0007_`DTP|303_x0005_`QTY1|1_x0005_`BDC|_x0005_`SRE|SA_x0005_`</t>
  </si>
  <si>
    <t xml:space="preserve"> 5. 노인장기요양보험료</t>
  </si>
  <si>
    <t>_x0007_`DTP|310_x0005_`QTY1|1_x0005_`BDC|_x0005_`SRE|SA_x0005_`</t>
  </si>
  <si>
    <t xml:space="preserve"> 6. 연금보험료</t>
  </si>
  <si>
    <t>_x0007_`DTP|304_x0005_`QTY1|1_x0005_`BDC|_x0005_`SRE|SA_x0005_`</t>
  </si>
  <si>
    <t xml:space="preserve"> 7. 산업안전보건관리비</t>
  </si>
  <si>
    <t>A）관급재/1.1포함 적용</t>
  </si>
  <si>
    <t>_x0007_`DTP|306_x0005_`QTY1|1_x0005_`BDC|_x0005_`SRE|SA_x0005_`ANK|1_x0005_`</t>
  </si>
  <si>
    <t>A）(직노+직재+간재+관급재/1.1)x1.86% + 5,349,000 = 16,586,996
B）&lt;(직노+직재+간재)x1.86% + 5,349,000&gt;의 1.2배 = 18,494,700</t>
  </si>
  <si>
    <t xml:space="preserve">    비    목</t>
  </si>
  <si>
    <t>공 사 원 가 계 산 서</t>
  </si>
  <si>
    <t xml:space="preserve"> 8. 기타경비</t>
  </si>
  <si>
    <t>_x0007_`DTP|321_x0005_`QTY1|1_x0005_`BDC|_x0005_`SRE|SA_x0005_`</t>
  </si>
  <si>
    <t xml:space="preserve"> 9. 환경보전비</t>
  </si>
  <si>
    <t>_x0007_`DTP|309_x0005_`QTY1|1_x0005_`BDC|_x0005_`SRE|SA_x0005_`</t>
  </si>
  <si>
    <t>10. 건설기계대여금지급보증 금액</t>
  </si>
  <si>
    <t>_x0007_`DTP|311_x0005_`QTY1|1_x0005_`BDC|_x0005_`SRE|SA_x0005_`</t>
  </si>
  <si>
    <t xml:space="preserve">    나.</t>
  </si>
  <si>
    <t xml:space="preserve">    소   계</t>
  </si>
  <si>
    <t>_x0007_`DTP|400_x0005_`QTY1|1_x0005_`BDC|_x0005_`SRE|TA-F_x0005_`</t>
  </si>
  <si>
    <t>11. 일반관리비</t>
  </si>
  <si>
    <t>_x0007_`DTP|401_x0005_`QTY1|1_x0005_`BDC|_x0005_`SRE|TA_x0005_`</t>
  </si>
  <si>
    <t xml:space="preserve">    다.</t>
  </si>
  <si>
    <t>_x0007_`DTP|410_x0005_`QTY1|1_x0005_`BDC|_x0005_`SRE|TA-F_x0005_`</t>
  </si>
  <si>
    <t>12. 이   윤</t>
  </si>
  <si>
    <t>_x0007_`DTP|402_x0005_`QTY1|1_x0005_`BDC|_x0005_`SRE|TA_x0005_`</t>
  </si>
  <si>
    <t xml:space="preserve">    라.</t>
  </si>
  <si>
    <t xml:space="preserve">    공급가액</t>
  </si>
  <si>
    <t>_x0007_`DTP|500_x0005_`QTY1|1_x0005_`BDC|_x0005_`SRE|TA-F_x0005_`</t>
  </si>
  <si>
    <t>13. 부가가치세</t>
  </si>
  <si>
    <t>_x0007_`DTP|502_x0005_`QTY1|1_x0005_`BDC|_x0005_`SRE|TA_x0005_`</t>
  </si>
  <si>
    <t xml:space="preserve">    마.</t>
  </si>
  <si>
    <t xml:space="preserve">    도급공사비</t>
  </si>
  <si>
    <t>_x0007_`DTP|600_x0005_`QTY1|1_x0005_`BDC|_x0005_`SRE|TA-F_x0005_`</t>
  </si>
  <si>
    <t>14. 관급자재대</t>
  </si>
  <si>
    <t>_x0007_`DTP|653_x0005_`QTY1|1_x0005_`BDC|_x0005_`SRE|TA-3_x0005_`</t>
  </si>
  <si>
    <t xml:space="preserve">    바.</t>
  </si>
  <si>
    <t xml:space="preserve">    총공사비</t>
  </si>
  <si>
    <t>_x0007_`DTP|700_x0005_`QTY1|1_x0005_`BDC|_x0005_`SRE|TA-F_x0005_`</t>
  </si>
  <si>
    <t xml:space="preserve">구    분    </t>
  </si>
  <si>
    <t>구 성 비</t>
  </si>
  <si>
    <t>비    고</t>
  </si>
  <si>
    <t>직  접  재  료  비</t>
  </si>
  <si>
    <t>간  접  재  료  비</t>
  </si>
  <si>
    <t>작업설,부산물등(△)</t>
  </si>
  <si>
    <t>소              계</t>
  </si>
  <si>
    <t>직  접  노  무  비</t>
  </si>
  <si>
    <t>간  접  노  무  비</t>
  </si>
  <si>
    <t>산   출    경   비</t>
  </si>
  <si>
    <t>산  재  보  험  료</t>
  </si>
  <si>
    <t>고  용  보  험  료</t>
  </si>
  <si>
    <t>건  강  보  험  료</t>
  </si>
  <si>
    <t>노인장기요양보험료</t>
  </si>
  <si>
    <t>연  금  보  험  료</t>
  </si>
  <si>
    <t>산업안전보건관리비</t>
  </si>
  <si>
    <t>기   타    경   비</t>
  </si>
  <si>
    <t>환  경  보  전  비</t>
  </si>
  <si>
    <t>건설기계대여금지급보증 금액</t>
  </si>
  <si>
    <t>일   반   관   리   비</t>
  </si>
  <si>
    <t>이                  윤</t>
  </si>
  <si>
    <t>총        원        가</t>
  </si>
  <si>
    <t>부   가   가   치   세</t>
  </si>
  <si>
    <t>도   급   공   사   비</t>
  </si>
  <si>
    <t>관   급   자   재   대</t>
  </si>
  <si>
    <t>총     공     사     비</t>
  </si>
  <si>
    <t>순 공 사 원 가</t>
  </si>
  <si>
    <t>경    비</t>
  </si>
  <si>
    <t>일 위 대 가 표</t>
  </si>
  <si>
    <t xml:space="preserve"> 제    1 호표</t>
  </si>
  <si>
    <t>B00049</t>
  </si>
  <si>
    <t>건설표준품셈</t>
  </si>
  <si>
    <t>6-1-4(모르타르)</t>
  </si>
  <si>
    <t>_x0007_`COD|_x0005_`EXI|1_x0005_`</t>
  </si>
  <si>
    <t>_1</t>
  </si>
  <si>
    <t xml:space="preserve">       </t>
  </si>
  <si>
    <t>_x0007_`COD|M00101_x0005_`EXI|0_x0005_`DVD|F_x0005_`BMK| _x0005_`IPR|0_x0005_`KWN|0_x0005_`BLA|F_x0005_`</t>
  </si>
  <si>
    <t>M00101_1</t>
  </si>
  <si>
    <t xml:space="preserve">별산자재   14 </t>
  </si>
  <si>
    <t>_x0007_`COD|M00103_x0005_`EXI|0_x0005_`DVD|F_x0005_`BMK| _x0005_`IPR|0_x0005_`KWN|0_x0005_`BLA|F_x0005_`</t>
  </si>
  <si>
    <t>M00103_1</t>
  </si>
  <si>
    <t xml:space="preserve">별산자재   15 </t>
  </si>
  <si>
    <t>_x0007_`COD|L00017_x0005_`EXI|0_x0005_`DVD|F_x0005_`BMK| _x0005_`IPR|0_x0005_`BLA|F_x0005_`</t>
  </si>
  <si>
    <t>L00017_1</t>
  </si>
  <si>
    <t xml:space="preserve">노무    6 </t>
  </si>
  <si>
    <t>T7_1</t>
  </si>
  <si>
    <t>B00064</t>
  </si>
  <si>
    <t>6-7-2</t>
  </si>
  <si>
    <t>_x0007_`COD|M00222_x0005_`EXI|0_x0005_`DVD|F_x0005_`BMK| _x0005_`IPR|0_x0005_`KWN|0_x0005_`BLA|F_x0005_`</t>
  </si>
  <si>
    <t>M00222_1</t>
  </si>
  <si>
    <t xml:space="preserve">별산자재   19 </t>
  </si>
  <si>
    <t>_x0007_`COD|L00032_x0005_`EXI|0_x0005_`DVD|F_x0005_`BMK| _x0005_`IPR|0_x0005_`BLA|F_x0005_`</t>
  </si>
  <si>
    <t>L00032_1</t>
  </si>
  <si>
    <t xml:space="preserve">노무   10 </t>
  </si>
  <si>
    <t>_x0007_`COD|M00920_x0005_`EXI|0_x0005_`DVD|F_x0005_`BMK| _x0005_`IPR|0_x0005_`KWN|0_x0005_`BLA|F_x0005_`</t>
  </si>
  <si>
    <t>M00920_1</t>
  </si>
  <si>
    <t xml:space="preserve">자재   27 </t>
  </si>
  <si>
    <t>_x0007_`COD|X00044_x0005_`EXI|0_x0005_`DVD|F_x0005_`BMK| _x0005_`IPR|0_x0005_`BLA|F_x0005_`</t>
  </si>
  <si>
    <t>X00044_1</t>
  </si>
  <si>
    <t xml:space="preserve">중기   12 </t>
  </si>
  <si>
    <t>B00065</t>
  </si>
  <si>
    <t>_x0007_`COD|M00219_x0005_`EXI|0_x0005_`DVD|F_x0005_`BMK| _x0005_`IPR|0_x0005_`KWN|0_x0005_`BLA|F_x0005_`</t>
  </si>
  <si>
    <t>M00219_1</t>
  </si>
  <si>
    <t xml:space="preserve">별산자재   18 </t>
  </si>
  <si>
    <t>B00135</t>
  </si>
  <si>
    <t>_x0007_`COD|L00005_x0005_`EXI|0_x0005_`DVD|F_x0005_`BMK| _x0005_`IPR|0_x0005_`BLA|F_x0005_`</t>
  </si>
  <si>
    <t>L00005_1</t>
  </si>
  <si>
    <t xml:space="preserve">노무    3 </t>
  </si>
  <si>
    <t>B00194</t>
  </si>
  <si>
    <t>_x0007_`COD|M00004_x0005_`EXI|0_x0005_`DVD|F_x0005_`BMK| _x0005_`IPR|0_x0005_`KWN|0_x0005_`BLA|F_x0005_`</t>
  </si>
  <si>
    <t>M00004_1</t>
  </si>
  <si>
    <t xml:space="preserve">자재    3 </t>
  </si>
  <si>
    <t>_x0007_`COD|M00007_x0005_`EXI|0_x0005_`DVD|F_x0005_`BMK| _x0005_`IPR|0_x0005_`KWN|0_x0005_`BLA|F_x0005_`</t>
  </si>
  <si>
    <t>M00007_1</t>
  </si>
  <si>
    <t xml:space="preserve">자재    5 </t>
  </si>
  <si>
    <t>_x0007_`COD|M00005_x0005_`EXI|0_x0005_`DVD|F_x0005_`BMK| _x0005_`IPR|0_x0005_`KWN|0_x0005_`BLA|F_x0005_`</t>
  </si>
  <si>
    <t>M00005_1</t>
  </si>
  <si>
    <t xml:space="preserve">자재    4 </t>
  </si>
  <si>
    <t>_x0007_`COD|L00001_x0005_`EXI|0_x0005_`DVD|F_x0005_`BMK| _x0005_`IPR|0_x0005_`BLA|F_x0005_`</t>
  </si>
  <si>
    <t>L00001_1</t>
  </si>
  <si>
    <t xml:space="preserve">노무    1 </t>
  </si>
  <si>
    <t>B00353</t>
  </si>
  <si>
    <t>7-1-2(찰쌓기)</t>
  </si>
  <si>
    <t>_x0007_`COD|X00089_x0005_`EXI|0_x0005_`DVD|F_x0005_`BMK| _x0005_`IPR|0_x0005_`BLA|F_x0005_`</t>
  </si>
  <si>
    <t>X00089_1</t>
  </si>
  <si>
    <t xml:space="preserve">중기   20 </t>
  </si>
  <si>
    <t>B00363</t>
  </si>
  <si>
    <t>_x0007_`COD|M00075_x0005_`EXI|0_x0005_`DVD|F_x0005_`BMK| _x0005_`IPR|0_x0005_`KWN|0_x0005_`BLA|F_x0005_`</t>
  </si>
  <si>
    <t>M00075_1</t>
  </si>
  <si>
    <t xml:space="preserve">자재    8 </t>
  </si>
  <si>
    <t>_x0007_`COD|D02200_x0005_`EXI|0_x0005_`DVD|F_x0005_`BMK| _x0005_`IPR|0_x0005_`BLA|F_x0005_`</t>
  </si>
  <si>
    <t>D02200_1</t>
  </si>
  <si>
    <t>산근  30호표</t>
  </si>
  <si>
    <t>_x0007_`COD|D02195_x0005_`EXI|0_x0005_`DVD|F_x0005_`BMK| _x0005_`IPR|0_x0005_`BLA|F_x0005_`</t>
  </si>
  <si>
    <t>D02195_1</t>
  </si>
  <si>
    <t>산근  29호표</t>
  </si>
  <si>
    <t>_x0007_`COD|B00135_x0005_`EXI|0_x0005_`DVD|F_x0005_`BMK| _x0005_`IPR|0_x0005_`BLA|F_x0005_`</t>
  </si>
  <si>
    <t>B00135_1</t>
  </si>
  <si>
    <t>대가   4호표</t>
  </si>
  <si>
    <t>B00467</t>
  </si>
  <si>
    <t>B00839</t>
  </si>
  <si>
    <t>건설표준품셈7-2-2</t>
  </si>
  <si>
    <t>B00866</t>
  </si>
  <si>
    <t>7-2-2(찰붙임)</t>
  </si>
  <si>
    <t>B00884</t>
  </si>
  <si>
    <t>7-1-1(메쌓기)</t>
  </si>
  <si>
    <t>B01143</t>
  </si>
  <si>
    <t>임도표준품셈</t>
  </si>
  <si>
    <t>2-3.제근</t>
  </si>
  <si>
    <t>_x0007_`COD|X00005_x0005_`EXI|0_x0005_`DVD|F_x0005_`BMK| _x0005_`IPR|0_x0005_`BLA|F_x0005_`</t>
  </si>
  <si>
    <t>X00005_1</t>
  </si>
  <si>
    <t xml:space="preserve">중기    4 </t>
  </si>
  <si>
    <t>B01146</t>
  </si>
  <si>
    <t>_x0007_`COD|D01343_x0005_`EXI|0_x0005_`DVD|F_x0005_`BMK| _x0005_`IPR|0_x0005_`BLA|F_x0005_`</t>
  </si>
  <si>
    <t>_x0007_`COD|D02139_x0005_`EXI|0_x0005_`DVD|F_x0005_`BMK| _x0005_`IPR|0_x0005_`BLA|F_x0005_`</t>
  </si>
  <si>
    <t>D02139_1</t>
  </si>
  <si>
    <t>산근  19호표</t>
  </si>
  <si>
    <t>B01147</t>
  </si>
  <si>
    <t>_x0007_`COD|D01129_x0005_`EXI|0_x0005_`DVD|F_x0005_`BMK| _x0005_`IPR|0_x0005_`BLA|F_x0005_`</t>
  </si>
  <si>
    <t>D01129_1</t>
  </si>
  <si>
    <t>산근  11호표</t>
  </si>
  <si>
    <t>_x0007_`COD|B00839_x0005_`EXI|0_x0005_`DVD|F_x0005_`BMK| _x0005_`IPR|0_x0005_`BLA|F_x0005_`</t>
  </si>
  <si>
    <t>B00839_1</t>
  </si>
  <si>
    <t>대가   9호표</t>
  </si>
  <si>
    <t>_x0007_`COD|D01124_x0005_`EXI|0_x0005_`DVD|F_x0005_`BMK| _x0005_`IPR|0_x0005_`BLA|F_x0005_`</t>
  </si>
  <si>
    <t>D01124_1</t>
  </si>
  <si>
    <t>산근  10호표</t>
  </si>
  <si>
    <t>_x0007_`COD|B00049_x0005_`EXI|0_x0005_`DVD|F_x0005_`BMK| _x0005_`IPR|0_x0005_`BLA|F_x0005_`</t>
  </si>
  <si>
    <t>B00049_1</t>
  </si>
  <si>
    <t>대가   1호표</t>
  </si>
  <si>
    <t>B01155</t>
  </si>
  <si>
    <t>_x0007_`COD|D02119_x0005_`EXI|0_x0005_`DVD|F_x0005_`BMK| _x0005_`IPR|0_x0005_`BLA|F_x0005_`</t>
  </si>
  <si>
    <t>D02119_1</t>
  </si>
  <si>
    <t>산근  18호표</t>
  </si>
  <si>
    <t>_x0007_`COD|B00353_x0005_`EXI|0_x0005_`DVD|F_x0005_`BMK| _x0005_`IPR|0_x0005_`BLA|F_x0005_`</t>
  </si>
  <si>
    <t>B00353_1</t>
  </si>
  <si>
    <t>대가   6호표</t>
  </si>
  <si>
    <t>_x0007_`COD|B00866_x0005_`EXI|0_x0005_`DVD|F_x0005_`BMK| _x0005_`IPR|0_x0005_`BLA|F_x0005_`</t>
  </si>
  <si>
    <t>B00866_1</t>
  </si>
  <si>
    <t>대가  10호표</t>
  </si>
  <si>
    <t>_x0007_`COD|B01190_x0005_`EXI|0_x0005_`DVD|F_x0005_`BMK| _x0005_`IPR|0_x0005_`BLA|F_x0005_`</t>
  </si>
  <si>
    <t>B01190_1</t>
  </si>
  <si>
    <t>대가  21호표</t>
  </si>
  <si>
    <t>_x0007_`COD|D00959_x0005_`EXI|0_x0005_`DVD|F_x0005_`BMK| _x0005_`IPR|0_x0005_`BLA|F_x0005_`</t>
  </si>
  <si>
    <t>D00959_1</t>
  </si>
  <si>
    <t>산근   7호표</t>
  </si>
  <si>
    <t>_x0007_`COD|D00159_x0005_`EXI|0_x0005_`DVD|F_x0005_`BMK| _x0005_`IPR|0_x0005_`BLA|F_x0005_`</t>
  </si>
  <si>
    <t>D00159_1</t>
  </si>
  <si>
    <t>산근   6호표</t>
  </si>
  <si>
    <t>_x0007_`COD|M00082_x0005_`EXI|0_x0005_`DVD|F_x0005_`BMK| _x0005_`IPR|0_x0005_`KWN|0_x0005_`BLA|F_x0005_`</t>
  </si>
  <si>
    <t>M00082_1</t>
  </si>
  <si>
    <t xml:space="preserve">자재    9 </t>
  </si>
  <si>
    <t>B01156</t>
  </si>
  <si>
    <t>B01180</t>
  </si>
  <si>
    <t>_x0007_`COD|M00792_x0005_`EXI|0_x0005_`DVD|F_x0005_`BMK| _x0005_`IPR|0_x0005_`KWN|0_x0005_`BLA|F_x0005_`</t>
  </si>
  <si>
    <t>M00792_1</t>
  </si>
  <si>
    <t xml:space="preserve">별산자재   25 </t>
  </si>
  <si>
    <t>B01183</t>
  </si>
  <si>
    <t>_x0007_`COD|B00884_x0005_`EXI|0_x0005_`DVD|F_x0005_`BMK| _x0005_`IPR|0_x0005_`BLA|F_x0005_`</t>
  </si>
  <si>
    <t>B00884_1</t>
  </si>
  <si>
    <t>대가  11호표</t>
  </si>
  <si>
    <t>B01184</t>
  </si>
  <si>
    <t>B01189</t>
  </si>
  <si>
    <t>_x0007_`COD|D02251_x0005_`EXI|0_x0005_`DVD|F_x0005_`BMK| _x0005_`IPR|1_x0005_`BLA|F_x0005_`</t>
  </si>
  <si>
    <t>1_01</t>
  </si>
  <si>
    <t>D02251_1</t>
  </si>
  <si>
    <t>산근  34호표</t>
  </si>
  <si>
    <t>_x0007_`COD|D02246_x0005_`EXI|0_x0005_`DVD|F_x0005_`BMK| _x0005_`IPR|0_x0005_`BLA|F_x0005_`</t>
  </si>
  <si>
    <t>D02246_1</t>
  </si>
  <si>
    <t>산근  32호표</t>
  </si>
  <si>
    <t>_x0007_`COD|M00938_x0005_`EXI|0_x0005_`DVD|F_x0005_`BMK| _x0005_`IPR|0_x0005_`KWN|0_x0005_`BLA|F_x0005_`</t>
  </si>
  <si>
    <t>M00938_1</t>
  </si>
  <si>
    <t xml:space="preserve">자재   31 </t>
  </si>
  <si>
    <t>B01190</t>
  </si>
  <si>
    <t>6-1-2(현장비빔 타설)</t>
  </si>
  <si>
    <t>_x0007_`COD|M00941_x0005_`EXI|0_x0005_`DVD|F_x0005_`BMK| _x0005_`IPR|0_x0005_`KWN|0_x0005_`BLA|F_x0005_`</t>
  </si>
  <si>
    <t>M00941_1</t>
  </si>
  <si>
    <t xml:space="preserve">별산자재   34 </t>
  </si>
  <si>
    <t>_x0007_`COD|L00007_x0005_`EXI|0_x0005_`DVD|F_x0005_`BMK| _x0005_`IPR|0_x0005_`BLA|F_x0005_`</t>
  </si>
  <si>
    <t>L00007_1</t>
  </si>
  <si>
    <t xml:space="preserve">노무    4 </t>
  </si>
  <si>
    <t>_x0007_`COD|D00075_x0005_`EXI|0_x0005_`DVD|F_x0005_`BMK| _x0005_`IPR|0_x0005_`BLA|F_x0005_`</t>
  </si>
  <si>
    <t>D00075_1</t>
  </si>
  <si>
    <t>산근   4호표</t>
  </si>
  <si>
    <t>B01191</t>
  </si>
  <si>
    <t>_x0007_`COD|D02248_x0005_`EXI|0_x0005_`DVD|F_x0005_`BMK| _x0005_`IPR|0_x0005_`BLA|F_x0005_`</t>
  </si>
  <si>
    <t>D02248_1</t>
  </si>
  <si>
    <t>산근  33호표</t>
  </si>
  <si>
    <t>B01192</t>
  </si>
  <si>
    <t>6-3-3(유로폼)</t>
  </si>
  <si>
    <t>B01195</t>
  </si>
  <si>
    <t>B01196</t>
  </si>
  <si>
    <t>B01197</t>
  </si>
  <si>
    <t>B01198</t>
  </si>
  <si>
    <t>7-2-1</t>
  </si>
  <si>
    <t>B01199</t>
  </si>
  <si>
    <t>_x0007_`COD|B01198_x0005_`EXI|0_x0005_`DVD|F_x0005_`BMK| _x0005_`IPR|0_x0005_`BLA|F_x0005_`</t>
  </si>
  <si>
    <t>B01198_1</t>
  </si>
  <si>
    <t>대가  27호표</t>
  </si>
  <si>
    <t>B01201</t>
  </si>
  <si>
    <t>_x0007_`COD|M00949_x0005_`EXI|0_x0005_`DVD|F_x0005_`BMK| _x0005_`IPR|0_x0005_`KWN|0_x0005_`BLA|F_x0005_`</t>
  </si>
  <si>
    <t>M00949_1</t>
  </si>
  <si>
    <t xml:space="preserve">별산자재   41 </t>
  </si>
  <si>
    <t>_x0007_`COD|M00950_x0005_`EXI|0_x0005_`DVD|F_x0005_`BMK| _x0005_`IPR|0_x0005_`KWN|0_x0005_`BLA|F_x0005_`</t>
  </si>
  <si>
    <t>M00950_1</t>
  </si>
  <si>
    <t xml:space="preserve">자재   42 </t>
  </si>
  <si>
    <t>_x0007_`COD|X00044_x0005_`EXI|2_x0005_`DVD|F_x0005_`BMK| _x0005_`IPR|0_x0005_`BLA|F_x0005_`</t>
  </si>
  <si>
    <t>B01202</t>
  </si>
  <si>
    <t>_x0007_`COD|M00948_x0005_`EXI|0_x0005_`DVD|F_x0005_`BMK| _x0005_`IPR|0_x0005_`KWN|0_x0005_`BLA|F_x0005_`</t>
  </si>
  <si>
    <t>M00948_1</t>
  </si>
  <si>
    <t xml:space="preserve">별산자재   40 </t>
  </si>
  <si>
    <t>_x0007_`COD|D02262_x0005_`EXI|0_x0005_`DVD|F_x0005_`BMK| _x0005_`IPR|0_x0005_`BLA|F_x0005_`</t>
  </si>
  <si>
    <t>D02262_1</t>
  </si>
  <si>
    <t>산근  45호표</t>
  </si>
  <si>
    <t>B01203</t>
  </si>
  <si>
    <t>B01204</t>
  </si>
  <si>
    <t>B01207</t>
  </si>
  <si>
    <t>7-2-2찰붙임</t>
  </si>
  <si>
    <t>_x0007_`COD|M00951_x0005_`EXI|0_x0005_`DVD|F_x0005_`BMK| _x0005_`IPR|0_x0005_`KWN|0_x0005_`BLA|F_x0005_`</t>
  </si>
  <si>
    <t>M00951_1</t>
  </si>
  <si>
    <t xml:space="preserve">별산자재   43 </t>
  </si>
  <si>
    <t>_x0007_`COD|X00105_x0005_`EXI|0_x0005_`DVD|F_x0005_`BMK| _x0005_`IPR|0_x0005_`BLA|F_x0005_`</t>
  </si>
  <si>
    <t>X00105_1</t>
  </si>
  <si>
    <t xml:space="preserve">중기   25 </t>
  </si>
  <si>
    <t>B01208</t>
  </si>
  <si>
    <t>7-2-1메붙임</t>
  </si>
  <si>
    <t>공  종</t>
  </si>
  <si>
    <t>산   출   근   거</t>
  </si>
  <si>
    <t>산  출  내  역</t>
  </si>
  <si>
    <t>QTY</t>
  </si>
  <si>
    <t>T</t>
  </si>
  <si>
    <t>S</t>
  </si>
  <si>
    <t>암발파 TYPE-V  / m3</t>
  </si>
  <si>
    <t>D00006</t>
  </si>
  <si>
    <t>_x0007_</t>
  </si>
  <si>
    <t>_x0007_ '크로울러드릴'</t>
  </si>
  <si>
    <t xml:space="preserve">  크로울러드릴 </t>
  </si>
  <si>
    <t>_x0007_'1. 재료비'</t>
  </si>
  <si>
    <t xml:space="preserve"> 1. 재료비 </t>
  </si>
  <si>
    <t>_x0007_  '폭약' 0.31'Kg'* &amp;M00034M&amp; =</t>
  </si>
  <si>
    <t>자재    7M</t>
  </si>
  <si>
    <t>M00034_1</t>
  </si>
  <si>
    <t>*1</t>
  </si>
  <si>
    <t>=</t>
  </si>
  <si>
    <t>_x0007_  '뇌 관(3.5m)' 0.04'개'  * &amp;M00018M&amp; =</t>
  </si>
  <si>
    <t>자재    6M</t>
  </si>
  <si>
    <t>M00018_1</t>
  </si>
  <si>
    <t>_x0007_  (=)</t>
  </si>
  <si>
    <t>소계</t>
  </si>
  <si>
    <t>T1_1</t>
  </si>
  <si>
    <t>_x0007_  '잡재료비(바라선,전색재료등)(재료비의 5%)'</t>
  </si>
  <si>
    <t xml:space="preserve">   잡재료비(바라선,전색재료등)(재료비의 5%) </t>
  </si>
  <si>
    <t>_x0007_    &amp;M00580M&amp; * 5'%' =</t>
  </si>
  <si>
    <t>자재   23M</t>
  </si>
  <si>
    <t>M00580_1</t>
  </si>
  <si>
    <t>1*</t>
  </si>
  <si>
    <t>_x0007_  (==)</t>
  </si>
  <si>
    <t>계</t>
  </si>
  <si>
    <t>T2_1</t>
  </si>
  <si>
    <t>_x0007_'2. 노무비'</t>
  </si>
  <si>
    <t xml:space="preserve"> 2. 노무비 </t>
  </si>
  <si>
    <t>_x0007_  '화약취급공 :'  &amp;L00010L&amp; *  0.004 '인' =</t>
  </si>
  <si>
    <t>노무    5L</t>
  </si>
  <si>
    <t>L00010_1</t>
  </si>
  <si>
    <t xml:space="preserve">_x0007_  </t>
  </si>
  <si>
    <t>_x0007_  '보통인부 :'  &amp;L00017L&amp; *  0.006 '인' =</t>
  </si>
  <si>
    <t>노무    6L</t>
  </si>
  <si>
    <t>_x0007_'3.크로울러드릴(탑승유압식)(110kw)'</t>
  </si>
  <si>
    <t xml:space="preserve"> 3.크로울러드릴(탑승유압식)(110kw) </t>
  </si>
  <si>
    <t>_x0007_ 'Q = 0.014 Hr/㎥'</t>
  </si>
  <si>
    <t xml:space="preserve">  Q = 0.014 Hr/㎥ </t>
  </si>
  <si>
    <t>_x0007_'노 무 비 :'&amp;X00055L&amp; * 0.014 :=A01</t>
  </si>
  <si>
    <t>중기   15L</t>
  </si>
  <si>
    <t>X00055_1</t>
  </si>
  <si>
    <t>_x0007_'재 료 비 :'&amp;X00055M&amp; * 0.014 :=A02</t>
  </si>
  <si>
    <t>중기   15M</t>
  </si>
  <si>
    <t>1_02</t>
  </si>
  <si>
    <t>_x0007_'경    비 :'&amp;X00055S&amp; * 0.014 :=A03</t>
  </si>
  <si>
    <t>중기   15S</t>
  </si>
  <si>
    <t>1_03</t>
  </si>
  <si>
    <t>_x0007_ (=)</t>
  </si>
  <si>
    <t>_x0007_'크로울러드릴의 소모자재(비트,로드,생크로드,슬리브)- 기계경비의 24%'</t>
  </si>
  <si>
    <t xml:space="preserve"> 크로울러드릴의 소모자재(비트,로드,생크로드,슬리브)- 기계경비의 24% </t>
  </si>
  <si>
    <t>_x0007_ &amp;PA010203:S&amp; * 24'%' =</t>
  </si>
  <si>
    <t>PR_1</t>
  </si>
  <si>
    <t>_x0007_ (==)</t>
  </si>
  <si>
    <t>_x0007_'4. 굴삭기(1.0m3)'</t>
  </si>
  <si>
    <t xml:space="preserve"> 4. 굴삭기(1.0m3) </t>
  </si>
  <si>
    <t>_x0007_'Q = 0.008 Hr/㎥'</t>
  </si>
  <si>
    <t xml:space="preserve"> Q = 0.008 Hr/㎥ </t>
  </si>
  <si>
    <t>_x0007_'노 무 비  :'&amp;X00006L&amp;  * 0.008 =</t>
  </si>
  <si>
    <t>중기    5L</t>
  </si>
  <si>
    <t>X00006_1</t>
  </si>
  <si>
    <t>_x0007_'재 료 비  :'&amp;X00006M&amp;  * 0.008 =</t>
  </si>
  <si>
    <t>중기    5M</t>
  </si>
  <si>
    <t>_x0007_'경    비  :'&amp;X00006S&amp;  * 0.008 =</t>
  </si>
  <si>
    <t>중기    5S</t>
  </si>
  <si>
    <t>_x0007_(==)</t>
  </si>
  <si>
    <t>_x0007_'5. 집적: 굴삭기(1.0m3) 50% 적용'</t>
  </si>
  <si>
    <t xml:space="preserve"> 5. 집적: 굴삭기(1.0m3) 50% 적용 </t>
  </si>
  <si>
    <t>_x0007_ q'(버킷용량)' = 1.0 , k'(버킷계수)' = 0.55 ,  E'(작업효율)' = 0.45</t>
  </si>
  <si>
    <t>_x0007_ f'(체적환산계수)' = 1.15 / 1.85  =</t>
  </si>
  <si>
    <t>,</t>
  </si>
  <si>
    <t>_x0007_ Cm'(1회 사이클 시간(초))' = 20 '(135°)'</t>
  </si>
  <si>
    <t>/</t>
  </si>
  <si>
    <t>_x0007_ Q1'(시간당 작업량)' = 3600*q*k*f*E/Cm ='㎥/hr'</t>
  </si>
  <si>
    <t>_x0007_'노 무 비  :'  &amp;X00101L&amp; / Q1  / 2  =</t>
  </si>
  <si>
    <t>*</t>
  </si>
  <si>
    <t>중기   23L</t>
  </si>
  <si>
    <t>X00101_1</t>
  </si>
  <si>
    <t>1/</t>
  </si>
  <si>
    <t>_x0007_'재 료 비  :'  &amp;X00101M&amp; / Q1  / 2 =</t>
  </si>
  <si>
    <t>중기   23M</t>
  </si>
  <si>
    <t>_x0007_'경    비  :'  &amp;X00101S&amp; / Q1  / 2 =</t>
  </si>
  <si>
    <t>중기   23S</t>
  </si>
  <si>
    <t>_x0007_(===)</t>
  </si>
  <si>
    <t>합계</t>
  </si>
  <si>
    <t>T3_1</t>
  </si>
  <si>
    <t>총        계</t>
  </si>
  <si>
    <t>_x0007_'굴삭기 0.4 m3'</t>
  </si>
  <si>
    <t xml:space="preserve"> 굴삭기 0.4 m3 </t>
  </si>
  <si>
    <t>_x0007_q = 0.4 , f = 1/1.25 = , K = 0.9</t>
  </si>
  <si>
    <t>_x0007_Cm = 18'sec (135˚)', E = 0.7-0.05 =</t>
  </si>
  <si>
    <t>_x0007_Q = 3600*q*K*f*E/Cm ='m3/hr'</t>
  </si>
  <si>
    <t>-</t>
  </si>
  <si>
    <t>_x0007_'노 무 비  :'&amp;X00004L&amp; / Q  =</t>
  </si>
  <si>
    <t>중기    3L</t>
  </si>
  <si>
    <t>X00004_1</t>
  </si>
  <si>
    <t>_x0007_'재 료 비  :'&amp;X00004M&amp; / Q  =</t>
  </si>
  <si>
    <t>중기    3M</t>
  </si>
  <si>
    <t>_x0007_'경    비  :'&amp;X00004S&amp; / Q  =</t>
  </si>
  <si>
    <t>중기    3S</t>
  </si>
  <si>
    <t>_x0007_(=)</t>
  </si>
  <si>
    <t>_x0007_'1) 터 파 기(백호우0.7 m3+대형브레이카)'</t>
  </si>
  <si>
    <t xml:space="preserve"> 1) 터 파 기(백호우0.7 m3+대형브레이카) </t>
  </si>
  <si>
    <t>_x0007_Q'(시간당작업량)' =  3.5 '㎥/hr'</t>
  </si>
  <si>
    <t>_x0007_'노 무 비  :'  &amp;X00014L&amp; / Q =</t>
  </si>
  <si>
    <t>중기    7L</t>
  </si>
  <si>
    <t>X00014_1</t>
  </si>
  <si>
    <t>_x0007_'재 료 비  :'  &amp;X00014M&amp; / Q =</t>
  </si>
  <si>
    <t>중기    7M</t>
  </si>
  <si>
    <t>_x0007_'경    비  :'  &amp;X00014S&amp; / Q =</t>
  </si>
  <si>
    <t>중기    7S</t>
  </si>
  <si>
    <t>_x0007_'2) 치즐 손료 '</t>
  </si>
  <si>
    <t xml:space="preserve"> 2) 치즐 손료  </t>
  </si>
  <si>
    <t>_x0007_ S = 0.006</t>
  </si>
  <si>
    <t>_x0007_     S * &amp;M00292&amp; / Q = 'W/㎥'</t>
  </si>
  <si>
    <t>자재   20</t>
  </si>
  <si>
    <t>M00292_1</t>
  </si>
  <si>
    <t>*1/</t>
  </si>
  <si>
    <t xml:space="preserve">_x0007_ </t>
  </si>
  <si>
    <t>_x0007_'(3) 집적 (굴삭기 0.7 ㎥)  '</t>
  </si>
  <si>
    <t xml:space="preserve"> (3) 집적 (굴삭기 0.7 ㎥)   </t>
  </si>
  <si>
    <t>_x0007_ q = 0.7 , k = 0.55 ,  E = 0.45</t>
  </si>
  <si>
    <t>_x0007_ f = 1 / 1.40  =</t>
  </si>
  <si>
    <t>_x0007_ Cm = 20 '(125°)'</t>
  </si>
  <si>
    <t>_x0007_ Q1 = 3600*q*k*f*E/Cm ='㎥/hr'</t>
  </si>
  <si>
    <t>_x0007_'노 무 비  :'  &amp;X00009L&amp; / Q1  =</t>
  </si>
  <si>
    <t>중기    6L</t>
  </si>
  <si>
    <t>X00009_1</t>
  </si>
  <si>
    <t>_x0007_'재 료 비  :'  &amp;X00009M&amp; / Q1  =</t>
  </si>
  <si>
    <t>중기    6M</t>
  </si>
  <si>
    <t>_x0007_'경    비  :'  &amp;X00009S&amp; / Q1  =</t>
  </si>
  <si>
    <t>중기    6S</t>
  </si>
  <si>
    <t>_x0007_ '콘크리트믹서사용 0.45 m3  / m3'</t>
  </si>
  <si>
    <t xml:space="preserve">  콘크리트믹서사용 0.45 m3  / m3 </t>
  </si>
  <si>
    <t>_x0007_ '건설표준품셈 6-1-2 콘크리트믹서의 작업량 계산 적용'</t>
  </si>
  <si>
    <t xml:space="preserve">  건설표준품셈 6-1-2 콘크리트믹서의 작업량 계산 적용 </t>
  </si>
  <si>
    <t>_x0007_ q'(콘크리트믹서의 용량(m3))' = 0.45, E'(작업효율)' = 0.8</t>
  </si>
  <si>
    <t>_x0007_'4 : 4분. 재료투입 혼합배출등 작업시간(분)'</t>
  </si>
  <si>
    <t xml:space="preserve"> 4 : 4분. 재료투입 혼합배출등 작업시간(분) </t>
  </si>
  <si>
    <t>_x0007_ Q'(콘크리트믹서의 시간당 생산량(m3/hr))' = 60 * q * E / 4 ='m3/Hr'</t>
  </si>
  <si>
    <t>_x0007_'노 무 비  :'  &amp;X00048L&amp; / Q  =</t>
  </si>
  <si>
    <t>중기   14L</t>
  </si>
  <si>
    <t>X00048_1</t>
  </si>
  <si>
    <t>_x0007_'재 료 비  :'  &amp;X00048M&amp; / Q  =</t>
  </si>
  <si>
    <t>중기   14M</t>
  </si>
  <si>
    <t>_x0007_'경    비  :'  &amp;X00048S&amp; / Q  =</t>
  </si>
  <si>
    <t>중기   14S</t>
  </si>
  <si>
    <t>_x0007_'건설표준품셈 11-3 굴삭기 적용'</t>
  </si>
  <si>
    <t xml:space="preserve"> 건설표준품셈 11-3 굴삭기 적용 </t>
  </si>
  <si>
    <t>_x0007_'적용기계장비 : 굴삭기 0.7m3'</t>
  </si>
  <si>
    <t xml:space="preserve"> 적용기계장비 : 굴삭기 0.7m3 </t>
  </si>
  <si>
    <t>_x0007_'t(노면정리 깊이) = 0.1m , N(굴삭기 사이클횟수)=3회'</t>
  </si>
  <si>
    <t xml:space="preserve"> t(노면정리 깊이) = 0.1m , N(굴삭기 사이클횟수)=3회 </t>
  </si>
  <si>
    <t>_x0007_q'(버킷용량)'= 0.7 , f'(토량의 체적 환산계수)'= 1</t>
  </si>
  <si>
    <t>_x0007_K'(버킷계수)'= 0.90</t>
  </si>
  <si>
    <t>_x0007_Cm'(1회 사이클 시간(초))'= 18'sec (90˚)', E'(작업효율)'= 0.55</t>
  </si>
  <si>
    <t>_x0007_Q'(시간당 작업량)'= 3600*q*K*f*E/Cm ='m3/hr'</t>
  </si>
  <si>
    <t>_x0007_'노 무 비  :'&amp;X00005L&amp; / Q * 0.1 * 3 =</t>
  </si>
  <si>
    <t>중기    4L</t>
  </si>
  <si>
    <t>_x0007_'재 료 비  :'&amp;X00005M&amp; / Q * 0.1 * 3 =</t>
  </si>
  <si>
    <t>중기    4M</t>
  </si>
  <si>
    <t>_x0007_'경    비  :'&amp;X00005S&amp; / Q * 0.1 * 3 =</t>
  </si>
  <si>
    <t>중기    4S</t>
  </si>
  <si>
    <t>_x0007_'뒷채움 150m/m 내외  / m3'</t>
  </si>
  <si>
    <t xml:space="preserve"> 뒷채움 150m/m 내외  / m3 </t>
  </si>
  <si>
    <t>_x0007_'건설표준품셈 3-4-2 기초다짐 및 뒷채움 적용'</t>
  </si>
  <si>
    <t xml:space="preserve"> 건설표준품셈 3-4-2 기초다짐 및 뒷채움 적용 </t>
  </si>
  <si>
    <t>_x0007_'1)막자갈 : 별도계상 '</t>
  </si>
  <si>
    <t xml:space="preserve"> 1)막자갈 : 별도계상  </t>
  </si>
  <si>
    <t>_x0007_'2)뒷채움'</t>
  </si>
  <si>
    <t xml:space="preserve"> 2)뒷채움 </t>
  </si>
  <si>
    <t>_x0007_'①인력'</t>
  </si>
  <si>
    <t xml:space="preserve"> ①인력 </t>
  </si>
  <si>
    <t>_x0007_ '보통인부:'0.018 * &amp;L00017&amp;  =</t>
  </si>
  <si>
    <t>_x0007_'②굴삭기(0.2m3)'</t>
  </si>
  <si>
    <t xml:space="preserve"> ②굴삭기(0.2m3) </t>
  </si>
  <si>
    <t>_x0007_'노무비:'&amp;X00003L&amp; * 0.07 =</t>
  </si>
  <si>
    <t>중기    2L</t>
  </si>
  <si>
    <t>X00003_1</t>
  </si>
  <si>
    <t>_x0007_'재료비:'&amp;X00003M&amp; * 0.07 =</t>
  </si>
  <si>
    <t>중기    2M</t>
  </si>
  <si>
    <t>_x0007_'경  비:'&amp;X00003S&amp; * 0.07 =</t>
  </si>
  <si>
    <t>중기    2S</t>
  </si>
  <si>
    <t>_x0007_ '막자갈채집 0.7m3  / m3'</t>
  </si>
  <si>
    <t xml:space="preserve">  막자갈채집 0.7m3  / m3 </t>
  </si>
  <si>
    <t>_x0007_ '건설표준품셈 11-3 굴삭기 적용'</t>
  </si>
  <si>
    <t xml:space="preserve">  건설표준품셈 11-3 굴삭기 적용 </t>
  </si>
  <si>
    <t>_x0007_ '작업조건 : 계곡에 산재한 막자갈을 채집'</t>
  </si>
  <si>
    <t xml:space="preserve">  작업조건 : 계곡에 산재한 막자갈을 채집 </t>
  </si>
  <si>
    <t>_x0007_ '운반거리 : 20m(1회 10m 2단)'</t>
  </si>
  <si>
    <t xml:space="preserve">  운반거리 : 20m(1회 10m 2단) </t>
  </si>
  <si>
    <t>_x0007_ '적용기계 : 굴삭기(무한궤도 0.7m3 급)'</t>
  </si>
  <si>
    <t xml:space="preserve">  적용기계 : 굴삭기(무한궤도 0.7m3 급) </t>
  </si>
  <si>
    <t>_x0007_'(1) 채집  '</t>
  </si>
  <si>
    <t xml:space="preserve"> (1) 채집   </t>
  </si>
  <si>
    <t>_x0007_'①기계: 굴삭기 0.7m3'</t>
  </si>
  <si>
    <t xml:space="preserve"> ①기계: 굴삭기 0.7m3 </t>
  </si>
  <si>
    <t>_x0007_ q'(버킷용량)' = 0.7 , f'(체적환산계수)' = 1/1.125 =</t>
  </si>
  <si>
    <t>_x0007_ K'(버킷계수)' = 0.55</t>
  </si>
  <si>
    <t>_x0007_ Cm'(사이클시간)' = 20'sec (135˚)'</t>
  </si>
  <si>
    <t>_x0007_ E'(작업효율)' = 0.35</t>
  </si>
  <si>
    <t>_x0007_ Q'(시간당작업량)' = 3600*q*K*f*E/Cm ='m3/hr'</t>
  </si>
  <si>
    <t>_x0007_'노 무 비  :'&amp;X00009L&amp; / Q * 2 =</t>
  </si>
  <si>
    <t>_x0007_'재 료 비  :'&amp;X00009M&amp; / Q * 2 =</t>
  </si>
  <si>
    <t>_x0007_'경    비  :'&amp;X00009S&amp; / Q * 2 =</t>
  </si>
  <si>
    <t>_x0007_'2) 운 반 (덤프2.5톤)'</t>
  </si>
  <si>
    <t xml:space="preserve"> 2) 운 반 (덤프2.5톤) </t>
  </si>
  <si>
    <t>_x0007_L'(운반거리)' = 0.1 'Km'</t>
  </si>
  <si>
    <t>_x0007_E'(작업효율)' = 0.9 , f'(체적환산계수)' = 1</t>
  </si>
  <si>
    <t>_x0007_q1'(버킷용량)' = (2.5/1.7) * 1.0 =</t>
  </si>
  <si>
    <t>_x0007_'n (덤프트럭1대의 토량을 적재하는데 소요되는적재기계의 사이클횟수)'</t>
  </si>
  <si>
    <t>(</t>
  </si>
  <si>
    <t>)*</t>
  </si>
  <si>
    <t xml:space="preserve"> n (덤프트럭1대의 토량을 적재하는데 소요되는적재기계의 사이클횟수) </t>
  </si>
  <si>
    <t>_x0007_n =q1 / (0.70 * k) = '회'</t>
  </si>
  <si>
    <t>_x0007_t1'(적재시간)' =15 * n / (60 * 0.45) ='분'</t>
  </si>
  <si>
    <t>/(</t>
  </si>
  <si>
    <t>)</t>
  </si>
  <si>
    <t>_x0007_t2'(왕복시간)' =(L/10+L/15)* 60 ='분'</t>
  </si>
  <si>
    <t>_x0007_t3'(적하시간)' = 0.8'분'</t>
  </si>
  <si>
    <t>+</t>
  </si>
  <si>
    <t>_x0007_t4'(적재작업이 시작될때까지의시간)' = 0.7'분'</t>
  </si>
  <si>
    <t>_x0007_Cm'(1회 사이클 시간(분))' = t1 + t2 + t3 + t4 ='분'</t>
  </si>
  <si>
    <t>_x0007_Q1'(시간당작업량)' = 60 * q1 * f * E / Cm ='m3/hr'</t>
  </si>
  <si>
    <t>_x0007_'노 무 비  :'  &amp;X00074L&amp; / Q1 =</t>
  </si>
  <si>
    <t>중기   16L</t>
  </si>
  <si>
    <t>X00074_1</t>
  </si>
  <si>
    <t>_x0007_'재 료 비  :'  &amp;X00074M&amp; / Q1 =</t>
  </si>
  <si>
    <t>중기   16M</t>
  </si>
  <si>
    <t>_x0007_'경    비  :'  &amp;X00074S&amp; / Q1 =</t>
  </si>
  <si>
    <t>중기   16S</t>
  </si>
  <si>
    <t>_x0007_'유용토운반 무대 / m3'</t>
  </si>
  <si>
    <t xml:space="preserve"> 유용토운반 무대 / m3 </t>
  </si>
  <si>
    <t>_x0007_ '성토사면다짐 굴삭기0.7m3+진동콤팩터  / m2'</t>
  </si>
  <si>
    <t xml:space="preserve">  성토사면다짐 굴삭기0.7m3+진동콤팩터  / m2 </t>
  </si>
  <si>
    <t>_x0007_ '임표준품셈 9-3(임도성토면다짐) 적용 '</t>
  </si>
  <si>
    <t xml:space="preserve">  임표준품셈 9-3(임도성토면다짐) 적용  </t>
  </si>
  <si>
    <t>_x0007_'적용기계장비 : 굴삭기(무한궤도 0.7m3)+진동콤팩터 '</t>
  </si>
  <si>
    <t xml:space="preserve"> 적용기계장비 : 굴삭기(무한궤도 0.7m3)+진동콤팩터  </t>
  </si>
  <si>
    <t>_x0007_Q'(시간당 작업량)'  = 77.7  'm2/hr'</t>
  </si>
  <si>
    <t>_x0007_'노 무 비  :'&amp;X00099L&amp; / Q  =</t>
  </si>
  <si>
    <t>중기   22L</t>
  </si>
  <si>
    <t>X00099_1</t>
  </si>
  <si>
    <t>_x0007_'재 료 비  :'&amp;X00099M&amp; / Q  =</t>
  </si>
  <si>
    <t>중기   22M</t>
  </si>
  <si>
    <t>_x0007_'경    비  :'&amp;X00099S&amp; / Q  =</t>
  </si>
  <si>
    <t>중기   22S</t>
  </si>
  <si>
    <t>_x0007_ '고임돌채집 0.2m3  / m3'</t>
  </si>
  <si>
    <t xml:space="preserve">  고임돌채집 0.2m3  / m3 </t>
  </si>
  <si>
    <t>_x0007_ '작업조건 : 계곡에 산재한 고임돌을 채집'</t>
  </si>
  <si>
    <t xml:space="preserve">  작업조건 : 계곡에 산재한 고임돌을 채집 </t>
  </si>
  <si>
    <t>_x0007_'①기계: 굴삭기 0.2m3 '</t>
  </si>
  <si>
    <t xml:space="preserve"> ①기계: 굴삭기 0.2m3  </t>
  </si>
  <si>
    <t>_x0007_ q'(버킷용량(m3))' = 0.2 , f'(체적환산계수)' = 1/1.125</t>
  </si>
  <si>
    <t>_x0007_ Cm'(사이클 시간(초))' = 20'sec (135˚)', E'(작업효율)' = 0.35</t>
  </si>
  <si>
    <t>_x0007_'노 무 비  :'&amp;X00003L&amp; / Q * 2 =</t>
  </si>
  <si>
    <t>_x0007_'재 료 비  :'&amp;X00003M&amp; / Q * 2 =</t>
  </si>
  <si>
    <t>_x0007_'경    비  :'&amp;X00003S&amp; / Q * 2 =</t>
  </si>
  <si>
    <t>_x0007_' 야면석채집 (L3=45Cm내외)'</t>
  </si>
  <si>
    <t xml:space="preserve">  야면석채집 (L3=45Cm내외) </t>
  </si>
  <si>
    <t>_x0007_ '◇작업조건 : '</t>
  </si>
  <si>
    <t xml:space="preserve">  ◇작업조건 :  </t>
  </si>
  <si>
    <t>_x0007_ '계곡에 산재하여 매몰되어 있는 곳에서'</t>
  </si>
  <si>
    <t xml:space="preserve">  계곡에 산재하여 매몰되어 있는 곳에서 </t>
  </si>
  <si>
    <t>_x0007_ '굴삭기(0.7m3) 버켓용량(q)1회 2개 적용'</t>
  </si>
  <si>
    <t xml:space="preserve">  굴삭기(0.7m3) 버켓용량(q)1회 2개 적용 </t>
  </si>
  <si>
    <t>_x0007_'(1) 채집'</t>
  </si>
  <si>
    <t xml:space="preserve"> (1) 채집 </t>
  </si>
  <si>
    <t>_x0007_'① 굴삭기 0.7㎥'</t>
  </si>
  <si>
    <t xml:space="preserve"> ① 굴삭기 0.7㎥ </t>
  </si>
  <si>
    <t>_x0007_ q'(버킷용량)' = 2/11 ='m2' , f'(체적환산계수)' = 1  ,</t>
  </si>
  <si>
    <t>_x0007_ Cm'(1회ㅣ 사이클시간(초))' = 20'sec (135˚)', E'(작업효율)' = 0.45</t>
  </si>
  <si>
    <t>_x0007_ Q'(시간당작업량)' = 3600*q*K*f*E/Cm ='m2/hr'</t>
  </si>
  <si>
    <t>_x0007_'노 무 비  :'&amp;X00009L&amp; / Q =</t>
  </si>
  <si>
    <t>_x0007_'재 료 비  :'&amp;X00009M&amp; / Q =</t>
  </si>
  <si>
    <t>_x0007_'경    비  :'&amp;X00009S&amp; / Q =</t>
  </si>
  <si>
    <t>_x0007_'(2) 상차 '</t>
  </si>
  <si>
    <t xml:space="preserve"> (2) 상차  </t>
  </si>
  <si>
    <t>_x0007_ q'(버킷용량)' = 2/11 ='m2' , f'(체적환산계수)' = 1</t>
  </si>
  <si>
    <t>_x0007_ K '(버킷계수)'= 0.7</t>
  </si>
  <si>
    <t>_x0007_ Cm1'(1회ㅣ 사이클시간(초))' = 20'sec (135˚)'</t>
  </si>
  <si>
    <t>_x0007_ E1'(작업효율)' = 0.45</t>
  </si>
  <si>
    <t>_x0007_ Q'(시간당작업량)' = 3600*q*K*f*E1/Cm1 ='m2/hr'</t>
  </si>
  <si>
    <t>_x0007_'노 무 비  :'&amp;X00009L&amp; / Q  =</t>
  </si>
  <si>
    <t>_x0007_'재 료 비  :'&amp;X00009M&amp; / Q  =</t>
  </si>
  <si>
    <t>_x0007_'경    비  :'&amp;X00009S&amp; / Q  =</t>
  </si>
  <si>
    <t>_x0007_'2-2 운 반 (덤프4.50톤)'</t>
  </si>
  <si>
    <t xml:space="preserve"> 2-2 운 반 (덤프4.50톤) </t>
  </si>
  <si>
    <t>_x0007_q1'(흐트러진상태의 덤프트럭 1회 적재량)'  = 4500 / 910  =</t>
  </si>
  <si>
    <t>_x0007_E'(작업효율)' = 0.9 , f'(체적환산계수)' = 1 , k'(버킷계수)' = 0.7</t>
  </si>
  <si>
    <t>_x0007_q2'(흐트러진상태의 덤프트럭 1회 적재량)'  = 2 / 12  = 'm2'</t>
  </si>
  <si>
    <t>_x0007_n'(소요되는적재기계의 사이클횟수)' = q1 / (q2 * k) = '회'</t>
  </si>
  <si>
    <t>_x0007_t1'(적재시간)' = Cm1 * n / (60 * E1) ='분'</t>
  </si>
  <si>
    <t>_x0007_t2'(왕복시간)' =(L/10+L/15) * 60 ='분'</t>
  </si>
  <si>
    <t>_x0007_t4'(적재장소 도착한 때로부터 적재작업이 시작될 때까지의 시간)' = 0.7'분'</t>
  </si>
  <si>
    <t>_x0007_Q'(시간당 작업량)' = 60 * q1 * f * E / Cm ='m2/hr'</t>
  </si>
  <si>
    <t>_x0007_'노 무 비  :'  &amp;X00092L&amp; / Q  =</t>
  </si>
  <si>
    <t>중기   21L</t>
  </si>
  <si>
    <t>X00092_1</t>
  </si>
  <si>
    <t>_x0007_'재 료 비  :'  &amp;X00092M&amp; / Q  =</t>
  </si>
  <si>
    <t>중기   21M</t>
  </si>
  <si>
    <t>_x0007_'경    비  :'  &amp;X00092S&amp; / Q  =</t>
  </si>
  <si>
    <t>중기   21S</t>
  </si>
  <si>
    <t>_x0007_ '측구파기 연암 '</t>
  </si>
  <si>
    <t xml:space="preserve">  측구파기 연암  </t>
  </si>
  <si>
    <t>_x0007_'1) 터 파 기(굴삭기0.7 m3+대형브레이카)'</t>
  </si>
  <si>
    <t xml:space="preserve"> 1) 터 파 기(굴삭기0.7 m3+대형브레이카) </t>
  </si>
  <si>
    <t>_x0007_Q = 3.5 '㎥/hr'</t>
  </si>
  <si>
    <t>_x0007_'(2) 치즐 손료 '</t>
  </si>
  <si>
    <t xml:space="preserve"> (2) 치즐 손료  </t>
  </si>
  <si>
    <t>_x0007_     S*&amp;M00292&amp;/ Q ='W/㎥'</t>
  </si>
  <si>
    <t>_x0007_ Cm = 20 '(135°)'</t>
  </si>
  <si>
    <t>_x0007_'토사절취  굴삭기 0.7m3'</t>
  </si>
  <si>
    <t xml:space="preserve"> 토사절취  굴삭기 0.7m3 </t>
  </si>
  <si>
    <t>_x0007_ '건설품셈  11-3 굴삭기적용'</t>
  </si>
  <si>
    <t xml:space="preserve">  건설품셈  11-3 굴삭기적용 </t>
  </si>
  <si>
    <t>_x0007_ q'(버킷용량(m3))' = 0.7 , f'(체적환산계수)' = 1/1.25 =</t>
  </si>
  <si>
    <t>_x0007_ K'(버킷계수)' = 0.9</t>
  </si>
  <si>
    <t>_x0007_ Cm'(사이클 시간(초))' = 20'sec (135˚)', E'(작업효율)' = 0.55</t>
  </si>
  <si>
    <t>_x0007_'노 무 비  :'&amp;X00005L&amp; / Q =</t>
  </si>
  <si>
    <t>_x0007_'재 료 비  :'&amp;X00005M&amp; / Q =</t>
  </si>
  <si>
    <t>_x0007_'경    비  :'&amp;X00005S&amp; / Q =</t>
  </si>
  <si>
    <t>_x0007_' 터파기  굴삭기0.7m3'</t>
  </si>
  <si>
    <t xml:space="preserve">  터파기  굴삭기0.7m3 </t>
  </si>
  <si>
    <t>_x0007_ '건설표준품셈 3-1-3(터파기),11-3(굴삭기) 적용'</t>
  </si>
  <si>
    <t xml:space="preserve">  건설표준품셈 3-1-3(터파기),11-3(굴삭기) 적용 </t>
  </si>
  <si>
    <t>_x0007_'1) 굴삭기0.7m3 적용'</t>
  </si>
  <si>
    <t xml:space="preserve"> 1) 굴삭기0.7m3 적용 </t>
  </si>
  <si>
    <t>_x0007_q'(버킷용량)' = 0.7 , f'(체적환산계수)' = 1/1.25 =</t>
  </si>
  <si>
    <t>_x0007_K'(버킷계수)' = 0.9</t>
  </si>
  <si>
    <t>_x0007_Cm'(1회 사이클 시간(초)' = 20'sec (135˚)'</t>
  </si>
  <si>
    <t>_x0007_E'(작업효율)' = 0.7-0.05 =</t>
  </si>
  <si>
    <t>_x0007_Q'(시간당작업량)' = 3600*q*K*f*E/Cm ='m3/hr'</t>
  </si>
  <si>
    <t>_x0007_'노 무 비  :'&amp;X00005L&amp; / Q  =</t>
  </si>
  <si>
    <t>_x0007_'재 료 비  :'&amp;X00005M&amp; / Q  =</t>
  </si>
  <si>
    <t>_x0007_'경    비  :'&amp;X00005S&amp; / Q  =</t>
  </si>
  <si>
    <t>_x0007_'구조물 되메우기 굴삭기0.7m3'</t>
  </si>
  <si>
    <t xml:space="preserve"> 구조물 되메우기 굴삭기0.7m3 </t>
  </si>
  <si>
    <t>_x0007_'건설표준품셈 3-1-3(터파기) &lt;주&gt;⑥ 11-3(굴삭기) 적용'</t>
  </si>
  <si>
    <t xml:space="preserve"> 건설표준품셈 3-1-3(터파기) &lt;주&gt;⑥ 11-3(굴삭기) 적용 </t>
  </si>
  <si>
    <t>_x0007_'되메우기 '</t>
  </si>
  <si>
    <t xml:space="preserve"> 되메우기  </t>
  </si>
  <si>
    <t>_x0007_'1)기 계 ( 굴삭기 0.7 m3 )'</t>
  </si>
  <si>
    <t xml:space="preserve"> 1)기 계 ( 굴삭기 0.7 m3 ) </t>
  </si>
  <si>
    <t>_x0007_ q'(버킷용량)' = 0.7 , f'(체적환산계수)' = 1/1.25 =</t>
  </si>
  <si>
    <t>_x0007_ Cm'(1회 사이클 시간(초))' = 20'sec(135˚)'</t>
  </si>
  <si>
    <t>_x0007_ E '(작업효율)'=0.75</t>
  </si>
  <si>
    <t>_x0007_'(1) 암 절 취(대형브레이카+굴삭기 0.7m3)'</t>
  </si>
  <si>
    <t xml:space="preserve"> (1) 암 절 취(대형브레이카+굴삭기 0.7m3) </t>
  </si>
  <si>
    <t>_x0007_ '건설표준품셈 11-3(굴삭기) , 11-18(대형 브레이카) 적용'</t>
  </si>
  <si>
    <t xml:space="preserve">  건설표준품셈 11-3(굴삭기) , 11-18(대형 브레이카) 적용 </t>
  </si>
  <si>
    <t>_x0007_'연암 '</t>
  </si>
  <si>
    <t xml:space="preserve"> 연암  </t>
  </si>
  <si>
    <t>_x0007_Q'(시간당작업량)'=5.0= '㎥/hr'</t>
  </si>
  <si>
    <t xml:space="preserve">_x0007_             </t>
  </si>
  <si>
    <t>_x0007_   0.006 * &amp;M00292&amp;/ Q='W/㎥'</t>
  </si>
  <si>
    <t>_x0007_'(3) 집적 (굴삭기 0.7 ㎥) 50%적용  '</t>
  </si>
  <si>
    <t xml:space="preserve"> (3) 집적 (굴삭기 0.7 ㎥) 50%적용   </t>
  </si>
  <si>
    <t>_x0007_ q'(버킷용량)' = 0.7 , k'(버킷계수)' = 0.55 ,  E'(작업효율)' = 0.45</t>
  </si>
  <si>
    <t>_x0007_ f'(체적환산계수)' = 1 / 1.40  =</t>
  </si>
  <si>
    <t>_x0007_'노 무 비  :'  &amp;X00009L&amp; / Q1  / 2  =</t>
  </si>
  <si>
    <t>_x0007_'재 료 비  :'  &amp;X00009M&amp; / Q1  / 2 =</t>
  </si>
  <si>
    <t>_x0007_'경    비  :'  &amp;X00009S&amp; / Q1  / 2 =</t>
  </si>
  <si>
    <t>_x0007_' 파쇄석 운반 '</t>
  </si>
  <si>
    <t xml:space="preserve">  파쇄석 운반  </t>
  </si>
  <si>
    <t>_x0007_         ' 포  장 :' L1 = 73.00'km'</t>
  </si>
  <si>
    <t>_x0007_' 골재장  -------------------------&gt; 현장 '</t>
  </si>
  <si>
    <t xml:space="preserve">  골재장  -------------------------&gt; 현장  </t>
  </si>
  <si>
    <t>_x0007_         ' 비포장 :' L2 = 7.00'km'</t>
  </si>
  <si>
    <t>_x0007_ '1. 골재대 : 별도계상'</t>
  </si>
  <si>
    <t xml:space="preserve">  1. 골재대 : 별도계상 </t>
  </si>
  <si>
    <t>_x0007_ '2.덤프 15ton과 24ton 비교'</t>
  </si>
  <si>
    <t xml:space="preserve">  2.덤프 15ton과 24ton 비교 </t>
  </si>
  <si>
    <t>_x0007_ '2-1. 운  반 (덤프 15ton)'</t>
  </si>
  <si>
    <t xml:space="preserve">  2-1. 운  반 (덤프 15ton) </t>
  </si>
  <si>
    <t>_x0007_ '상차기계:로더1.34m3급 '</t>
  </si>
  <si>
    <t xml:space="preserve">  상차기계:로더1.34m3급  </t>
  </si>
  <si>
    <t>_x0007_ '1회당 상차량 :  1.34 * 0.77 * 2.65 = 2.73ton '</t>
  </si>
  <si>
    <t xml:space="preserve">  1회당 상차량 :  1.34 * 0.77 * 2.65 = 2.73ton  </t>
  </si>
  <si>
    <t>_x0007_ f'(체적환산계수)'=1= , E'(작업효율)'=0.9</t>
  </si>
  <si>
    <t>_x0007_ k'(버킷계수)'=0.55</t>
  </si>
  <si>
    <t>_x0007_ V1=30 , V2=35 , V3=10 , V4=15</t>
  </si>
  <si>
    <t>_x0007_ q1'(덤프트럭 1회 적재량(ton))' = 15</t>
  </si>
  <si>
    <t>_x0007_ 'n (덤프트럭1대의 토량을 적재하는데 소요되는적재기계의 사이클횟수)'</t>
  </si>
  <si>
    <t xml:space="preserve">  n (덤프트럭1대의 토량을 적재하는데 소요되는적재기계의 사이클횟수) </t>
  </si>
  <si>
    <t>_x0007_ n =q1 / (2.73 * k) = '회'</t>
  </si>
  <si>
    <t>_x0007_ t1'(적재시간)' =20 * n / (60 * 0.35) ='분'</t>
  </si>
  <si>
    <t>_x0007_ t2'(왕복시간)'=(L1/V1+L1/V2+L2/V3+L2/V4 ) * 60 ='분'</t>
  </si>
  <si>
    <t>_x0007_ t3'(적하시간)'=1.1'분'</t>
  </si>
  <si>
    <t>_x0007_ t4'(적재작업이 시작될 때까지의 시간)'=0.15'분'</t>
  </si>
  <si>
    <t>_x0007_ t5'(적재함 덮개 설치 및 해체시간(분)' = 0.5'분'</t>
  </si>
  <si>
    <t>_x0007_ t6'(세륜기통과시간)'=1.5'분'</t>
  </si>
  <si>
    <t>_x0007_ Cm'(1회 사이클 시간(분))' = t1 + t2 + t3 + t4 + t5 +t6 ='분'</t>
  </si>
  <si>
    <t>_x0007_ Q'(시간당작업량)' = 60 * q1 * f * E / Cm ='ton/hr'</t>
  </si>
  <si>
    <t>_x0007_ '노 무 비  :'  &amp;X00031L&amp; / Q =</t>
  </si>
  <si>
    <t>중기   10L</t>
  </si>
  <si>
    <t>X00031_1</t>
  </si>
  <si>
    <t>_x0007_ '재 료 비  :'  &amp;X00031M&amp; / Q =</t>
  </si>
  <si>
    <t>중기   10M</t>
  </si>
  <si>
    <t>_x0007_ '경    비  :'  &amp;X00031S&amp; / Q =</t>
  </si>
  <si>
    <t>중기   10S</t>
  </si>
  <si>
    <t>_x0007_                &amp;X00032S&amp; / Q =</t>
  </si>
  <si>
    <t>중기   11S</t>
  </si>
  <si>
    <t>X00032_1</t>
  </si>
  <si>
    <t>_x0007_(-=)</t>
  </si>
  <si>
    <t>소계(제외금액)</t>
  </si>
  <si>
    <t>C1_1</t>
  </si>
  <si>
    <t>_x0007_ '2-2. 운  반 (덤프 24ton)'</t>
  </si>
  <si>
    <t xml:space="preserve">  2-2. 운  반 (덤프 24ton) </t>
  </si>
  <si>
    <t>_x0007_ q1'(덤프트럭 1회 적재량(ton))' = 24</t>
  </si>
  <si>
    <t>_x0007_ OH'(상차 10분 초과 시 운반기계의 유류보정)'=(cm-t1)/Cm=</t>
  </si>
  <si>
    <t>_x0007_ '노 무 비  :'  &amp;X00087L&amp; / Q =</t>
  </si>
  <si>
    <t>)/</t>
  </si>
  <si>
    <t>중기   19L</t>
  </si>
  <si>
    <t>X00087_1</t>
  </si>
  <si>
    <t>_x0007_ '재 료 비  :'  &amp;X00087M&amp; / Q *OH =</t>
  </si>
  <si>
    <t>중기   19M</t>
  </si>
  <si>
    <t>_x0007_ '경    비  :'  &amp;X00087S&amp; / Q =</t>
  </si>
  <si>
    <t>중기   19S</t>
  </si>
  <si>
    <t>_x0007_                &amp;S00168S&amp; / Q =</t>
  </si>
  <si>
    <t>경비   21S</t>
  </si>
  <si>
    <t>S00168_1</t>
  </si>
  <si>
    <t>총        계  (경비 로적용)</t>
  </si>
  <si>
    <t>_x0007_' 야면석 채집 (L3=35Cm내외)'</t>
  </si>
  <si>
    <t xml:space="preserve">  야면석 채집 (L3=35Cm내외) </t>
  </si>
  <si>
    <t>_x0007_ '굴삭기(0.7m3) 버켓용량(q)1회 3개 적용'</t>
  </si>
  <si>
    <t xml:space="preserve">  굴삭기(0.7m3) 버켓용량(q)1회 3개 적용 </t>
  </si>
  <si>
    <t>_x0007_ q'(버킷용량)' = 3/16 ='m2' , f'(체적환산계수)' = 1  ,</t>
  </si>
  <si>
    <t>_x0007_ q'(버킷용량)' = 3/16 ='m2' , f'(체적환산계수)' = 1</t>
  </si>
  <si>
    <t>_x0007_q1'(흐트러진상태의 덤프트럭 1회 적재량)'  = 4500 / 710  =</t>
  </si>
  <si>
    <t>_x0007_'1)다짐기(굴삭기 0.7m3)'</t>
  </si>
  <si>
    <t xml:space="preserve"> 1)다짐기(굴삭기 0.7m3) </t>
  </si>
  <si>
    <t>_x0007_ q'(버킷용량)'= 0.7 , f'(체적환산계수)'= 1/1.25 , K'(버킷계수)'= 0.90</t>
  </si>
  <si>
    <t>_x0007_ Cm'(1회 사이클 시간(초))'= 18'sec (90˚)', E '(작업효율)'= 0.75</t>
  </si>
  <si>
    <t>_x0007_ Q'(시간당 작업량)' = 3600*q*K*f*E/Cm ='m3/hr'</t>
  </si>
  <si>
    <t>_x0007_'노 무 비  :'&amp;X00005L&amp; / Q   =</t>
  </si>
  <si>
    <t>_x0007_'재 료 비  :'&amp;X00005M&amp; / Q   =</t>
  </si>
  <si>
    <t>_x0007_'경    비  :'&amp;X00005S&amp; / Q   =</t>
  </si>
  <si>
    <t>_x0007_'가) 사토처리 (굴삭기 0.7m3) 적용 '</t>
  </si>
  <si>
    <t xml:space="preserve"> 가) 사토처리 (굴삭기 0.7m3) 적용  </t>
  </si>
  <si>
    <t>_x0007_q'(버킷용량)'= 0.7 , k'(버킷계수)'= 0.9 , f'(체적환산계수)'= 1</t>
  </si>
  <si>
    <t>_x0007_E'(작업효율)'= 0.75 , Cm'(1회사이클시간(초))'= 18 'sec(90)'</t>
  </si>
  <si>
    <t>_x0007_Q'(시간당 작업량)' = 3600*q*k*E*f/Cm ='m3/hr'</t>
  </si>
  <si>
    <t>_x0007_'노 무 비  :'  &amp;X00005L&amp; / Q  =</t>
  </si>
  <si>
    <t>_x0007_'재 료 비  :'  &amp;X00005M&amp; / Q  =</t>
  </si>
  <si>
    <t>_x0007_'경    비  :'  &amp;X00005S&amp; / Q  =</t>
  </si>
  <si>
    <t>_x0007_'중 기 운 반    (20톤 트레일러) '</t>
  </si>
  <si>
    <t xml:space="preserve"> 중 기 운 반    (20톤 트레일러)  </t>
  </si>
  <si>
    <t>_x0007_'소재지 ---------------------&gt;   현장'</t>
  </si>
  <si>
    <t xml:space="preserve"> 소재지 ---------------------&gt;   현장 </t>
  </si>
  <si>
    <t>_x0007_'건설표준품셈 11-6나(트럭트레일러) 적용'</t>
  </si>
  <si>
    <t xml:space="preserve"> 건설표준품셈 11-6나(트럭트레일러) 적용 </t>
  </si>
  <si>
    <t>_x0007_'중 기 운 반    (20톤 트레일러)'</t>
  </si>
  <si>
    <t xml:space="preserve"> 중 기 운 반    (20톤 트레일러) </t>
  </si>
  <si>
    <t>_x0007_L1= 12.0'km(포  장)'</t>
  </si>
  <si>
    <t>_x0007_L2= 7.00'km(비포장)'</t>
  </si>
  <si>
    <t>_x0007_V1= 30'km/hr'</t>
  </si>
  <si>
    <t>_x0007_V2= 35'km/hr'</t>
  </si>
  <si>
    <t>_x0007_V3= 10'km/hr'</t>
  </si>
  <si>
    <t>_x0007_V4= 15'km/hr'</t>
  </si>
  <si>
    <t>_x0007_t1'(상차시간(분))'=20 , E=0.9</t>
  </si>
  <si>
    <t>_x0007_t2'(왕복시간(분))'=(L1/V1+L1/V2+L2/V3+L2/V4) * 60 =</t>
  </si>
  <si>
    <t>_x0007_t3'(하차시간(분))'=20</t>
  </si>
  <si>
    <t>_x0007_t4'(하차준비시간(분))'=0.42</t>
  </si>
  <si>
    <t>_x0007_Cm'(회 사이클 시간(분))' =t1 + t2 + t3 + t4 =</t>
  </si>
  <si>
    <t>_x0007_N'(간단 운반횟수(회))'=60*E/Cm=  '회'</t>
  </si>
  <si>
    <t>_x0007_OH'(상차 10분 초과 시 운반기계의 유류보정)'=(cm-t1-t3)/Cm=</t>
  </si>
  <si>
    <t>_x0007_' 노무비 :'&amp;X00046L&amp;/N*2 =</t>
  </si>
  <si>
    <t>중기   13L</t>
  </si>
  <si>
    <t>X00046_1</t>
  </si>
  <si>
    <t>_x0007_' 재료비 :'&amp;X00046M&amp;/N*OH*2 =</t>
  </si>
  <si>
    <t>중기   13M</t>
  </si>
  <si>
    <t>_x0007_' 경   비 :'&amp;X00046S&amp;/N*2 =</t>
  </si>
  <si>
    <t>중기   13S</t>
  </si>
  <si>
    <t>_x0007_ ' ○모 래 운 반 '</t>
  </si>
  <si>
    <t xml:space="preserve">   ○모 래 운 반  </t>
  </si>
  <si>
    <t>_x0007_         '포  장 :' L1 =  9.40'km'</t>
  </si>
  <si>
    <t>_x0007_' 골재장   -----------------------&gt; 현장'</t>
  </si>
  <si>
    <t xml:space="preserve">  골재장   -----------------------&gt; 현장 </t>
  </si>
  <si>
    <t>_x0007_         '비포장 :' L2 =  7.00'km'</t>
  </si>
  <si>
    <t>_x0007_'1.골재대 : 별도계상'</t>
  </si>
  <si>
    <t xml:space="preserve"> 1.골재대 : 별도계상 </t>
  </si>
  <si>
    <t>_x0007_'2.적  상 :  무   대     '</t>
  </si>
  <si>
    <t xml:space="preserve"> 2.적  상 :  무   대      </t>
  </si>
  <si>
    <t>_x0007_'3.운  반 (덤프 15ton)  '</t>
  </si>
  <si>
    <t xml:space="preserve"> 3.운  반 (덤프 15ton)   </t>
  </si>
  <si>
    <t>_x0007_ f'(체적환산계수)'=1/1.15 , E'(작업효율)'=0.9 , k'(버킷계수)'=1.2</t>
  </si>
  <si>
    <t>_x0007_ q1'(흐트러진상태의 덤프트럭 1회 적재량)' = (15/1.60) * 1.15 =</t>
  </si>
  <si>
    <t>_x0007_ n'(덤프트럭1대의 토량을 적재하는데 소요되는적재기계의 사이클횟수)'</t>
  </si>
  <si>
    <t>_x0007_ n =q1 / (1.34 * k) = '회'</t>
  </si>
  <si>
    <t>_x0007_ Cms'(적재기계의 1회사이클시간(초))'=1.8*8+6+14='초'</t>
  </si>
  <si>
    <t>_x0007_ t1'(적재시간)'=Cms * n / (60 * 0.75) ='분'</t>
  </si>
  <si>
    <t>_x0007_ t3'(적하시간)'=0.8'분'</t>
  </si>
  <si>
    <t>_x0007_ t4'(적재장소 도착한 때로부터 적재작업이 시작될 때까지의 시간)'=0.42'분'</t>
  </si>
  <si>
    <t>_x0007_ t5'(적재함 덮개 설치 및 해체시간)'=0.5'분'</t>
  </si>
  <si>
    <t>_x0007_ Q'(시간당 작업량)' = 60 * q1 * F * E / Cm ='m3/hr'</t>
  </si>
  <si>
    <t>_x0007_ '노 무 비  :'  &amp;X00028L&amp; / Q =</t>
  </si>
  <si>
    <t>중기    8L</t>
  </si>
  <si>
    <t>X00028_1</t>
  </si>
  <si>
    <t>_x0007_ '재 료 비  :'  &amp;X00028M&amp; / Q =</t>
  </si>
  <si>
    <t>중기    8M</t>
  </si>
  <si>
    <t>_x0007_ '경    비  :'  &amp;X00028S&amp; / Q =</t>
  </si>
  <si>
    <t>중기    8S</t>
  </si>
  <si>
    <t>_x0007_'4.운  반 (덤프 24ton)  '</t>
  </si>
  <si>
    <t xml:space="preserve"> 4.운  반 (덤프 24ton)   </t>
  </si>
  <si>
    <t>_x0007_ q1'(흐트러진상태의 덤프트럭 1회 적재량)' = (24/1.60) * 1.15 =</t>
  </si>
  <si>
    <t>_x0007_ '재 료 비  :'  &amp;X00087M&amp; / Q =</t>
  </si>
  <si>
    <t>_x0007_                &amp;X00086S&amp; / Q =</t>
  </si>
  <si>
    <t>중기   18S</t>
  </si>
  <si>
    <t>X00086_1</t>
  </si>
  <si>
    <t>_x0007_ ' ○자 갈 운 반 '</t>
  </si>
  <si>
    <t xml:space="preserve">   ○자 갈 운 반  </t>
  </si>
  <si>
    <t>_x0007_          ' 포  장 :' L1 =  9.40'km'</t>
  </si>
  <si>
    <t>_x0007_' 골재장  --------------------------&gt;  현장 '</t>
  </si>
  <si>
    <t xml:space="preserve">  골재장  --------------------------&gt;  현장  </t>
  </si>
  <si>
    <t>_x0007_          ' 비포장 :' L2 =  7.00'km'</t>
  </si>
  <si>
    <t>_x0007_'1.골재대:별도계상'</t>
  </si>
  <si>
    <t xml:space="preserve"> 1.골재대:별도계상 </t>
  </si>
  <si>
    <t>_x0007_'2.적  상: 무   대 '</t>
  </si>
  <si>
    <t xml:space="preserve"> 2.적  상: 무   대  </t>
  </si>
  <si>
    <t>_x0007_'3. 운  반 (덤프 15ton)  '</t>
  </si>
  <si>
    <t xml:space="preserve"> 3. 운  반 (덤프 15ton)   </t>
  </si>
  <si>
    <t>_x0007_ f'(체적환산계수)'=1/1.15 , E'(작업효율)'=0.9 , k'(버킷계수)'=1.0</t>
  </si>
  <si>
    <t>_x0007_ q1'(흐트러진상태의 덤프트럭 1회 적재량)' = (15/1.70) * 1.15 =</t>
  </si>
  <si>
    <t>_x0007_ t1'(적재시간)'=Cms * n / (60 * 0.6) ='분'</t>
  </si>
  <si>
    <t>_x0007_ t5'(적재함 덮개 설치 및 해체시간)' = 0.5'분'</t>
  </si>
  <si>
    <t>_x0007_ Q'(시간당 작업량)'= 60 * q1 * F * E / Cm ='m3/hr'</t>
  </si>
  <si>
    <t>_x0007_'4. 운  반 (덤프 24ton)  '</t>
  </si>
  <si>
    <t xml:space="preserve"> 4. 운  반 (덤프 24ton)   </t>
  </si>
  <si>
    <t>_x0007_ q1'(흐트러진상태의 덤프트럭 1회 적재량)' = (24/1.70) * 1.15 =</t>
  </si>
  <si>
    <t>_x0007_ '재 료 비  :'  &amp;X00087M&amp; / Q * OH=</t>
  </si>
  <si>
    <t>_x0007_'○시멘트운반 L = 19.00 km'</t>
  </si>
  <si>
    <t xml:space="preserve"> ○시멘트운반 L = 19.00 km </t>
  </si>
  <si>
    <t>_x0007_'건설표준품셈 1-31-나(품종별 적상.하 기준) 적용'</t>
  </si>
  <si>
    <t xml:space="preserve"> 건설표준품셈 1-31-나(품종별 적상.하 기준) 적용 </t>
  </si>
  <si>
    <t>_x0007_'1)자동차운반'</t>
  </si>
  <si>
    <t xml:space="preserve"> 1)자동차운반 </t>
  </si>
  <si>
    <t>_x0007_'하치장  -------&gt; 현장중점'</t>
  </si>
  <si>
    <t xml:space="preserve"> 하치장  -------&gt; 현장중점 </t>
  </si>
  <si>
    <t>_x0007_'구역화물(5ton적용) L = 20km이내적용'</t>
  </si>
  <si>
    <t xml:space="preserve"> 구역화물(5ton적용) L = 20km이내적용 </t>
  </si>
  <si>
    <t>_x0007_ &amp;S00073&amp; / 1.1 / 5.0 / 25 =</t>
  </si>
  <si>
    <t>S00073_1</t>
  </si>
  <si>
    <t>_x0007_'2)적상적하비'</t>
  </si>
  <si>
    <t xml:space="preserve"> 2)적상적하비 </t>
  </si>
  <si>
    <t>_x0007_'적상 : 0.18 인'</t>
  </si>
  <si>
    <t xml:space="preserve"> 적상 : 0.18 인 </t>
  </si>
  <si>
    <t>_x0007_'적하 : 0.13 인'</t>
  </si>
  <si>
    <t xml:space="preserve"> 적하 : 0.13 인 </t>
  </si>
  <si>
    <t>_x0007_ (0.18+0.13) * &amp;L00017&amp; / 25 =</t>
  </si>
  <si>
    <t>)*1/</t>
  </si>
  <si>
    <t>_x0007_ '건설표준품셈 11-1 불도저 적용'</t>
  </si>
  <si>
    <t xml:space="preserve">  건설표준품셈 11-1 불도저 적용 </t>
  </si>
  <si>
    <t>_x0007_'  도자 19 Ton '  '('L1=40.94'm)'</t>
  </si>
  <si>
    <t>_x0007_ L'(운반거리)'= L1-20='m'</t>
  </si>
  <si>
    <t>_x0007_ f'(토량의 체적 환산계수)' = 0.90/1.25 =</t>
  </si>
  <si>
    <t>_x0007_ E'(작업효율)'= 0.45 , qo'(거리를 고려하지 않은 삽날의 용량)'= 3.2</t>
  </si>
  <si>
    <t>_x0007_ eo'(운반거리계수)'= 0.92</t>
  </si>
  <si>
    <t>_x0007_'▷eo값 : 운반거리10m이하=1.0, 20m=0.96'</t>
  </si>
  <si>
    <t xml:space="preserve"> ▷eo값 : 운반거리10m이하=1.0, 20m=0.96 </t>
  </si>
  <si>
    <t>_x0007_           '30m=0.92, 40m=0.88'</t>
  </si>
  <si>
    <t xml:space="preserve">            30m=0.92, 40m=0.88 </t>
  </si>
  <si>
    <t>_x0007_ P=qo*eo=</t>
  </si>
  <si>
    <t>_x0007_ V1'(전진속도)'= 55'm/min' , V2'(후진속도)'= 70'm/min'</t>
  </si>
  <si>
    <t>_x0007_ Cm'(1회 사이클 시간(분))'= L/V1 + L/V2 + 0.25 ='분'</t>
  </si>
  <si>
    <t>_x0007_ Q' (시간당 작업량)'= 60 * P * f * E / Cm ='m3/hr'</t>
  </si>
  <si>
    <t>_x0007_'노 무 비  :'  &amp;X00001L&amp; / Q =</t>
  </si>
  <si>
    <t>중기    1L</t>
  </si>
  <si>
    <t>X00001_1</t>
  </si>
  <si>
    <t>_x0007_'재 료 비  :'  &amp;X00001M&amp; / Q =</t>
  </si>
  <si>
    <t>중기    1M</t>
  </si>
  <si>
    <t>_x0007_'경    비  :'  &amp;X00001S&amp; / Q =</t>
  </si>
  <si>
    <t>중기    1S</t>
  </si>
  <si>
    <t>_x0007_'건설표준품셈 11-1 불도저 적용 '</t>
  </si>
  <si>
    <t xml:space="preserve"> 건설표준품셈 11-1 불도저 적용  </t>
  </si>
  <si>
    <t>_x0007_'  도자 19 Ton '  '('L1 = 39.13'm)'</t>
  </si>
  <si>
    <t>_x0007_ f'(토량의 체적 환산계수)'= 1.15/1.40 =</t>
  </si>
  <si>
    <t>_x0007_ E'(작업효율)'= 0.35 , qo'(거리를 고려하지 않은 삽날의 용량)'= 3.2</t>
  </si>
  <si>
    <t>_x0007_ eo'(운반거리계수)'= 0.96</t>
  </si>
  <si>
    <t>_x0007_ V1'(전진속도)'= 55'm/min' , V2'(후진속도)' = 70'm/min'</t>
  </si>
  <si>
    <t>_x0007_ Cm'(1회 사이클 시간(분))' = L/V1 + L/V2 + 0.25 ='분'</t>
  </si>
  <si>
    <t>_x0007_ Q '(시간당 작업량)'= 60 * P * f * E / Cm ='m3/hr'</t>
  </si>
  <si>
    <t>_x0007_'노 무 비  :'  &amp;X00084L&amp; / Q =</t>
  </si>
  <si>
    <t>중기   17L</t>
  </si>
  <si>
    <t>X00084_1</t>
  </si>
  <si>
    <t>_x0007_'재 료 비  :'  &amp;X00084M&amp; / Q =</t>
  </si>
  <si>
    <t>중기   17M</t>
  </si>
  <si>
    <t>_x0007_'경    비  :'  &amp;X00084S&amp; / Q =</t>
  </si>
  <si>
    <t>중기   17S</t>
  </si>
  <si>
    <t>_x0007_'건설표준품셈  11-3(굴삭기), 11-9(덤프트럭) 적용'</t>
  </si>
  <si>
    <t xml:space="preserve"> 건설표준품셈  11-3(굴삭기), 11-9(덤프트럭) 적용 </t>
  </si>
  <si>
    <t>_x0007_'유용토운반 덤프+굴삭기'</t>
  </si>
  <si>
    <t xml:space="preserve"> 유용토운반 덤프+굴삭기 </t>
  </si>
  <si>
    <t>_x0007_'운반거리: ' L = 0.064'm'</t>
  </si>
  <si>
    <t>_x0007_'1) 적상 (굴삭기 0.70 m3 )   '</t>
  </si>
  <si>
    <t xml:space="preserve"> 1) 적상 (굴삭기 0.70 m3 )    </t>
  </si>
  <si>
    <t>_x0007_q'(버킷용량)'= 0.7 , k'(버킷계수)'= 0.7</t>
  </si>
  <si>
    <t>_x0007_f'(토량의체적환산계수)'= 0.90/1.25 =</t>
  </si>
  <si>
    <t>_x0007_E'(작업효율)'= 0.5 , Cm'(1회 사이클 시간(초))' = 20 'sec(135)'</t>
  </si>
  <si>
    <t>_x0007_'2) 운반 : 15톤 비교적용'</t>
  </si>
  <si>
    <t xml:space="preserve"> 2) 운반 : 15톤 비교적용 </t>
  </si>
  <si>
    <t>_x0007_'ⓐ(덤프 15 Ton) '</t>
  </si>
  <si>
    <t xml:space="preserve"> ⓐ(덤프 15 Ton)  </t>
  </si>
  <si>
    <t>_x0007_ k'(버킷계수)'= 0.7 , E'(작업효율)'= 0.9</t>
  </si>
  <si>
    <t>_x0007_ F'(체적환산계수)'= 0.90/1.30 =</t>
  </si>
  <si>
    <t>_x0007_ q1'(흐트러진 상태의 덤프트럭 1회 적재량)'= (15/1.7) * 1.425 =</t>
  </si>
  <si>
    <t>_x0007_ n = q1 / (0.70 * k) = '회'</t>
  </si>
  <si>
    <t>_x0007_ t1'(적재시간)'= 20 * n / (60 * 0.5) ='분'</t>
  </si>
  <si>
    <t>_x0007_ t2'(왕복시간)'= (L/7+L/8)* 60 ='분'</t>
  </si>
  <si>
    <t>_x0007_ t3'(적하시간)'= 1.1</t>
  </si>
  <si>
    <t>_x0007_ t4'(적재작업이 시작될 때까지의 시간)'= 0.7</t>
  </si>
  <si>
    <t>_x0007_ Cm'(1회 사이클 시간(분))'= t1 + t2 + t3 + t4  =</t>
  </si>
  <si>
    <t>_x0007_ OH'(상차 10분 초과 시 운반기계의 유류보정)'= (cm-t1)/Cm =</t>
  </si>
  <si>
    <t>_x0007_ Q1'(시간당 작업량)'= 60 * q1 * F * E / Cm ='m3/hr'</t>
  </si>
  <si>
    <t>_x0007_'노 무 비  :'  &amp;X00028L&amp; / Q1  =</t>
  </si>
  <si>
    <t>_x0007_'재 료 비  :'  &amp;X00028M&amp; / Q1 * OH =</t>
  </si>
  <si>
    <t>_x0007_'경    비  :'  &amp;X00028S&amp; / Q1  =</t>
  </si>
  <si>
    <t>_x0007_'3) 정지 (굴삭기 0.7m3) 1/3적용 '</t>
  </si>
  <si>
    <t xml:space="preserve"> 3) 정지 (굴삭기 0.7m3) 1/3적용  </t>
  </si>
  <si>
    <t>_x0007_q'(버킷용량)'= 0.7 , k'(버킷계수)'= 0.7 , f'(체적환산계수)'= 1</t>
  </si>
  <si>
    <t>_x0007_E'(작업효율)'= 0.65 , Cm'(1회사이클시간(초))'= 18 'sec(90)'</t>
  </si>
  <si>
    <t>_x0007_Q'(시간당 작업량)'= 3600*q*k*E*f/Cm ='m3/hr'</t>
  </si>
  <si>
    <t>_x0007_'노 무 비  :'  &amp;X00005L&amp; / Q / 3 =</t>
  </si>
  <si>
    <t>_x0007_'재 료 비  :'  &amp;X00005M&amp; / Q / 3 =</t>
  </si>
  <si>
    <t>_x0007_'경    비  :'  &amp;X00005S&amp; / Q / 3 =</t>
  </si>
  <si>
    <t>_x0007_q'(버킷용량)'= 0.7 , k'(버킷계수)'= 0.55 , E'(작업효율)'= 0.45</t>
  </si>
  <si>
    <t>_x0007_f'(체적환산계수)'= 1.15/1.40 =</t>
  </si>
  <si>
    <t>_x0007_Cm'(1회 사이클 시간(초))'= 20 'sec(135)'</t>
  </si>
  <si>
    <t>_x0007_'노 무 비  :' &amp;X00009L&amp; / Q  =</t>
  </si>
  <si>
    <t>_x0007_'재 료 비  :' &amp;X00009M&amp; / Q  =</t>
  </si>
  <si>
    <t>_x0007_'경    비  :' &amp;X00009S&amp; / Q  =</t>
  </si>
  <si>
    <t>_x0007_'2) 운반:15톤 10.5톤 비교적용'</t>
  </si>
  <si>
    <t xml:space="preserve"> 2) 운반:15톤 10.5톤 비교적용 </t>
  </si>
  <si>
    <t>_x0007_' ⓐ덤프 15 Ton '</t>
  </si>
  <si>
    <t xml:space="preserve">  ⓐ덤프 15 Ton  </t>
  </si>
  <si>
    <t>_x0007_ E'(작업효율)'= 0.9</t>
  </si>
  <si>
    <t>_x0007_ q1'(흐트러진상태의 덤프트럭 1회 적재량)' = (15/2.0)*1.625=</t>
  </si>
  <si>
    <t>_x0007_ n = q1 / (0.70 * k) ='회'</t>
  </si>
  <si>
    <t>_x0007_ t1'(적재시간)'= 20 * n / (60 * 0.45) ='분'</t>
  </si>
  <si>
    <t>_x0007_ t4'(적재장소 도착한 때로부터 적재작업이 시작될 때까지의 시간)'= 0.7</t>
  </si>
  <si>
    <t>_x0007_ Cm'(1회 사이클 시간(분))' = t1 + t2 + t3 + t4  =</t>
  </si>
  <si>
    <t>_x0007_ OH'(상차 10분 초과 시 운반기계의 유류보정)' =  t2 / Cm =</t>
  </si>
  <si>
    <t>_x0007_ Q1'(시간당 작업량)' = 60 * q1 * F * E / Cm ='m3/hr'</t>
  </si>
  <si>
    <t>_x0007_'노 무 비  :' &amp;X00031L&amp; / Q1  =</t>
  </si>
  <si>
    <t>_x0007_'재 료 비  :' &amp;X00031M&amp; / Q1 * OH =</t>
  </si>
  <si>
    <t>_x0007_'경    비  :' &amp;X00031S&amp; / Q1  =</t>
  </si>
  <si>
    <t>_x0007_ (-=)</t>
  </si>
  <si>
    <t>_x0007_' ⓐ덤프 10.5 Ton : 적용단가 '</t>
  </si>
  <si>
    <t xml:space="preserve">  ⓐ덤프 10.5 Ton : 적용단가  </t>
  </si>
  <si>
    <t>_x0007_ q1'(흐트러진상태의 덤프트럭 1회 적재량)' = (10.5/2.0)*1.625=</t>
  </si>
  <si>
    <t>_x0007_ OH'(상차 10분 초과 시 운반기계의 유류보정)' = t2 / Cm =</t>
  </si>
  <si>
    <t>_x0007_ Q2'(시간당 작업량)'= 60 * q1 * F * E / Cm ='m3/hr'</t>
  </si>
  <si>
    <t>_x0007_'노 무 비  :' &amp;X00030L&amp; / Q2 =</t>
  </si>
  <si>
    <t>중기    9L</t>
  </si>
  <si>
    <t>X00030_1</t>
  </si>
  <si>
    <t>_x0007_'재 료 비  :' &amp;X00030M&amp; / Q2 * OH =</t>
  </si>
  <si>
    <t>중기    9M</t>
  </si>
  <si>
    <t>_x0007_'경    비  :' &amp;X00030S&amp; / Q2 =</t>
  </si>
  <si>
    <t>중기    9S</t>
  </si>
  <si>
    <t>_x0007_E'(작업효율)'= 0.45 , Cm'(1회 사이클 시간(초))'= 18 'sec(90)'</t>
  </si>
  <si>
    <t>_x0007_Q3'(시간당 작업량)'= 3600*q*k*E*f/Cm ='m3/hr'</t>
  </si>
  <si>
    <t>_x0007_'노 무 비  :' &amp;X00009L&amp; / Q3/ 3 =</t>
  </si>
  <si>
    <t>_x0007_'재 료 비  :' &amp;X00009M&amp; / Q3/ 3 =</t>
  </si>
  <si>
    <t>_x0007_'경    비  :' &amp;X00009S&amp; / Q3/ 3 =</t>
  </si>
  <si>
    <t>_x0007_'건설표준품셈 6-3-3(유로폼 설치 및 해체) 적용'</t>
  </si>
  <si>
    <t xml:space="preserve"> 건설표준품셈 6-3-3(유로폼 설치 및 해체) 적용 </t>
  </si>
  <si>
    <t>_x0007_'설치유형 : 간단'</t>
  </si>
  <si>
    <t xml:space="preserve"> 설치유형 : 간단 </t>
  </si>
  <si>
    <t>_x0007_'1.자재비'</t>
  </si>
  <si>
    <t xml:space="preserve"> 1.자재비 </t>
  </si>
  <si>
    <t>_x0007_'패널(유로폼) :'&amp;M00112&amp; * 0.89 / 10 :=A01</t>
  </si>
  <si>
    <t>자재   16</t>
  </si>
  <si>
    <t>M00112_1</t>
  </si>
  <si>
    <t>_x0007_'내부코너패널(유로폼) :'&amp;M00113&amp; * 0.03 / 10 :=A01</t>
  </si>
  <si>
    <t>자재   17</t>
  </si>
  <si>
    <t>M00113_1</t>
  </si>
  <si>
    <t>_x0007_'부자재(웨지핀, 플랫타이, 강관파이프, 훅) :'&amp;PA01M:M&amp; * 24'%' =</t>
  </si>
  <si>
    <t>_x0007_'소모자재(박리재 등) :'&amp;PA01M:M&amp; * 5'%' =</t>
  </si>
  <si>
    <t>_x0007_'2.설치 및 해체'</t>
  </si>
  <si>
    <t xml:space="preserve"> 2.설치 및 해체 </t>
  </si>
  <si>
    <t>_x0007_'형틀목공 :'&amp;L00002&amp; * 4 / 40 :=A02</t>
  </si>
  <si>
    <t>L00002_1</t>
  </si>
  <si>
    <t>_x0007_'보통인부 :'&amp;L00017&amp; * 1 / 40 :=A02</t>
  </si>
  <si>
    <t>_x0007_'공구손료 및 경장비 기계경비 :'&amp;PA02L:S&amp; * 3'%' =</t>
  </si>
  <si>
    <t>_x0007_ '건설표준품셈 제7장 돌공사 채움재 적용'</t>
  </si>
  <si>
    <t xml:space="preserve">  건설표준품셈 제7장 돌공사 채움재 적용 </t>
  </si>
  <si>
    <t>_x0007_ '건설표준품셈 7-1-2(찰쌓기) &lt;주3&gt;애 콘크리트 채움을 포함하므로'</t>
  </si>
  <si>
    <t xml:space="preserve">  건설표준품셈 7-1-2(찰쌓기) &lt;주3&gt;애 콘크리트 채움을 포함하므로 </t>
  </si>
  <si>
    <t>_x0007_ '건설표준품셈 6-1-2(현장비빔 및 타설)에서 타설품은 제외하고 비빔만 적용'</t>
  </si>
  <si>
    <t xml:space="preserve">  건설표준품셈 6-1-2(현장비빔 및 타설)에서 타설품은 제외하고 비빔만 적용 </t>
  </si>
  <si>
    <t>_x0007_ '건설표준품셈 6-1-2(현장비빔 및 타설) 기계비빔타설'</t>
  </si>
  <si>
    <t xml:space="preserve">  건설표준품셈 6-1-2(현장비빔 및 타설) 기계비빔타설 </t>
  </si>
  <si>
    <t>_x0007_ '콘크리트공 : 0.15인'</t>
  </si>
  <si>
    <t xml:space="preserve">  콘크리트공 : 0.15인 </t>
  </si>
  <si>
    <t>_x0007_ '보통인부 : 0.46인'</t>
  </si>
  <si>
    <t xml:space="preserve">  보통인부 : 0.46인 </t>
  </si>
  <si>
    <t>_x0007_ '건설표준품셈 6-1-1(레디믹스트콘크리트타설) 인력운반타설'</t>
  </si>
  <si>
    <t xml:space="preserve">  건설표준품셈 6-1-1(레디믹스트콘크리트타설) 인력운반타설 </t>
  </si>
  <si>
    <t>_x0007_ '콘크리트공 : 3.0÷23 = 0.13인'</t>
  </si>
  <si>
    <t xml:space="preserve">  콘크리트공 : 3.0÷23 = 0.13인 </t>
  </si>
  <si>
    <t>_x0007_ '보통인부 : 3.0÷23 = 0.13인'</t>
  </si>
  <si>
    <t xml:space="preserve">  보통인부 : 3.0÷23 = 0.13인 </t>
  </si>
  <si>
    <t>_x0007_ '1.노무비(비빔)'</t>
  </si>
  <si>
    <t xml:space="preserve">  1.노무비(비빔) </t>
  </si>
  <si>
    <t>_x0007_ '콘크리트공 :'&amp;L00007&amp; * (0.15 - 0.13) =</t>
  </si>
  <si>
    <t>1*(</t>
  </si>
  <si>
    <t>_x0007_ '보통인부 :'&amp;L00017&amp; * (0.46 - 0.13) =</t>
  </si>
  <si>
    <t>_x0007_ '2.기계경비'</t>
  </si>
  <si>
    <t xml:space="preserve">  2.기계경비 </t>
  </si>
  <si>
    <t>_x0007_ '콘크리트믹서사용 : '&amp;D00075&amp; * 1.0 =</t>
  </si>
  <si>
    <t>_x0007_'기계 운반( 믹서','소형 중기류)'</t>
  </si>
  <si>
    <t xml:space="preserve"> 기계 운반( 믹서 , 소형 중기류) </t>
  </si>
  <si>
    <t>_x0007_'               L=19.00km'</t>
  </si>
  <si>
    <t xml:space="preserve">                L=19.00km </t>
  </si>
  <si>
    <t>_x0007_'   시군--------------------&gt; 현장중점  '</t>
  </si>
  <si>
    <t xml:space="preserve">    시군--------------------&gt; 현장중점   </t>
  </si>
  <si>
    <t>_x0007_'○구역화물(5Ton)적용 L = 20km이내적용'</t>
  </si>
  <si>
    <t xml:space="preserve"> ○구역화물(5Ton)적용 L = 20km이내적용 </t>
  </si>
  <si>
    <t>_x0007_    &amp;S00073&amp; / 1.1  =</t>
  </si>
  <si>
    <t>_x0007_'설치유형 : 보통'</t>
  </si>
  <si>
    <t xml:space="preserve"> 설치유형 : 보통 </t>
  </si>
  <si>
    <t>_x0007_'내부코너패널(유로폼) :'&amp;M00939&amp; * 0.03 / 10 :=A01</t>
  </si>
  <si>
    <t>자재   32</t>
  </si>
  <si>
    <t>M00939_1</t>
  </si>
  <si>
    <t>_x0007_'부자재(웨지핀, 플랫타이, 강관파이프, 훅) :'&amp;PA01M:M&amp; * 52'%' =</t>
  </si>
  <si>
    <t>_x0007_'형틀목공 :'&amp;L00002&amp; * 4 / 35 :=A02</t>
  </si>
  <si>
    <t>_x0007_'보통인부 :'&amp;L00017&amp; * 1 / 35 :=A02</t>
  </si>
  <si>
    <t>_x0007_'건설표준품셈 1-6-2(콘크리트포장 표층인력포설) 적용'</t>
  </si>
  <si>
    <t xml:space="preserve"> 건설표준품셈 1-6-2(콘크리트포장 표층인력포설) 적용 </t>
  </si>
  <si>
    <t>_x0007_'설치유형 : B-type'</t>
  </si>
  <si>
    <t xml:space="preserve"> 설치유형 : B-type </t>
  </si>
  <si>
    <t>_x0007_'포장공 :'&amp;L00034&amp; * 4 / (50 / 0.20) :=A01</t>
  </si>
  <si>
    <t>L00034_1</t>
  </si>
  <si>
    <t>_x0007_'보통인부 :'&amp;L00017&amp; * 2 / (50 / 0.20) :=A01</t>
  </si>
  <si>
    <t>_x0007_'손료계산 :'&amp;PA01L:S&amp; * 3'%' =</t>
  </si>
  <si>
    <t>_x0007_'건설표준품셈 6-2(철근) 적용'</t>
  </si>
  <si>
    <t xml:space="preserve"> 건설표준품셈 6-2(철근) 적용 </t>
  </si>
  <si>
    <t>_x0007_'설치유형 : Type-Ⅱ-2'</t>
  </si>
  <si>
    <t xml:space="preserve"> 설치유형 : Type-Ⅱ-2 </t>
  </si>
  <si>
    <t>_x0007_'작업유형 : 현장가공 및 현장조립'</t>
  </si>
  <si>
    <t xml:space="preserve"> 작업유형 : 현장가공 및 현장조립 </t>
  </si>
  <si>
    <t>_x0007_'1.현장가공'</t>
  </si>
  <si>
    <t xml:space="preserve"> 1.현장가공 </t>
  </si>
  <si>
    <t>_x0007_'철근공 :'&amp;L00033&amp; * 3 / 4.0 :=A01</t>
  </si>
  <si>
    <t>L00033_1</t>
  </si>
  <si>
    <t>_x0007_'보통인부 :'&amp;L00017&amp; * 1 / 4.0 :=A01</t>
  </si>
  <si>
    <t>_x0007_'공구손료 및 경장비(철근가공기 등) :'&amp;PA01L:S&amp; * 9'%' =</t>
  </si>
  <si>
    <t>_x0007_'2.현장조립'</t>
  </si>
  <si>
    <t xml:space="preserve"> 2.현장조립 </t>
  </si>
  <si>
    <t>_x0007_'철근공 :'&amp;L00033&amp; * 2 / 1.0 :=A02</t>
  </si>
  <si>
    <t>_x0007_'보통인부 :'&amp;L00017&amp; * 1 / 1.0 :=A02</t>
  </si>
  <si>
    <t>_x0007_'공구손료 및 경장비 :'&amp;PA02L:S&amp; * 2'%' =</t>
  </si>
  <si>
    <t>_x0007_'3.소모재료'</t>
  </si>
  <si>
    <t xml:space="preserve"> 3.소모재료 </t>
  </si>
  <si>
    <t>_x0007_'결속선(철선) :'&amp;M00943&amp; * 8.0 =</t>
  </si>
  <si>
    <t>자재   35</t>
  </si>
  <si>
    <t>M00943_1</t>
  </si>
  <si>
    <t>_x0007_'철근 운반''('L = 19.00'km)'</t>
  </si>
  <si>
    <t>_x0007_'                                 현 장   '</t>
  </si>
  <si>
    <t xml:space="preserve">                                  현 장    </t>
  </si>
  <si>
    <t>_x0007_'  하치장'  '-------------&gt;'</t>
  </si>
  <si>
    <t xml:space="preserve">   하치장    -------------&gt; </t>
  </si>
  <si>
    <t>_x0007_                              '   중 점   '</t>
  </si>
  <si>
    <t xml:space="preserve">                                  중 점    </t>
  </si>
  <si>
    <t>_x0007_'1).구역화물(5ton)적용 L = 20km이내적용'</t>
  </si>
  <si>
    <t xml:space="preserve"> 1).구역화물(5ton)적용 L = 20km이내적용 </t>
  </si>
  <si>
    <t>_x0007_    &amp;S00073&amp; / 1.1 / 5 =</t>
  </si>
  <si>
    <t>_x0007_'2).TON당 하차비 '</t>
  </si>
  <si>
    <t xml:space="preserve"> 2).TON당 하차비  </t>
  </si>
  <si>
    <t>_x0007_  2 * 11 / 2 / (480-30) * &amp;L00017&amp;  =</t>
  </si>
  <si>
    <t>)*1</t>
  </si>
  <si>
    <t xml:space="preserve"> 건설표준품셈  11-3(굴삭기) 적용 </t>
  </si>
  <si>
    <t>_x0007_' 사토처리 (굴삭기 0.7m3) 적용 '</t>
  </si>
  <si>
    <t xml:space="preserve">  사토처리 (굴삭기 0.7m3) 적용  </t>
  </si>
  <si>
    <t>_x0007_E'(작업효율)'= 0.75 , Cm'(1회사이클시간(초))'= 20 'sec(135)'</t>
  </si>
  <si>
    <t>_x0007_' 사토장정지 (백호우 0.7m3) 적용 '</t>
  </si>
  <si>
    <t xml:space="preserve">  사토장정지 (백호우 0.7m3) 적용  </t>
  </si>
  <si>
    <t>_x0007_q = 0.7 , k = 0.9 , f =1</t>
  </si>
  <si>
    <t>_x0007_E = 0.75 , Cm = 20 'sec(135)'</t>
  </si>
  <si>
    <t>_x0007_Q = 3600*q*k*E*f/Cm ='m3/hr'</t>
  </si>
  <si>
    <t>_x0007_'노 무 비  :'  &amp;X00005L&amp; / Q =</t>
  </si>
  <si>
    <t>_x0007_'재 료 비  :'  &amp;X00005M&amp; / Q =</t>
  </si>
  <si>
    <t>_x0007_'경    비  :'  &amp;X00005S&amp; / Q =</t>
  </si>
  <si>
    <t>_x0007_'  도자 19 Ton '  '('L1=43.66'm)'</t>
  </si>
  <si>
    <t>_x0007_'  도자 19 Ton '  '('L1 = 39.07'm)'</t>
  </si>
  <si>
    <t>_x0007_'운반거리: ' L = 0.293'm'</t>
  </si>
  <si>
    <t>_x0007_'운반거리: ' L = 0.318'm'</t>
  </si>
  <si>
    <t>_x0007_'  도자 19 Ton '  '('L1=38.30'm)'</t>
  </si>
  <si>
    <t>_x0007_'  도자 19 Ton '  '('L1 = 40.90'm)'</t>
  </si>
  <si>
    <t>_x0007_'운반거리: ' L = 0.385'm'</t>
  </si>
  <si>
    <t>_x0007_'운반거리: ' L = 0.353'm'</t>
  </si>
  <si>
    <t>_x0007_'※ 건설표준품셈(공통) : 6-1-1 무근(장비사용타설) 적용'</t>
  </si>
  <si>
    <t xml:space="preserve"> ※ 건설표준품셈(공통) : 6-1-1 무근(장비사용타설) 적용 </t>
  </si>
  <si>
    <t>_x0007_'□ 일 시공량 :' Q =  63'm3/일 '</t>
  </si>
  <si>
    <t>_x0007_'1. 인부임'</t>
  </si>
  <si>
    <t xml:space="preserve"> 1. 인부임 </t>
  </si>
  <si>
    <t>_x0007_'○콘크리트공:'&amp;L00007L&amp; * 3.0'인'/ Q :=A01 '원/m3'</t>
  </si>
  <si>
    <t>노무    4L</t>
  </si>
  <si>
    <t>_x0007_'○보통인부 :'&amp;L00017L&amp; * 1.0'인' / Q :=A01 '원/m3'</t>
  </si>
  <si>
    <t>_x0007_'2. 공구손료 및 경장비(콘크리트 진동기등)의 기계경비(노무비의 2%)'</t>
  </si>
  <si>
    <t xml:space="preserve"> 2. 공구손료 및 경장비(콘크리트 진동기등)의 기계경비(노무비의 2%) </t>
  </si>
  <si>
    <t>_x0007_ '공구손료 :' &amp;PA01:S&amp; * 2'%'=</t>
  </si>
  <si>
    <t>_x0007_'3. 굴삭기 (0.7m3)'</t>
  </si>
  <si>
    <t xml:space="preserve"> 3. 굴삭기 (0.7m3) </t>
  </si>
  <si>
    <t>_x0007_'□ 시간당 시공량 :' Q =  63'm3/일r'</t>
  </si>
  <si>
    <t>_x0007_'노 무 비 : '&amp;X00005L&amp; * 8 / Q =</t>
  </si>
  <si>
    <t>_x0007_'재 료 비 : '&amp;X00005M&amp; * 8 / Q =</t>
  </si>
  <si>
    <t>_x0007_'경    비 : '&amp;X00005S&amp; * 8 / Q =</t>
  </si>
  <si>
    <t>_x0007_'건설표준품셈 굴삭기 적용'</t>
  </si>
  <si>
    <t xml:space="preserve"> 건설표준품셈 굴삭기 적용 </t>
  </si>
  <si>
    <t>_x0007_'운반거리: ' L = 0.118 'km'</t>
  </si>
  <si>
    <t>_x0007_q '(버킷용량 (m3))'= 0.7</t>
  </si>
  <si>
    <t>_x0007_k '(버킷계수)' = 0.7</t>
  </si>
  <si>
    <t>_x0007_f '(체적 환산계수)' = 1/1.25 =</t>
  </si>
  <si>
    <t>_x0007_E '(작업 효율)' = 0.75</t>
  </si>
  <si>
    <t>_x0007_Cm '(1회 사이클 시간(초))' = 20 'sec(135)'</t>
  </si>
  <si>
    <t>_x0007_Q '(시간당 작업량(m3/hr))' = 3600*q*k*E*f/Cm ='m3/hr'</t>
  </si>
  <si>
    <t>_x0007_'2) 운반 : 10.5톤 15톤 비교적용'</t>
  </si>
  <si>
    <t xml:space="preserve"> 2) 운반 : 10.5톤 15톤 비교적용 </t>
  </si>
  <si>
    <t>_x0007_'건설표준품셈 덤프트럭 적용'</t>
  </si>
  <si>
    <t xml:space="preserve"> 건설표준품셈 덤프트럭 적용 </t>
  </si>
  <si>
    <t>_x0007_ k '(버킷계수)' = 0.7</t>
  </si>
  <si>
    <t>_x0007_ E '(작업 효율)' = 0.9</t>
  </si>
  <si>
    <t>_x0007_ F '(체적 환산계수)' = 1</t>
  </si>
  <si>
    <t>_x0007_ q1 '(덤프트럭1회적재량)' = (15/1.7) * 1.25 =</t>
  </si>
  <si>
    <t>_x0007_ n '(시간당운반횟수)' = q1 / (0.70 * k) = '회'</t>
  </si>
  <si>
    <t>_x0007_ t1 '(적재시간)' = 18 * n / (60 * 0.6) ='분'</t>
  </si>
  <si>
    <t>_x0007_ t2 '(왕복시간)' = (L/10+L/15)* 60 ='분'</t>
  </si>
  <si>
    <t>_x0007_ t3 '(적하시간)' = 1.1 , t4'(대기시간)' = 0.7</t>
  </si>
  <si>
    <t>_x0007_ Cm '(1회 사이클 시간(초))' = t1 + t2 + t3 + t4  =</t>
  </si>
  <si>
    <t>_x0007_ Q1 '(시간당 작업량(m3/hr))' = 60 * q1 * F * E / Cm ='m3/hr'</t>
  </si>
  <si>
    <t>_x0007_'재 료 비  :'  &amp;X00028M&amp; / Q1 *(Cm-t1)/Cm =</t>
  </si>
  <si>
    <t>*(</t>
  </si>
  <si>
    <t>_x0007_'ⓑ(덤프 10.5 Ton) '</t>
  </si>
  <si>
    <t xml:space="preserve"> ⓑ(덤프 10.5 Ton)  </t>
  </si>
  <si>
    <t>_x0007_ q1 '(덤프트럭1회적재량)' = (10.5/1.7) * 1.25 =</t>
  </si>
  <si>
    <t>_x0007_ Q2 '(시간당 작업량(m3/hr))' = 60 * q1 * F * E / Cm ='m3/hr'</t>
  </si>
  <si>
    <t>_x0007_'노 무 비  :'  &amp;X00102L&amp; / Q2  =</t>
  </si>
  <si>
    <t>중기   24L</t>
  </si>
  <si>
    <t>X00102_1</t>
  </si>
  <si>
    <t>_x0007_'재 료 비  :'  &amp;X00102M&amp; / Q2 *(Cm-t1)/Cm =</t>
  </si>
  <si>
    <t>중기   24M</t>
  </si>
  <si>
    <t>_x0007_'경    비  :'  &amp;X00102S&amp; / Q2  =</t>
  </si>
  <si>
    <t>중기   24S</t>
  </si>
  <si>
    <t>_x0007_k '(버킷계수)' = 0.9</t>
  </si>
  <si>
    <t>_x0007_f '(체적 환산계수)' =1</t>
  </si>
  <si>
    <t>X00001</t>
  </si>
  <si>
    <t>_x0007_`COD|S00001_x0005_`EXI|0_x0005_`DVD|F_x0005_`BMK| _x0005_`IPR|0_x0005_`BLA|F_x0005_`</t>
  </si>
  <si>
    <t>S00001_1</t>
  </si>
  <si>
    <t xml:space="preserve">경비    1 </t>
  </si>
  <si>
    <t>_x0007_`COD|L00018_x0005_`EXI|0_x0005_`DVD|F_x0005_`BMK| _x0005_`IPR|0_x0005_`BLA|F_x0005_`</t>
  </si>
  <si>
    <t>L00018_1</t>
  </si>
  <si>
    <t xml:space="preserve">노무    7 </t>
  </si>
  <si>
    <t>_x0007_`COD|M00003_x0005_`EXI|0_x0005_`DVD|F_x0005_`BMK| _x0005_`IPR|0_x0005_`KWN|0_x0005_`BLA|F_x0005_`</t>
  </si>
  <si>
    <t>M00003_1</t>
  </si>
  <si>
    <t xml:space="preserve">자재    2 </t>
  </si>
  <si>
    <t>_x0007_`COD|M00093_x0005_`EXI|0_x0005_`DVD|F_x0005_`BMK| _x0005_`IPR|0_x0005_`KWN|0_x0005_`BLA|F_x0005_`</t>
  </si>
  <si>
    <t>M00093_1</t>
  </si>
  <si>
    <t xml:space="preserve">자재   11 </t>
  </si>
  <si>
    <t>_x0007_`COD|S00003_x0005_`EXI|0_x0005_`DVD|F_x0005_`BMK| _x0005_`IPR|0_x0005_`BLA|F_x0005_`</t>
  </si>
  <si>
    <t>S00003_1</t>
  </si>
  <si>
    <t xml:space="preserve">경비    2 </t>
  </si>
  <si>
    <t>_x0007_`COD|S00004_x0005_`EXI|0_x0005_`DVD|F_x0005_`BMK| _x0005_`IPR|0_x0005_`BLA|F_x0005_`</t>
  </si>
  <si>
    <t>S00004_1</t>
  </si>
  <si>
    <t xml:space="preserve">경비    3 </t>
  </si>
  <si>
    <t>_x0007_`COD|S00005_x0005_`EXI|0_x0005_`DVD|F_x0005_`BMK| _x0005_`IPR|0_x0005_`BLA|F_x0005_`</t>
  </si>
  <si>
    <t>S00005_1</t>
  </si>
  <si>
    <t xml:space="preserve">경비    4 </t>
  </si>
  <si>
    <t>_x0007_`COD|S00006_x0005_`EXI|0_x0005_`DVD|F_x0005_`BMK| _x0005_`IPR|0_x0005_`BLA|F_x0005_`</t>
  </si>
  <si>
    <t>S00006_1</t>
  </si>
  <si>
    <t xml:space="preserve">경비    5 </t>
  </si>
  <si>
    <t>_x0007_`COD|S00008_x0005_`EXI|0_x0005_`DVD|F_x0005_`BMK| _x0005_`IPR|0_x0005_`BLA|F_x0005_`</t>
  </si>
  <si>
    <t>S00008_1</t>
  </si>
  <si>
    <t xml:space="preserve">경비    6 </t>
  </si>
  <si>
    <t>_x0007_`COD|S00021_x0005_`EXI|0_x0005_`DVD|F_x0005_`BMK| _x0005_`IPR|0_x0005_`BLA|F_x0005_`</t>
  </si>
  <si>
    <t>S00021_1</t>
  </si>
  <si>
    <t xml:space="preserve">경비    9 </t>
  </si>
  <si>
    <t>_x0007_`COD|S00020_x0005_`EXI|0_x0005_`DVD|F_x0005_`BMK| _x0005_`IPR|0_x0005_`BLA|F_x0005_`</t>
  </si>
  <si>
    <t>S00020_1</t>
  </si>
  <si>
    <t xml:space="preserve">경비    8 </t>
  </si>
  <si>
    <t>_x0007_`COD|L00020_x0005_`EXI|0_x0005_`DVD|F_x0005_`BMK| _x0005_`IPR|0_x0005_`BLA|F_x0005_`</t>
  </si>
  <si>
    <t>L00020_1</t>
  </si>
  <si>
    <t xml:space="preserve">노무    8 </t>
  </si>
  <si>
    <t>_x0007_`COD|S00022_x0005_`EXI|0_x0005_`DVD|F_x0005_`BMK| _x0005_`IPR|0_x0005_`BLA|F_x0005_`</t>
  </si>
  <si>
    <t>S00022_1</t>
  </si>
  <si>
    <t xml:space="preserve">경비   10 </t>
  </si>
  <si>
    <t>_x0007_`COD|S00058_x0005_`EXI|0_x0005_`DVD|F_x0005_`BMK| _x0005_`IPR|0_x0005_`BLA|F_x0005_`</t>
  </si>
  <si>
    <t>S00058_1</t>
  </si>
  <si>
    <t xml:space="preserve">경비   15 </t>
  </si>
  <si>
    <t>_x0007_`COD|S00036_x0005_`EXI|0_x0005_`DVD|F_x0005_`BMK| _x0005_`IPR|0_x0005_`BLA|F_x0005_`</t>
  </si>
  <si>
    <t>S00036_1</t>
  </si>
  <si>
    <t xml:space="preserve">경비   12 </t>
  </si>
  <si>
    <t>_x0007_`COD|S00038_x0005_`EXI|0_x0005_`DVD|F_x0005_`BMK| _x0005_`IPR|0_x0005_`BLA|F_x0005_`</t>
  </si>
  <si>
    <t>S00038_1</t>
  </si>
  <si>
    <t xml:space="preserve">경비   13 </t>
  </si>
  <si>
    <t>_x0007_`COD|L00021_x0005_`EXI|0_x0005_`DVD|F_x0005_`BMK| _x0005_`IPR|0_x0005_`BLA|F_x0005_`</t>
  </si>
  <si>
    <t>L00021_1</t>
  </si>
  <si>
    <t xml:space="preserve">노무    9 </t>
  </si>
  <si>
    <t>_x0007_`COD|M00001_x0005_`EXI|0_x0005_`DVD|F_x0005_`BMK| _x0005_`IPR|0_x0005_`KWN|0_x0005_`BLA|F_x0005_`</t>
  </si>
  <si>
    <t>M00001_1</t>
  </si>
  <si>
    <t xml:space="preserve">자재    1 </t>
  </si>
  <si>
    <t>_x0007_`COD|M00099_x0005_`EXI|0_x0005_`DVD|F_x0005_`BMK| _x0005_`IPR|0_x0005_`KWN|0_x0005_`BLA|F_x0005_`</t>
  </si>
  <si>
    <t>M00099_1</t>
  </si>
  <si>
    <t xml:space="preserve">자재   13 </t>
  </si>
  <si>
    <t>_x0007_`COD|S00043_x0005_`EXI|0_x0005_`DVD|F_x0005_`BMK| _x0005_`IPR|0_x0005_`BLA|F_x0005_`</t>
  </si>
  <si>
    <t>S00043_1</t>
  </si>
  <si>
    <t xml:space="preserve">경비   14 </t>
  </si>
  <si>
    <t>_x0007_`COD|M00090_x0005_`EXI|0_x0005_`DVD|F_x0005_`BMK| _x0005_`IPR|0_x0005_`KWN|0_x0005_`BLA|F_x0005_`</t>
  </si>
  <si>
    <t>M00090_1</t>
  </si>
  <si>
    <t xml:space="preserve">자재   10 </t>
  </si>
  <si>
    <t>_x0007_`COD|S00145_x0005_`EXI|0_x0005_`DVD|F_x0005_`BMK| _x0005_`IPR|0_x0005_`BLA|F_x0005_`</t>
  </si>
  <si>
    <t>S00145_1</t>
  </si>
  <si>
    <t xml:space="preserve">경비   18 </t>
  </si>
  <si>
    <t>_x0007_`COD|S00168_x0005_`EXI|0_x0005_`DVD|F_x0005_`BMK| _x0005_`IPR|0_x0005_`BLA|F_x0005_`</t>
  </si>
  <si>
    <t xml:space="preserve">경비   21 </t>
  </si>
  <si>
    <t>_x0007_`COD|S00167_x0005_`EXI|0_x0005_`DVD|F_x0005_`BMK| _x0005_`IPR|0_x0005_`BLA|F_x0005_`</t>
  </si>
  <si>
    <t>S00167_1</t>
  </si>
  <si>
    <t xml:space="preserve">경비   20 </t>
  </si>
  <si>
    <t>_x0007_`COD|S00146_x0005_`EXI|0_x0005_`DVD|F_x0005_`BMK| _x0005_`IPR|0_x0005_`BLA|F_x0005_`</t>
  </si>
  <si>
    <t>S00146_1</t>
  </si>
  <si>
    <t xml:space="preserve">경비   19 </t>
  </si>
  <si>
    <t>_x0007_`COD|S00138_x0005_`EXI|0_x0005_`DVD|F_x0005_`BMK| _x0005_`IPR|0_x0005_`BLA|F_x0005_`</t>
  </si>
  <si>
    <t>S00138_1</t>
  </si>
  <si>
    <t xml:space="preserve">경비   17 </t>
  </si>
  <si>
    <t>_x0007_`COD|S00017_x0005_`EXI|0_x0005_`DVD|F_x0005_`BMK| _x0005_`IPR|0_x0005_`BLA|F_x0005_`</t>
  </si>
  <si>
    <t>S00017_1</t>
  </si>
  <si>
    <t xml:space="preserve">경비    7 </t>
  </si>
  <si>
    <t>_x0007_`COD|S00023_x0005_`EXI|0_x0005_`DVD|F_x0005_`BMK| _x0005_`IPR|0_x0005_`BLA|F_x0005_`</t>
  </si>
  <si>
    <t>S00023_1</t>
  </si>
  <si>
    <t xml:space="preserve">경비   11 </t>
  </si>
  <si>
    <t>_x0007_`COD|M00947_x0005_`EXI|0_x0005_`DVD|F_x0005_`BMK| _x0005_`IPR|1_x0005_`KWN|0_x0005_`BLA|F_x0005_`</t>
  </si>
  <si>
    <t>M00947_1</t>
  </si>
  <si>
    <t xml:space="preserve">자재   39 </t>
  </si>
  <si>
    <t>주연료의%</t>
  </si>
  <si>
    <t>_x0007_`COD|PR_x0005_`EXI|1_x0005_`DVD|F_x0005_`BMK| _x0005_`IPR|0_x0005_`EQC|A01_x0005_`PRI|1_x0005_`PRO|1_x0005_`UNI|%_x0005_`BLA|F_x0005_`</t>
  </si>
  <si>
    <t>PRA01_1</t>
  </si>
  <si>
    <t>_x0007_`COD|S00170_x0005_`EXI|0_x0005_`DVD|F_x0005_`BMK| _x0005_`IPR|0_x0005_`BLA|F_x0005_`</t>
  </si>
  <si>
    <t>S00170_1</t>
  </si>
  <si>
    <t xml:space="preserve">경비   23 </t>
  </si>
  <si>
    <t>_x0007_`COD|S00169_x0005_`EXI|0_x0005_`DVD|F_x0005_`BMK| _x0005_`IPR|0_x0005_`BLA|F_x0005_`</t>
  </si>
  <si>
    <t>S00169_1</t>
  </si>
  <si>
    <t xml:space="preserve">경비   22 </t>
  </si>
  <si>
    <t>노무비 수량,금액 집계표</t>
  </si>
  <si>
    <t>경 비 수량,금액 집계표</t>
  </si>
  <si>
    <t>중기 시간,금액 집계표</t>
  </si>
  <si>
    <t>=== 엑셀파일에 작성에 대한 안내문(반드시 읽어보세요) ===</t>
  </si>
  <si>
    <t>엑셀파일 수정후 계산식 반영이 안될경우 :【 Ctrl+Alt(+Shift)+F9 】</t>
  </si>
  <si>
    <t>◈ 엑셀파일내의 산식은 기초단가, 복합단가, 내역서 및 총괄내역서까지 연결됩니다.</t>
  </si>
  <si>
    <t xml:space="preserve">    (모든산식은 단가만을 불러오며, 명칭, 규격, 단위, 비고.. 등은 TEXT로 입력됩니다)</t>
  </si>
  <si>
    <t>◈ 각 Sheet우측에는 해당 항목을 찾아가는 위치이동(→) 링크가 있으며, 클릭하면 이동됩니다.</t>
  </si>
  <si>
    <t xml:space="preserve">    (Alt + ← 키를 이용하여 찾아갔던 항목을 되돌아 올 수 있습니다.)</t>
  </si>
  <si>
    <t>◈ 자재단가 대비표의 적용단가는 수식이 적용되지 않았으나, 우측에 최소단가 수식을 입력하였습니다.</t>
  </si>
  <si>
    <t>◈ 일위대가표 및 중기사용료 및 총괄내역서의 양식은 일반양식을 적용합니다.</t>
  </si>
  <si>
    <t>◈ [목차] 및 [안내]Sheet의 이름을 변경하지 마시고, Sheet이름을 변경할때 공백문자 및 특수문자를 사용하지 마십시요.</t>
  </si>
  <si>
    <t>※※※     아래의 내용(안내 및 오류)을 확인/검토 하세요     ※※※</t>
  </si>
  <si>
    <t>【설계내역서】253번째줄 에서 사용된【M00095】코드의 %단위(M%) 는 산식을 입력할 수 없으니 손료계산 형식으로 변경하십시요.</t>
  </si>
  <si>
    <t>【총괄설계내역서】62번째줄의 I열 이윤보정액은 총공사비 금액이 다를경우 임의조정(±α) 하십시요.</t>
  </si>
  <si>
    <t>【일위대가표】18번째줄 에서 사용된【M00920】코드의 %단위(L%) 는 산식을 입력할 수 없으니 손료계산 형식으로 변경하십시요.</t>
  </si>
  <si>
    <t>【일위대가표】27번째줄 에서 사용된【M00920】코드의 %단위(L%) 는 산식을 입력할 수 없으니 손료계산 형식으로 변경하십시요.</t>
  </si>
  <si>
    <t>【일위대가표】235번째줄 에서 사용된【M00950】코드의 %단위(L%) 는 산식을 입력할 수 없으니 손료계산 형식으로 변경하십시요.</t>
  </si>
  <si>
    <t>【단가산출근거】21번째줄 에서 사용된【M00580】코드의 %단위(M%) 는 산식을 입력할 수 없으니 손료계산 형식으로 변경하십시요.</t>
  </si>
  <si>
    <t>【중기사용료】106번째줄 에서 사용된【M00090】코드의 %단위(M%) 는 산식을 입력할 수 없으니 손료계산 형식으로 변경하십시요.</t>
  </si>
  <si>
    <t>목    차</t>
  </si>
  <si>
    <t>1. ※※안내※※</t>
  </si>
  <si>
    <t>2. 공사원가계산서</t>
  </si>
  <si>
    <t>3. 총괄설계내역서</t>
  </si>
  <si>
    <t>4. 설계내역서</t>
  </si>
  <si>
    <t>5. 일위대가목록표</t>
  </si>
  <si>
    <t>6. 일위대가표</t>
  </si>
  <si>
    <t>7. 단가산출근거목록표</t>
  </si>
  <si>
    <t>8. 단가산출근거</t>
  </si>
  <si>
    <t>9. 환율및기초자료</t>
  </si>
  <si>
    <t>10. 중기목록표</t>
  </si>
  <si>
    <t>11. 중기사용료</t>
  </si>
  <si>
    <t>12. 재료비목록표</t>
  </si>
  <si>
    <t>13. 노무비목록표</t>
  </si>
  <si>
    <t>14. 경비목록표</t>
  </si>
  <si>
    <t>15. 자재단가대비표</t>
  </si>
  <si>
    <t>16. 재료비수량금액집계표</t>
  </si>
  <si>
    <t>17. 노무비수량금액집계표</t>
  </si>
  <si>
    <t>18. 경비수량금액집계표</t>
  </si>
  <si>
    <t>19. 중기시간금액집계표</t>
  </si>
  <si>
    <t>※ 본 엑셀자료는 【STmate w24.02】버전 이상에서 STmate 자료로 다시 등록할 수 있습니다.</t>
  </si>
  <si>
    <t xml:space="preserve">   단, 임의로 수정한 내용(Sheet삭제, 산근내용변경, 기타계산식변경..)은 반영되지 않을 수 있습니다.</t>
  </si>
  <si>
    <t>※※ 현재 Sheet를 수정 또는 삭제하지 마십시요[수정/삭제시 STmate 데이타로 변환할 수 없습니다] ※※</t>
  </si>
  <si>
    <t>[Sheet정보]</t>
  </si>
  <si>
    <t>목차</t>
  </si>
  <si>
    <t>Sheet</t>
  </si>
  <si>
    <t>FPos</t>
  </si>
  <si>
    <t>ITNAME</t>
  </si>
  <si>
    <t>NAME</t>
  </si>
  <si>
    <t>SIZE</t>
  </si>
  <si>
    <t>UNIT</t>
  </si>
  <si>
    <t>SPOS</t>
  </si>
  <si>
    <t>EPOS</t>
  </si>
  <si>
    <t>TAMT</t>
  </si>
  <si>
    <t>TAMOUNT</t>
  </si>
  <si>
    <t>MAMT</t>
  </si>
  <si>
    <t>MAMOUNT</t>
  </si>
  <si>
    <t>LAMT</t>
  </si>
  <si>
    <t>LAMOUNT</t>
  </si>
  <si>
    <t>SAMT</t>
  </si>
  <si>
    <t>SAMOUNT</t>
  </si>
  <si>
    <t>AAMT</t>
  </si>
  <si>
    <t>AAMOUNT</t>
  </si>
  <si>
    <t>NAMT</t>
  </si>
  <si>
    <t>NAMOUNT</t>
  </si>
  <si>
    <t>INFO</t>
  </si>
  <si>
    <t>1. 재료비목록표</t>
  </si>
  <si>
    <t>2. 노무비목록표</t>
  </si>
  <si>
    <t>3. 경비목록표</t>
  </si>
  <si>
    <t>4. 일식목록표</t>
  </si>
  <si>
    <t>5. 환율 및 기초자료</t>
  </si>
  <si>
    <t>6. 중기목록표</t>
  </si>
  <si>
    <t>7. 실적단가표</t>
  </si>
  <si>
    <t>8. 일위대가목록표</t>
  </si>
  <si>
    <t>9. 산출근거목록표</t>
  </si>
  <si>
    <t>10. 자재단가대비표</t>
  </si>
  <si>
    <t>11. 내역서</t>
  </si>
  <si>
    <t>12. 총괄내역서</t>
  </si>
  <si>
    <t>13. 중기사용료</t>
  </si>
  <si>
    <t>14. 일위대가표</t>
  </si>
  <si>
    <t>15. 단가산출근거</t>
  </si>
  <si>
    <t xml:space="preserve">16. </t>
  </si>
  <si>
    <t xml:space="preserve">17. </t>
  </si>
  <si>
    <t>18. 표준시장목록표</t>
  </si>
  <si>
    <t>[공사정보]</t>
  </si>
  <si>
    <t>M_VER</t>
  </si>
  <si>
    <t>24.02</t>
  </si>
  <si>
    <t>PNAME</t>
  </si>
  <si>
    <t>PCLAS</t>
  </si>
  <si>
    <t>0</t>
  </si>
  <si>
    <t>SCLAS</t>
  </si>
  <si>
    <t>K_ORD</t>
  </si>
  <si>
    <t>PRIPR</t>
  </si>
  <si>
    <t>True</t>
  </si>
  <si>
    <t>ACTYP</t>
  </si>
  <si>
    <t>ACTOP</t>
  </si>
  <si>
    <t>[초기값]</t>
  </si>
  <si>
    <t>P_ORD</t>
  </si>
  <si>
    <t>EXNM_</t>
  </si>
  <si>
    <t>EXRNM</t>
  </si>
  <si>
    <t>False</t>
  </si>
  <si>
    <t>RXNM_</t>
  </si>
  <si>
    <t>1/8*16/12*25/20</t>
  </si>
  <si>
    <t>COND_</t>
  </si>
  <si>
    <t>L00018L00020L00021</t>
  </si>
  <si>
    <t>KCDNM</t>
  </si>
  <si>
    <t>JCDNM</t>
  </si>
  <si>
    <t>ECDNM</t>
  </si>
  <si>
    <t>ACDNM</t>
  </si>
  <si>
    <t>BPNNM</t>
  </si>
  <si>
    <t>ZCDNM</t>
  </si>
  <si>
    <t>CHGNM</t>
  </si>
  <si>
    <t>CHBNM</t>
  </si>
  <si>
    <t>CHNNM</t>
  </si>
  <si>
    <t>CUTNM</t>
  </si>
  <si>
    <t>OPTNM</t>
  </si>
  <si>
    <t>SML</t>
  </si>
  <si>
    <t>S_JDA</t>
  </si>
  <si>
    <t>SUBNM</t>
  </si>
  <si>
    <t>[인쇄정보]</t>
  </si>
  <si>
    <t>BMSTR</t>
  </si>
  <si>
    <t>BMKNM</t>
  </si>
  <si>
    <t>TLMS</t>
  </si>
  <si>
    <t>JEMNM</t>
  </si>
  <si>
    <t>123456</t>
  </si>
  <si>
    <t>JMKN1</t>
  </si>
  <si>
    <t>JMKN2</t>
  </si>
  <si>
    <t>JMKN3</t>
  </si>
  <si>
    <t>JMKN4</t>
  </si>
  <si>
    <t>JMKN5</t>
  </si>
  <si>
    <t>JMKN6</t>
  </si>
  <si>
    <t>CAP_CODE</t>
  </si>
  <si>
    <t>코드번호</t>
  </si>
  <si>
    <t>CAP_NO</t>
  </si>
  <si>
    <t>CAP_IBRD</t>
  </si>
  <si>
    <t>분류번호</t>
  </si>
  <si>
    <t>CAP_EQCOD</t>
  </si>
  <si>
    <t>시설코드</t>
  </si>
  <si>
    <t>CAP_ITNUM</t>
  </si>
  <si>
    <t>CAP_NAME</t>
  </si>
  <si>
    <t>CAP_SIZE</t>
  </si>
  <si>
    <t>CAP_QTY</t>
  </si>
  <si>
    <t>CAP_SUNIT</t>
  </si>
  <si>
    <t>CAP_AMT</t>
  </si>
  <si>
    <t>CAP_PAGE</t>
  </si>
  <si>
    <t>CAP_AMOUNT</t>
  </si>
  <si>
    <t>CAP_BIGO</t>
  </si>
  <si>
    <t>[PREPARE]</t>
  </si>
  <si>
    <t>PREP_VER</t>
  </si>
  <si>
    <t>w24.04</t>
  </si>
  <si>
    <t>PREP_COP</t>
  </si>
  <si>
    <t>그루터기 ENG #01</t>
  </si>
  <si>
    <t>PREP_DATE</t>
  </si>
  <si>
    <t>2024-04-05</t>
  </si>
  <si>
    <t>[.끝.]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</si>
</sst>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76" formatCode="#,###"/>
    <numFmt numFmtId="177" formatCode="#,##0.#######;\-#,##0.#######;#"/>
    <numFmt numFmtId="178" formatCode="#,##0.00#"/>
    <numFmt numFmtId="179" formatCode="#,##0.00\ &quot;(원/$)&quot;"/>
    <numFmt numFmtId="180" formatCode="#,##0.00\ &quot;(원/€)&quot;"/>
    <numFmt numFmtId="181" formatCode="#,##0.00\ &quot;(원/100￥)&quot;"/>
    <numFmt numFmtId="182" formatCode="#,##0.00#\ "/>
    <numFmt numFmtId="183" formatCode="#,##0;\-#,##0;#"/>
    <numFmt numFmtId="184" formatCode="#,##0.00#;\-#,##0.00#;#"/>
    <numFmt numFmtId="185" formatCode="#,##0.####;\-#,##0.####;#"/>
    <numFmt numFmtId="186" formatCode="#,##0.###;\-#,##0.###;#"/>
    <numFmt numFmtId="187" formatCode="#,##0.######;\-#,##0.######;#"/>
    <numFmt numFmtId="188" formatCode="#,##0.#######"/>
    <numFmt numFmtId="189" formatCode="0.000\ &quot;%&quot;;;#"/>
    <numFmt numFmtId="190" formatCode="0.#######;\-0.#######;#"/>
    <numFmt numFmtId="191" formatCode="#,##0.#;\-#,##0.#;#"/>
    <numFmt numFmtId="192" formatCode="#,##0.0#;\-#,##0.0#;#"/>
    <numFmt numFmtId="193" formatCode="#,##0.0#"/>
  </numFmts>
  <fonts count="28" x14ac:knownFonts="1">
    <font>
      <sz val="11"/>
      <color theme="1"/>
      <name val="맑은 고딕"/>
      <family val="2"/>
      <charset val="129"/>
      <scheme val="minor"/>
    </font>
    <font>
      <b/>
      <u/>
      <sz val="15"/>
      <color indexed="8"/>
      <name val="굴림체"/>
      <family val="3"/>
      <charset val="129"/>
    </font>
    <font>
      <sz val="9"/>
      <color indexed="8"/>
      <name val="굴림체"/>
      <family val="3"/>
      <charset val="129"/>
    </font>
    <font>
      <sz val="9"/>
      <color indexed="22"/>
      <name val="굴림체"/>
      <family val="3"/>
      <charset val="129"/>
    </font>
    <font>
      <sz val="10"/>
      <color indexed="22"/>
      <name val="맑은 고딕"/>
      <family val="3"/>
      <charset val="129"/>
      <scheme val="minor"/>
    </font>
    <font>
      <sz val="9"/>
      <color indexed="12"/>
      <name val="굴림체"/>
      <family val="3"/>
      <charset val="129"/>
    </font>
    <font>
      <sz val="9"/>
      <name val="맑은 고딕"/>
      <family val="3"/>
      <charset val="129"/>
      <scheme val="minor"/>
    </font>
    <font>
      <u/>
      <sz val="9"/>
      <color indexed="22"/>
      <name val="굴림체"/>
      <family val="3"/>
      <charset val="129"/>
    </font>
    <font>
      <sz val="11"/>
      <color indexed="8"/>
      <name val="굴림체"/>
      <family val="3"/>
      <charset val="129"/>
    </font>
    <font>
      <b/>
      <sz val="9"/>
      <color indexed="8"/>
      <name val="굴림체"/>
      <family val="3"/>
      <charset val="129"/>
    </font>
    <font>
      <b/>
      <sz val="10"/>
      <name val="맑은 고딕"/>
      <family val="3"/>
      <charset val="129"/>
      <scheme val="minor"/>
    </font>
    <font>
      <sz val="9"/>
      <color indexed="22"/>
      <name val="맑은 고딕"/>
      <family val="3"/>
      <charset val="129"/>
      <scheme val="minor"/>
    </font>
    <font>
      <sz val="10"/>
      <color indexed="8"/>
      <name val="굴림체"/>
      <family val="3"/>
      <charset val="129"/>
    </font>
    <font>
      <b/>
      <sz val="10"/>
      <color indexed="8"/>
      <name val="굴림체"/>
      <family val="3"/>
      <charset val="129"/>
    </font>
    <font>
      <sz val="9"/>
      <color indexed="17"/>
      <name val="굴림체"/>
      <family val="3"/>
      <charset val="129"/>
    </font>
    <font>
      <sz val="7"/>
      <color indexed="8"/>
      <name val="굴림체"/>
      <family val="3"/>
      <charset val="129"/>
    </font>
    <font>
      <sz val="9"/>
      <color indexed="9"/>
      <name val="굴림체"/>
      <family val="3"/>
      <charset val="129"/>
    </font>
    <font>
      <b/>
      <sz val="12"/>
      <color indexed="12"/>
      <name val="굴림체"/>
      <family val="3"/>
      <charset val="129"/>
    </font>
    <font>
      <b/>
      <sz val="14"/>
      <color indexed="12"/>
      <name val="굴림체"/>
      <family val="3"/>
      <charset val="129"/>
    </font>
    <font>
      <sz val="10"/>
      <color indexed="12"/>
      <name val="굴림체"/>
      <family val="3"/>
      <charset val="129"/>
    </font>
    <font>
      <sz val="10"/>
      <color indexed="9"/>
      <name val="굴림체"/>
      <family val="3"/>
      <charset val="129"/>
    </font>
    <font>
      <b/>
      <sz val="10"/>
      <color indexed="10"/>
      <name val="굴림체"/>
      <family val="3"/>
      <charset val="129"/>
    </font>
    <font>
      <b/>
      <sz val="9"/>
      <color indexed="12"/>
      <name val="굴림체"/>
      <family val="3"/>
      <charset val="129"/>
    </font>
    <font>
      <sz val="20"/>
      <color indexed="8"/>
      <name val="굴림체"/>
      <family val="3"/>
      <charset val="129"/>
    </font>
    <font>
      <sz val="9"/>
      <color indexed="10"/>
      <name val="굴림체"/>
      <family val="3"/>
      <charset val="129"/>
    </font>
    <font>
      <b/>
      <sz val="15"/>
      <color indexed="10"/>
      <name val="굴림체"/>
      <family val="3"/>
      <charset val="129"/>
    </font>
    <font>
      <sz val="8"/>
      <name val="맑은 고딕"/>
      <family val="2"/>
      <charset val="129"/>
      <scheme val="minor"/>
    </font>
    <font>
      <sz val="9"/>
      <color theme="1"/>
      <name val="굴림체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1">
    <xf numFmtId="0" fontId="0" fillId="0" borderId="0"/>
  </cellStyleXfs>
  <cellXfs count="170">
    <xf numFmtId="0" fontId="0" fillId="0" borderId="0" xfId="0"/>
    <xf numFmtId="49" fontId="2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0" fillId="0" borderId="0" xfId="0" applyAlignment="1">
      <alignment shrinkToFit="1"/>
    </xf>
    <xf numFmtId="49" fontId="2" fillId="0" borderId="0" xfId="0" applyNumberFormat="1" applyFont="1" applyAlignment="1">
      <alignment horizontal="left" vertical="center" shrinkToFit="1"/>
    </xf>
    <xf numFmtId="49" fontId="2" fillId="0" borderId="1" xfId="0" applyNumberFormat="1" applyFont="1" applyBorder="1" applyAlignment="1">
      <alignment horizontal="center" vertical="center" shrinkToFit="1"/>
    </xf>
    <xf numFmtId="49" fontId="2" fillId="0" borderId="2" xfId="0" applyNumberFormat="1" applyFont="1" applyBorder="1" applyAlignment="1">
      <alignment horizontal="center" vertical="center" shrinkToFit="1"/>
    </xf>
    <xf numFmtId="49" fontId="2" fillId="0" borderId="2" xfId="0" applyNumberFormat="1" applyFont="1" applyBorder="1" applyAlignment="1">
      <alignment horizontal="left" vertical="center" shrinkToFit="1"/>
    </xf>
    <xf numFmtId="176" fontId="2" fillId="0" borderId="3" xfId="0" applyNumberFormat="1" applyFont="1" applyBorder="1" applyAlignment="1">
      <alignment horizontal="right" vertical="center" shrinkToFit="1"/>
    </xf>
    <xf numFmtId="176" fontId="2" fillId="0" borderId="4" xfId="0" applyNumberFormat="1" applyFont="1" applyBorder="1" applyAlignment="1">
      <alignment horizontal="right" vertical="center" shrinkToFit="1"/>
    </xf>
    <xf numFmtId="176" fontId="2" fillId="0" borderId="5" xfId="0" applyNumberFormat="1" applyFont="1" applyBorder="1" applyAlignment="1">
      <alignment horizontal="right" vertical="center" shrinkToFit="1"/>
    </xf>
    <xf numFmtId="49" fontId="2" fillId="0" borderId="6" xfId="0" applyNumberFormat="1" applyFont="1" applyBorder="1" applyAlignment="1">
      <alignment horizontal="center" vertical="center" shrinkToFit="1"/>
    </xf>
    <xf numFmtId="49" fontId="2" fillId="0" borderId="4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shrinkToFit="1"/>
    </xf>
    <xf numFmtId="49" fontId="3" fillId="0" borderId="0" xfId="0" applyNumberFormat="1" applyFont="1" applyAlignment="1">
      <alignment horizontal="left" vertical="center" shrinkToFit="1"/>
    </xf>
    <xf numFmtId="0" fontId="6" fillId="0" borderId="0" xfId="0" applyFont="1" applyAlignment="1">
      <alignment shrinkToFit="1"/>
    </xf>
    <xf numFmtId="0" fontId="7" fillId="0" borderId="0" xfId="0" applyFont="1" applyAlignment="1">
      <alignment horizontal="center" vertical="center" shrinkToFit="1"/>
    </xf>
    <xf numFmtId="0" fontId="5" fillId="0" borderId="0" xfId="0" applyNumberFormat="1" applyFont="1" applyAlignment="1">
      <alignment horizontal="left" vertical="center" shrinkToFit="1"/>
    </xf>
    <xf numFmtId="49" fontId="2" fillId="0" borderId="0" xfId="0" applyNumberFormat="1" applyFont="1" applyAlignment="1">
      <alignment horizontal="center" vertical="center" shrinkToFit="1"/>
    </xf>
    <xf numFmtId="177" fontId="3" fillId="0" borderId="0" xfId="0" applyNumberFormat="1" applyFont="1" applyAlignment="1">
      <alignment horizontal="left" vertical="center" shrinkToFit="1"/>
    </xf>
    <xf numFmtId="178" fontId="2" fillId="0" borderId="2" xfId="0" applyNumberFormat="1" applyFont="1" applyBorder="1" applyAlignment="1">
      <alignment horizontal="right" vertical="center" shrinkToFit="1"/>
    </xf>
    <xf numFmtId="176" fontId="2" fillId="0" borderId="2" xfId="0" applyNumberFormat="1" applyFont="1" applyBorder="1" applyAlignment="1">
      <alignment horizontal="right" vertical="center" shrinkToFit="1"/>
    </xf>
    <xf numFmtId="49" fontId="2" fillId="0" borderId="3" xfId="0" applyNumberFormat="1" applyFont="1" applyBorder="1" applyAlignment="1">
      <alignment horizontal="center" vertical="center" shrinkToFit="1"/>
    </xf>
    <xf numFmtId="49" fontId="8" fillId="0" borderId="0" xfId="0" applyNumberFormat="1" applyFont="1" applyAlignment="1">
      <alignment horizontal="left" vertical="center"/>
    </xf>
    <xf numFmtId="49" fontId="2" fillId="0" borderId="7" xfId="0" applyNumberFormat="1" applyFont="1" applyBorder="1" applyAlignment="1">
      <alignment horizontal="center" vertical="center" shrinkToFit="1"/>
    </xf>
    <xf numFmtId="0" fontId="0" fillId="0" borderId="8" xfId="0" applyBorder="1" applyAlignment="1">
      <alignment shrinkToFit="1"/>
    </xf>
    <xf numFmtId="179" fontId="2" fillId="0" borderId="7" xfId="0" applyNumberFormat="1" applyFont="1" applyBorder="1" applyAlignment="1">
      <alignment horizontal="center" vertical="center" shrinkToFit="1"/>
    </xf>
    <xf numFmtId="49" fontId="2" fillId="0" borderId="5" xfId="0" applyNumberFormat="1" applyFont="1" applyBorder="1" applyAlignment="1">
      <alignment horizontal="left" vertical="center" shrinkToFit="1"/>
    </xf>
    <xf numFmtId="49" fontId="2" fillId="0" borderId="7" xfId="0" applyNumberFormat="1" applyFont="1" applyBorder="1" applyAlignment="1">
      <alignment horizontal="left" vertical="center" shrinkToFit="1"/>
    </xf>
    <xf numFmtId="182" fontId="2" fillId="0" borderId="5" xfId="0" applyNumberFormat="1" applyFont="1" applyBorder="1" applyAlignment="1">
      <alignment horizontal="right" vertical="center" shrinkToFit="1"/>
    </xf>
    <xf numFmtId="182" fontId="2" fillId="0" borderId="7" xfId="0" applyNumberFormat="1" applyFont="1" applyBorder="1" applyAlignment="1">
      <alignment horizontal="right" vertical="center" shrinkToFit="1"/>
    </xf>
    <xf numFmtId="49" fontId="2" fillId="0" borderId="5" xfId="0" applyNumberFormat="1" applyFont="1" applyBorder="1" applyAlignment="1">
      <alignment horizontal="center" vertical="center" shrinkToFit="1"/>
    </xf>
    <xf numFmtId="0" fontId="7" fillId="0" borderId="0" xfId="0" applyNumberFormat="1" applyFont="1" applyAlignment="1">
      <alignment horizontal="center" vertical="center" shrinkToFit="1"/>
    </xf>
    <xf numFmtId="184" fontId="2" fillId="0" borderId="2" xfId="0" applyNumberFormat="1" applyFont="1" applyBorder="1" applyAlignment="1">
      <alignment horizontal="right" vertical="center" shrinkToFit="1"/>
    </xf>
    <xf numFmtId="0" fontId="3" fillId="0" borderId="0" xfId="0" applyNumberFormat="1" applyFont="1" applyAlignment="1">
      <alignment horizontal="left" vertical="center" shrinkToFit="1"/>
    </xf>
    <xf numFmtId="176" fontId="2" fillId="0" borderId="0" xfId="0" applyNumberFormat="1" applyFont="1" applyAlignment="1">
      <alignment horizontal="right" vertical="center" shrinkToFit="1"/>
    </xf>
    <xf numFmtId="183" fontId="2" fillId="0" borderId="0" xfId="0" applyNumberFormat="1" applyFont="1" applyAlignment="1">
      <alignment horizontal="center" vertical="center" shrinkToFit="1"/>
    </xf>
    <xf numFmtId="177" fontId="2" fillId="0" borderId="0" xfId="0" applyNumberFormat="1" applyFont="1" applyAlignment="1">
      <alignment horizontal="right" vertical="center" shrinkToFit="1"/>
    </xf>
    <xf numFmtId="177" fontId="2" fillId="0" borderId="0" xfId="0" applyNumberFormat="1" applyFont="1" applyAlignment="1">
      <alignment horizontal="center" vertical="center" shrinkToFit="1"/>
    </xf>
    <xf numFmtId="49" fontId="9" fillId="0" borderId="2" xfId="0" applyNumberFormat="1" applyFont="1" applyBorder="1" applyAlignment="1">
      <alignment horizontal="left" vertical="center" shrinkToFit="1"/>
    </xf>
    <xf numFmtId="49" fontId="2" fillId="0" borderId="1" xfId="0" applyNumberFormat="1" applyFont="1" applyBorder="1" applyAlignment="1">
      <alignment horizontal="left" vertical="center" shrinkToFit="1"/>
    </xf>
    <xf numFmtId="49" fontId="9" fillId="0" borderId="3" xfId="0" applyNumberFormat="1" applyFont="1" applyBorder="1" applyAlignment="1">
      <alignment horizontal="left" vertical="center" shrinkToFit="1"/>
    </xf>
    <xf numFmtId="49" fontId="2" fillId="0" borderId="3" xfId="0" applyNumberFormat="1" applyFont="1" applyBorder="1" applyAlignment="1">
      <alignment horizontal="left" vertical="center" shrinkToFit="1"/>
    </xf>
    <xf numFmtId="49" fontId="2" fillId="0" borderId="5" xfId="0" applyNumberFormat="1" applyFont="1" applyBorder="1" applyAlignment="1">
      <alignment horizontal="right" vertical="center" shrinkToFit="1"/>
    </xf>
    <xf numFmtId="185" fontId="2" fillId="0" borderId="5" xfId="0" applyNumberFormat="1" applyFont="1" applyBorder="1" applyAlignment="1">
      <alignment horizontal="right" vertical="center" shrinkToFit="1"/>
    </xf>
    <xf numFmtId="49" fontId="2" fillId="0" borderId="3" xfId="0" applyNumberFormat="1" applyFont="1" applyBorder="1" applyAlignment="1">
      <alignment horizontal="right" vertical="center" shrinkToFit="1"/>
    </xf>
    <xf numFmtId="49" fontId="2" fillId="0" borderId="6" xfId="0" applyNumberFormat="1" applyFont="1" applyBorder="1" applyAlignment="1">
      <alignment horizontal="right" vertical="center" shrinkToFit="1"/>
    </xf>
    <xf numFmtId="0" fontId="0" fillId="0" borderId="4" xfId="0" applyBorder="1" applyAlignment="1">
      <alignment shrinkToFit="1"/>
    </xf>
    <xf numFmtId="49" fontId="2" fillId="0" borderId="2" xfId="0" applyNumberFormat="1" applyFont="1" applyBorder="1" applyAlignment="1">
      <alignment horizontal="right" vertical="center" shrinkToFit="1"/>
    </xf>
    <xf numFmtId="49" fontId="2" fillId="0" borderId="1" xfId="0" applyNumberFormat="1" applyFont="1" applyBorder="1" applyAlignment="1">
      <alignment horizontal="right" vertical="center" shrinkToFit="1"/>
    </xf>
    <xf numFmtId="0" fontId="0" fillId="0" borderId="2" xfId="0" applyBorder="1" applyAlignment="1">
      <alignment shrinkToFit="1"/>
    </xf>
    <xf numFmtId="187" fontId="2" fillId="0" borderId="2" xfId="0" applyNumberFormat="1" applyFont="1" applyBorder="1" applyAlignment="1">
      <alignment horizontal="right" vertical="center" shrinkToFit="1"/>
    </xf>
    <xf numFmtId="183" fontId="2" fillId="0" borderId="4" xfId="0" applyNumberFormat="1" applyFont="1" applyBorder="1" applyAlignment="1">
      <alignment horizontal="right" vertical="center" shrinkToFit="1"/>
    </xf>
    <xf numFmtId="183" fontId="2" fillId="0" borderId="3" xfId="0" applyNumberFormat="1" applyFont="1" applyBorder="1" applyAlignment="1">
      <alignment horizontal="right" vertical="center" shrinkToFit="1"/>
    </xf>
    <xf numFmtId="183" fontId="2" fillId="0" borderId="0" xfId="0" applyNumberFormat="1" applyFont="1" applyAlignment="1">
      <alignment horizontal="right" vertical="center" shrinkToFit="1"/>
    </xf>
    <xf numFmtId="187" fontId="2" fillId="0" borderId="4" xfId="0" applyNumberFormat="1" applyFont="1" applyBorder="1" applyAlignment="1">
      <alignment horizontal="right" vertical="center" shrinkToFit="1"/>
    </xf>
    <xf numFmtId="0" fontId="0" fillId="0" borderId="3" xfId="0" applyBorder="1" applyAlignment="1">
      <alignment shrinkToFit="1"/>
    </xf>
    <xf numFmtId="186" fontId="2" fillId="0" borderId="5" xfId="0" applyNumberFormat="1" applyFont="1" applyBorder="1" applyAlignment="1">
      <alignment horizontal="right" vertical="center" shrinkToFit="1"/>
    </xf>
    <xf numFmtId="187" fontId="2" fillId="0" borderId="3" xfId="0" applyNumberFormat="1" applyFont="1" applyBorder="1" applyAlignment="1">
      <alignment horizontal="right" vertical="center" shrinkToFit="1"/>
    </xf>
    <xf numFmtId="183" fontId="2" fillId="0" borderId="2" xfId="0" applyNumberFormat="1" applyFont="1" applyBorder="1" applyAlignment="1">
      <alignment horizontal="right" vertical="center" shrinkToFit="1"/>
    </xf>
    <xf numFmtId="186" fontId="2" fillId="0" borderId="2" xfId="0" applyNumberFormat="1" applyFont="1" applyBorder="1" applyAlignment="1">
      <alignment horizontal="right" vertical="center" shrinkToFit="1"/>
    </xf>
    <xf numFmtId="183" fontId="2" fillId="0" borderId="5" xfId="0" applyNumberFormat="1" applyFont="1" applyBorder="1" applyAlignment="1">
      <alignment horizontal="right" vertical="center" shrinkToFit="1"/>
    </xf>
    <xf numFmtId="176" fontId="2" fillId="2" borderId="0" xfId="0" applyNumberFormat="1" applyFont="1" applyFill="1" applyAlignment="1">
      <alignment horizontal="right" vertical="center" shrinkToFit="1"/>
    </xf>
    <xf numFmtId="188" fontId="2" fillId="2" borderId="0" xfId="0" applyNumberFormat="1" applyFont="1" applyFill="1" applyAlignment="1">
      <alignment horizontal="right" vertical="center" shrinkToFit="1"/>
    </xf>
    <xf numFmtId="176" fontId="3" fillId="0" borderId="0" xfId="0" applyNumberFormat="1" applyFont="1" applyAlignment="1">
      <alignment horizontal="right" vertical="center" shrinkToFit="1"/>
    </xf>
    <xf numFmtId="176" fontId="3" fillId="2" borderId="0" xfId="0" applyNumberFormat="1" applyFont="1" applyFill="1" applyAlignment="1">
      <alignment horizontal="right" vertical="center" shrinkToFit="1"/>
    </xf>
    <xf numFmtId="49" fontId="2" fillId="0" borderId="10" xfId="0" applyNumberFormat="1" applyFont="1" applyBorder="1" applyAlignment="1">
      <alignment horizontal="center" vertical="center" shrinkToFit="1"/>
    </xf>
    <xf numFmtId="49" fontId="2" fillId="0" borderId="9" xfId="0" applyNumberFormat="1" applyFont="1" applyBorder="1" applyAlignment="1">
      <alignment horizontal="center" vertical="center" shrinkToFit="1"/>
    </xf>
    <xf numFmtId="183" fontId="2" fillId="0" borderId="10" xfId="0" applyNumberFormat="1" applyFont="1" applyBorder="1" applyAlignment="1">
      <alignment horizontal="right" vertical="center" shrinkToFit="1"/>
    </xf>
    <xf numFmtId="176" fontId="2" fillId="0" borderId="10" xfId="0" applyNumberFormat="1" applyFont="1" applyBorder="1" applyAlignment="1">
      <alignment horizontal="right" vertical="center" shrinkToFit="1"/>
    </xf>
    <xf numFmtId="183" fontId="2" fillId="0" borderId="6" xfId="0" applyNumberFormat="1" applyFont="1" applyBorder="1" applyAlignment="1">
      <alignment horizontal="right" vertical="center" shrinkToFit="1"/>
    </xf>
    <xf numFmtId="189" fontId="2" fillId="0" borderId="10" xfId="0" applyNumberFormat="1" applyFont="1" applyBorder="1" applyAlignment="1">
      <alignment horizontal="right" vertical="center" shrinkToFit="1"/>
    </xf>
    <xf numFmtId="189" fontId="2" fillId="0" borderId="6" xfId="0" applyNumberFormat="1" applyFont="1" applyBorder="1" applyAlignment="1">
      <alignment horizontal="right" vertical="center" shrinkToFit="1"/>
    </xf>
    <xf numFmtId="189" fontId="2" fillId="0" borderId="5" xfId="0" applyNumberFormat="1" applyFont="1" applyBorder="1" applyAlignment="1">
      <alignment horizontal="right" vertical="center" shrinkToFit="1"/>
    </xf>
    <xf numFmtId="49" fontId="2" fillId="0" borderId="0" xfId="0" applyNumberFormat="1" applyFont="1" applyAlignment="1">
      <alignment horizontal="right" vertical="center" shrinkToFit="1"/>
    </xf>
    <xf numFmtId="49" fontId="2" fillId="0" borderId="10" xfId="0" applyNumberFormat="1" applyFont="1" applyBorder="1" applyAlignment="1">
      <alignment horizontal="left" vertical="center" shrinkToFit="1"/>
    </xf>
    <xf numFmtId="0" fontId="0" fillId="0" borderId="10" xfId="0" applyBorder="1" applyAlignment="1">
      <alignment shrinkToFit="1"/>
    </xf>
    <xf numFmtId="49" fontId="2" fillId="0" borderId="6" xfId="0" applyNumberFormat="1" applyFont="1" applyBorder="1" applyAlignment="1">
      <alignment horizontal="left" vertical="center" shrinkToFit="1"/>
    </xf>
    <xf numFmtId="177" fontId="2" fillId="0" borderId="10" xfId="0" applyNumberFormat="1" applyFont="1" applyBorder="1" applyAlignment="1">
      <alignment horizontal="left" vertical="center" shrinkToFit="1"/>
    </xf>
    <xf numFmtId="177" fontId="2" fillId="0" borderId="10" xfId="0" applyNumberFormat="1" applyFont="1" applyBorder="1" applyAlignment="1">
      <alignment horizontal="left" vertical="center" wrapText="1" justifyLastLine="1" shrinkToFit="1"/>
    </xf>
    <xf numFmtId="177" fontId="2" fillId="0" borderId="3" xfId="0" applyNumberFormat="1" applyFont="1" applyBorder="1" applyAlignment="1">
      <alignment horizontal="left" vertical="center" shrinkToFit="1"/>
    </xf>
    <xf numFmtId="49" fontId="9" fillId="0" borderId="10" xfId="0" applyNumberFormat="1" applyFont="1" applyBorder="1" applyAlignment="1">
      <alignment horizontal="left" vertical="center" shrinkToFit="1"/>
    </xf>
    <xf numFmtId="0" fontId="10" fillId="0" borderId="10" xfId="0" applyFont="1" applyBorder="1" applyAlignment="1">
      <alignment shrinkToFit="1"/>
    </xf>
    <xf numFmtId="0" fontId="10" fillId="0" borderId="3" xfId="0" applyFont="1" applyBorder="1" applyAlignment="1">
      <alignment shrinkToFit="1"/>
    </xf>
    <xf numFmtId="190" fontId="2" fillId="0" borderId="3" xfId="0" applyNumberFormat="1" applyFont="1" applyBorder="1" applyAlignment="1">
      <alignment horizontal="right" vertical="center" shrinkToFit="1"/>
    </xf>
    <xf numFmtId="49" fontId="9" fillId="0" borderId="3" xfId="0" applyNumberFormat="1" applyFont="1" applyBorder="1" applyAlignment="1">
      <alignment horizontal="center" vertical="center" shrinkToFit="1"/>
    </xf>
    <xf numFmtId="191" fontId="2" fillId="0" borderId="3" xfId="0" applyNumberFormat="1" applyFont="1" applyBorder="1" applyAlignment="1">
      <alignment horizontal="right" vertical="center" shrinkToFit="1"/>
    </xf>
    <xf numFmtId="191" fontId="2" fillId="0" borderId="2" xfId="0" applyNumberFormat="1" applyFont="1" applyBorder="1" applyAlignment="1">
      <alignment horizontal="right" vertical="center" shrinkToFit="1"/>
    </xf>
    <xf numFmtId="177" fontId="2" fillId="0" borderId="3" xfId="0" applyNumberFormat="1" applyFont="1" applyBorder="1" applyAlignment="1">
      <alignment horizontal="right" vertical="center" shrinkToFit="1"/>
    </xf>
    <xf numFmtId="191" fontId="2" fillId="0" borderId="4" xfId="0" applyNumberFormat="1" applyFont="1" applyBorder="1" applyAlignment="1">
      <alignment horizontal="right" vertical="center" shrinkToFit="1"/>
    </xf>
    <xf numFmtId="191" fontId="2" fillId="0" borderId="5" xfId="0" applyNumberFormat="1" applyFont="1" applyBorder="1" applyAlignment="1">
      <alignment horizontal="right" vertical="center" shrinkToFit="1"/>
    </xf>
    <xf numFmtId="0" fontId="11" fillId="0" borderId="0" xfId="0" applyFont="1" applyAlignment="1">
      <alignment shrinkToFit="1"/>
    </xf>
    <xf numFmtId="49" fontId="12" fillId="0" borderId="0" xfId="0" applyNumberFormat="1" applyFont="1" applyAlignment="1">
      <alignment horizontal="left" vertical="center"/>
    </xf>
    <xf numFmtId="49" fontId="13" fillId="0" borderId="10" xfId="0" applyNumberFormat="1" applyFont="1" applyBorder="1" applyAlignment="1">
      <alignment horizontal="center" vertical="center" shrinkToFit="1"/>
    </xf>
    <xf numFmtId="49" fontId="13" fillId="0" borderId="10" xfId="0" applyNumberFormat="1" applyFont="1" applyBorder="1" applyAlignment="1">
      <alignment horizontal="left" vertical="center" shrinkToFit="1"/>
    </xf>
    <xf numFmtId="0" fontId="2" fillId="0" borderId="10" xfId="0" applyNumberFormat="1" applyFont="1" applyBorder="1" applyAlignment="1">
      <alignment horizontal="left" vertical="center" shrinkToFit="1"/>
    </xf>
    <xf numFmtId="0" fontId="0" fillId="0" borderId="9" xfId="0" applyBorder="1" applyAlignment="1">
      <alignment shrinkToFit="1"/>
    </xf>
    <xf numFmtId="192" fontId="2" fillId="0" borderId="10" xfId="0" applyNumberFormat="1" applyFont="1" applyBorder="1" applyAlignment="1">
      <alignment horizontal="right" vertical="center" shrinkToFit="1"/>
    </xf>
    <xf numFmtId="192" fontId="2" fillId="0" borderId="3" xfId="0" applyNumberFormat="1" applyFont="1" applyBorder="1" applyAlignment="1">
      <alignment horizontal="right" vertical="center" shrinkToFit="1"/>
    </xf>
    <xf numFmtId="192" fontId="2" fillId="0" borderId="6" xfId="0" applyNumberFormat="1" applyFont="1" applyBorder="1" applyAlignment="1">
      <alignment horizontal="right" vertical="center" shrinkToFit="1"/>
    </xf>
    <xf numFmtId="0" fontId="0" fillId="0" borderId="6" xfId="0" applyBorder="1" applyAlignment="1">
      <alignment shrinkToFit="1"/>
    </xf>
    <xf numFmtId="192" fontId="2" fillId="0" borderId="11" xfId="0" applyNumberFormat="1" applyFont="1" applyBorder="1" applyAlignment="1">
      <alignment horizontal="right" vertical="center" shrinkToFit="1"/>
    </xf>
    <xf numFmtId="0" fontId="0" fillId="0" borderId="12" xfId="0" applyBorder="1" applyAlignment="1">
      <alignment shrinkToFit="1"/>
    </xf>
    <xf numFmtId="0" fontId="2" fillId="0" borderId="0" xfId="0" applyNumberFormat="1" applyFont="1" applyAlignment="1">
      <alignment horizontal="right" vertical="center" shrinkToFit="1"/>
    </xf>
    <xf numFmtId="192" fontId="2" fillId="0" borderId="0" xfId="0" applyNumberFormat="1" applyFont="1" applyAlignment="1">
      <alignment horizontal="right" vertical="center" shrinkToFit="1"/>
    </xf>
    <xf numFmtId="188" fontId="2" fillId="0" borderId="0" xfId="0" applyNumberFormat="1" applyFont="1" applyAlignment="1">
      <alignment horizontal="right" vertical="center" shrinkToFit="1"/>
    </xf>
    <xf numFmtId="0" fontId="2" fillId="0" borderId="0" xfId="0" applyNumberFormat="1" applyFont="1" applyAlignment="1">
      <alignment horizontal="left" vertical="center" shrinkToFit="1"/>
    </xf>
    <xf numFmtId="0" fontId="0" fillId="0" borderId="0" xfId="0" applyAlignment="1">
      <alignment horizontal="center" shrinkToFit="1"/>
    </xf>
    <xf numFmtId="188" fontId="14" fillId="2" borderId="0" xfId="0" applyNumberFormat="1" applyFont="1" applyFill="1" applyAlignment="1">
      <alignment horizontal="center" vertical="center" shrinkToFit="1"/>
    </xf>
    <xf numFmtId="176" fontId="14" fillId="2" borderId="0" xfId="0" applyNumberFormat="1" applyFont="1" applyFill="1" applyAlignment="1">
      <alignment horizontal="center" vertical="center" shrinkToFit="1"/>
    </xf>
    <xf numFmtId="0" fontId="2" fillId="0" borderId="0" xfId="0" applyNumberFormat="1" applyFont="1" applyAlignment="1">
      <alignment horizontal="center" vertical="center" shrinkToFit="1"/>
    </xf>
    <xf numFmtId="0" fontId="15" fillId="0" borderId="0" xfId="0" applyNumberFormat="1" applyFont="1" applyAlignment="1">
      <alignment horizontal="center" vertical="center" shrinkToFit="1"/>
    </xf>
    <xf numFmtId="177" fontId="2" fillId="0" borderId="5" xfId="0" applyNumberFormat="1" applyFont="1" applyBorder="1" applyAlignment="1">
      <alignment horizontal="right" vertical="center" shrinkToFit="1"/>
    </xf>
    <xf numFmtId="193" fontId="2" fillId="0" borderId="3" xfId="0" applyNumberFormat="1" applyFont="1" applyBorder="1" applyAlignment="1">
      <alignment horizontal="right" vertical="center" shrinkToFit="1"/>
    </xf>
    <xf numFmtId="49" fontId="17" fillId="0" borderId="0" xfId="0" applyNumberFormat="1" applyFont="1" applyAlignment="1">
      <alignment horizontal="left" vertical="center"/>
    </xf>
    <xf numFmtId="49" fontId="18" fillId="0" borderId="0" xfId="0" applyNumberFormat="1" applyFont="1" applyAlignment="1">
      <alignment horizontal="left" vertical="center"/>
    </xf>
    <xf numFmtId="49" fontId="19" fillId="0" borderId="0" xfId="0" applyNumberFormat="1" applyFont="1" applyAlignment="1">
      <alignment horizontal="left" vertical="center"/>
    </xf>
    <xf numFmtId="49" fontId="21" fillId="0" borderId="0" xfId="0" applyNumberFormat="1" applyFont="1" applyAlignment="1">
      <alignment horizontal="left" vertical="center"/>
    </xf>
    <xf numFmtId="49" fontId="22" fillId="0" borderId="0" xfId="0" applyNumberFormat="1" applyFont="1" applyAlignment="1">
      <alignment horizontal="left" vertical="center"/>
    </xf>
    <xf numFmtId="49" fontId="23" fillId="0" borderId="0" xfId="0" applyNumberFormat="1" applyFont="1" applyAlignment="1">
      <alignment horizontal="left" vertical="center"/>
    </xf>
    <xf numFmtId="49" fontId="24" fillId="0" borderId="0" xfId="0" applyNumberFormat="1" applyFont="1" applyAlignment="1">
      <alignment horizontal="left" vertical="center"/>
    </xf>
    <xf numFmtId="0" fontId="0" fillId="0" borderId="0" xfId="0" applyAlignment="1" applyProtection="1">
      <alignment shrinkToFit="1"/>
      <protection hidden="1"/>
    </xf>
    <xf numFmtId="49" fontId="2" fillId="5" borderId="0" xfId="0" applyNumberFormat="1" applyFont="1" applyFill="1" applyAlignment="1" applyProtection="1">
      <alignment horizontal="left" vertical="center" shrinkToFit="1"/>
      <protection hidden="1"/>
    </xf>
    <xf numFmtId="49" fontId="2" fillId="0" borderId="0" xfId="0" applyNumberFormat="1" applyFont="1" applyAlignment="1" applyProtection="1">
      <alignment horizontal="center" vertical="center" shrinkToFit="1"/>
      <protection hidden="1"/>
    </xf>
    <xf numFmtId="49" fontId="2" fillId="0" borderId="0" xfId="0" applyNumberFormat="1" applyFont="1" applyAlignment="1" applyProtection="1">
      <alignment horizontal="left" vertical="center" shrinkToFit="1"/>
      <protection hidden="1"/>
    </xf>
    <xf numFmtId="0" fontId="2" fillId="0" borderId="0" xfId="0" applyNumberFormat="1" applyFont="1" applyAlignment="1" applyProtection="1">
      <alignment horizontal="center" vertical="center" shrinkToFit="1"/>
      <protection hidden="1"/>
    </xf>
    <xf numFmtId="0" fontId="2" fillId="0" borderId="0" xfId="0" applyNumberFormat="1" applyFont="1" applyAlignment="1" applyProtection="1">
      <alignment horizontal="left" vertical="center" shrinkToFit="1"/>
      <protection hidden="1"/>
    </xf>
    <xf numFmtId="177" fontId="2" fillId="0" borderId="0" xfId="0" applyNumberFormat="1" applyFont="1" applyAlignment="1" applyProtection="1">
      <alignment horizontal="left" vertical="center" shrinkToFit="1"/>
      <protection hidden="1"/>
    </xf>
    <xf numFmtId="177" fontId="2" fillId="0" borderId="0" xfId="0" applyNumberFormat="1" applyFont="1" applyAlignment="1" applyProtection="1">
      <alignment horizontal="center" vertical="center" shrinkToFit="1"/>
      <protection hidden="1"/>
    </xf>
    <xf numFmtId="0" fontId="6" fillId="0" borderId="0" xfId="0" applyFont="1" applyAlignment="1" applyProtection="1">
      <alignment shrinkToFit="1"/>
      <protection hidden="1"/>
    </xf>
    <xf numFmtId="1" fontId="2" fillId="0" borderId="0" xfId="0" applyNumberFormat="1" applyFont="1" applyAlignment="1" applyProtection="1">
      <alignment horizontal="left" vertical="center" shrinkToFit="1"/>
      <protection hidden="1"/>
    </xf>
    <xf numFmtId="0" fontId="17" fillId="0" borderId="0" xfId="0" applyNumberFormat="1" applyFont="1" applyAlignment="1">
      <alignment horizontal="left" vertical="center"/>
    </xf>
    <xf numFmtId="0" fontId="20" fillId="4" borderId="0" xfId="0" applyNumberFormat="1" applyFont="1" applyFill="1" applyAlignment="1">
      <alignment horizontal="left" vertical="center"/>
    </xf>
    <xf numFmtId="0" fontId="0" fillId="0" borderId="0" xfId="0"/>
    <xf numFmtId="49" fontId="9" fillId="0" borderId="2" xfId="0" applyNumberFormat="1" applyFont="1" applyBorder="1" applyAlignment="1">
      <alignment horizontal="distributed" vertical="center" indent="2" shrinkToFit="1"/>
    </xf>
    <xf numFmtId="0" fontId="0" fillId="0" borderId="5" xfId="0" applyBorder="1" applyAlignment="1">
      <alignment horizontal="distributed" indent="2"/>
    </xf>
    <xf numFmtId="49" fontId="2" fillId="0" borderId="2" xfId="0" applyNumberFormat="1" applyFont="1" applyBorder="1" applyAlignment="1">
      <alignment horizontal="distributed" vertical="center" indent="2" shrinkToFit="1"/>
    </xf>
    <xf numFmtId="49" fontId="2" fillId="0" borderId="10" xfId="0" applyNumberFormat="1" applyFont="1" applyBorder="1" applyAlignment="1">
      <alignment horizontal="center" vertical="center" textRotation="255" shrinkToFit="1"/>
    </xf>
    <xf numFmtId="0" fontId="0" fillId="0" borderId="10" xfId="0" applyBorder="1"/>
    <xf numFmtId="0" fontId="0" fillId="0" borderId="3" xfId="0" applyBorder="1"/>
    <xf numFmtId="49" fontId="2" fillId="0" borderId="3" xfId="0" applyNumberFormat="1" applyFont="1" applyBorder="1" applyAlignment="1">
      <alignment horizontal="distributed" vertical="center" indent="2" shrinkToFit="1"/>
    </xf>
    <xf numFmtId="0" fontId="0" fillId="0" borderId="3" xfId="0" applyBorder="1" applyAlignment="1">
      <alignment horizontal="distributed" indent="2"/>
    </xf>
    <xf numFmtId="0" fontId="0" fillId="0" borderId="1" xfId="0" applyBorder="1" applyAlignment="1">
      <alignment horizontal="distributed" indent="2"/>
    </xf>
    <xf numFmtId="49" fontId="1" fillId="0" borderId="0" xfId="0" applyNumberFormat="1" applyFont="1" applyAlignment="1">
      <alignment horizontal="center" vertical="center" shrinkToFit="1"/>
    </xf>
    <xf numFmtId="49" fontId="2" fillId="0" borderId="9" xfId="0" applyNumberFormat="1" applyFont="1" applyBorder="1" applyAlignment="1">
      <alignment horizontal="right" vertical="center" shrinkToFit="1"/>
    </xf>
    <xf numFmtId="0" fontId="0" fillId="0" borderId="9" xfId="0" applyBorder="1"/>
    <xf numFmtId="49" fontId="2" fillId="0" borderId="6" xfId="0" applyNumberFormat="1" applyFont="1" applyBorder="1" applyAlignment="1">
      <alignment horizontal="center" vertical="center" shrinkToFit="1"/>
    </xf>
    <xf numFmtId="0" fontId="0" fillId="0" borderId="6" xfId="0" applyBorder="1"/>
    <xf numFmtId="49" fontId="2" fillId="0" borderId="3" xfId="0" applyNumberFormat="1" applyFont="1" applyBorder="1" applyAlignment="1">
      <alignment horizontal="left" vertical="center" shrinkToFit="1"/>
    </xf>
    <xf numFmtId="177" fontId="2" fillId="0" borderId="5" xfId="0" applyNumberFormat="1" applyFont="1" applyBorder="1" applyAlignment="1">
      <alignment horizontal="left" vertical="center" shrinkToFit="1"/>
    </xf>
    <xf numFmtId="0" fontId="0" fillId="0" borderId="5" xfId="0" applyBorder="1"/>
    <xf numFmtId="0" fontId="0" fillId="0" borderId="4" xfId="0" applyBorder="1"/>
    <xf numFmtId="49" fontId="2" fillId="0" borderId="5" xfId="0" applyNumberFormat="1" applyFont="1" applyBorder="1" applyAlignment="1">
      <alignment horizontal="left" vertical="center" shrinkToFit="1"/>
    </xf>
    <xf numFmtId="49" fontId="2" fillId="0" borderId="5" xfId="0" applyNumberFormat="1" applyFont="1" applyBorder="1" applyAlignment="1">
      <alignment horizontal="left" vertical="center" wrapText="1" shrinkToFit="1"/>
    </xf>
    <xf numFmtId="0" fontId="0" fillId="0" borderId="1" xfId="0" applyBorder="1"/>
    <xf numFmtId="49" fontId="2" fillId="0" borderId="1" xfId="0" applyNumberFormat="1" applyFont="1" applyBorder="1" applyAlignment="1">
      <alignment horizontal="center" vertical="center" shrinkToFit="1"/>
    </xf>
    <xf numFmtId="183" fontId="2" fillId="0" borderId="10" xfId="0" applyNumberFormat="1" applyFont="1" applyBorder="1" applyAlignment="1">
      <alignment horizontal="right" vertical="center" shrinkToFit="1"/>
    </xf>
    <xf numFmtId="49" fontId="2" fillId="0" borderId="2" xfId="0" applyNumberFormat="1" applyFont="1" applyBorder="1" applyAlignment="1">
      <alignment horizontal="center" vertical="center" shrinkToFit="1"/>
    </xf>
    <xf numFmtId="49" fontId="16" fillId="3" borderId="0" xfId="0" applyNumberFormat="1" applyFont="1" applyFill="1" applyAlignment="1">
      <alignment horizontal="center" vertical="center" shrinkToFit="1"/>
    </xf>
    <xf numFmtId="0" fontId="0" fillId="0" borderId="0" xfId="0" applyAlignment="1">
      <alignment horizontal="center"/>
    </xf>
    <xf numFmtId="49" fontId="2" fillId="0" borderId="5" xfId="0" applyNumberFormat="1" applyFont="1" applyBorder="1" applyAlignment="1">
      <alignment horizontal="center" vertical="center" shrinkToFit="1"/>
    </xf>
    <xf numFmtId="49" fontId="2" fillId="0" borderId="7" xfId="0" applyNumberFormat="1" applyFont="1" applyBorder="1" applyAlignment="1">
      <alignment horizontal="center" vertical="center" shrinkToFit="1"/>
    </xf>
    <xf numFmtId="0" fontId="0" fillId="0" borderId="7" xfId="0" applyBorder="1"/>
    <xf numFmtId="49" fontId="8" fillId="0" borderId="0" xfId="0" applyNumberFormat="1" applyFont="1" applyAlignment="1">
      <alignment horizontal="left" vertical="center" shrinkToFit="1"/>
    </xf>
    <xf numFmtId="180" fontId="2" fillId="0" borderId="7" xfId="0" applyNumberFormat="1" applyFont="1" applyBorder="1" applyAlignment="1">
      <alignment horizontal="center" vertical="center" shrinkToFit="1"/>
    </xf>
    <xf numFmtId="181" fontId="2" fillId="0" borderId="7" xfId="0" applyNumberFormat="1" applyFont="1" applyBorder="1" applyAlignment="1">
      <alignment horizontal="center" vertical="center" shrinkToFit="1"/>
    </xf>
    <xf numFmtId="49" fontId="2" fillId="0" borderId="0" xfId="0" applyNumberFormat="1" applyFont="1" applyAlignment="1">
      <alignment horizontal="center" vertical="center" shrinkToFit="1"/>
    </xf>
    <xf numFmtId="49" fontId="25" fillId="0" borderId="0" xfId="0" applyNumberFormat="1" applyFont="1" applyAlignment="1" applyProtection="1">
      <alignment horizontal="left" vertical="center" shrinkToFit="1"/>
      <protection hidden="1"/>
    </xf>
  </cellXfs>
  <cellStyles count="1">
    <cellStyle name="표준" xfId="0" builtinId="0"/>
  </cellStyles>
  <dxfs count="6">
    <dxf>
      <fill>
        <patternFill>
          <bgColor rgb="FF808000"/>
        </patternFill>
      </fill>
    </dxf>
    <dxf>
      <numFmt numFmtId="176" formatCode="#,###"/>
    </dxf>
    <dxf>
      <numFmt numFmtId="176" formatCode="#,###"/>
    </dxf>
    <dxf>
      <numFmt numFmtId="176" formatCode="#,###"/>
    </dxf>
    <dxf>
      <numFmt numFmtId="176" formatCode="#,###"/>
    </dxf>
    <dxf>
      <numFmt numFmtId="176" formatCode="#,##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4</xdr:row>
      <xdr:rowOff>0</xdr:rowOff>
    </xdr:to>
    <xdr:cxnSp macro="">
      <xdr:nvCxnSpPr>
        <xdr:cNvPr id="2" name="직선 연결선 1"/>
        <xdr:cNvCxnSpPr/>
      </xdr:nvCxnSpPr>
      <xdr:spPr>
        <a:xfrm>
          <a:off x="0" y="523875"/>
          <a:ext cx="2514600" cy="41910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://www.stma.co.kr/" TargetMode="External"/><Relationship Id="rId1" Type="http://schemas.openxmlformats.org/officeDocument/2006/relationships/hyperlink" Target="http://www.stma.co.kr/" TargetMode="External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://www.stma.co.kr/" TargetMode="External"/><Relationship Id="rId1" Type="http://schemas.openxmlformats.org/officeDocument/2006/relationships/hyperlink" Target="http://www.stma.co.kr/" TargetMode="External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://www.stma.co.kr/" TargetMode="External"/><Relationship Id="rId1" Type="http://schemas.openxmlformats.org/officeDocument/2006/relationships/hyperlink" Target="http://www.stma.co.kr/" TargetMode="External"/><Relationship Id="rId5" Type="http://schemas.openxmlformats.org/officeDocument/2006/relationships/comments" Target="../comments12.xml"/><Relationship Id="rId4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://www.stma.co.kr/" TargetMode="External"/><Relationship Id="rId1" Type="http://schemas.openxmlformats.org/officeDocument/2006/relationships/hyperlink" Target="http://www.stma.co.kr/" TargetMode="External"/><Relationship Id="rId5" Type="http://schemas.openxmlformats.org/officeDocument/2006/relationships/comments" Target="../comments13.xml"/><Relationship Id="rId4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http://www.stma.co.kr/" TargetMode="External"/><Relationship Id="rId1" Type="http://schemas.openxmlformats.org/officeDocument/2006/relationships/hyperlink" Target="http://www.stma.co.kr/" TargetMode="External"/><Relationship Id="rId5" Type="http://schemas.openxmlformats.org/officeDocument/2006/relationships/comments" Target="../comments14.xml"/><Relationship Id="rId4" Type="http://schemas.openxmlformats.org/officeDocument/2006/relationships/vmlDrawing" Target="../drawings/vmlDrawing14.v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hyperlink" Target="http://www.stma.co.kr/" TargetMode="External"/><Relationship Id="rId1" Type="http://schemas.openxmlformats.org/officeDocument/2006/relationships/hyperlink" Target="http://www.stma.co.kr/" TargetMode="External"/><Relationship Id="rId5" Type="http://schemas.openxmlformats.org/officeDocument/2006/relationships/comments" Target="../comments15.xml"/><Relationship Id="rId4" Type="http://schemas.openxmlformats.org/officeDocument/2006/relationships/vmlDrawing" Target="../drawings/vmlDrawing15.v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http://www.stma.co.kr/" TargetMode="External"/><Relationship Id="rId1" Type="http://schemas.openxmlformats.org/officeDocument/2006/relationships/hyperlink" Target="http://www.stma.co.kr/" TargetMode="External"/><Relationship Id="rId5" Type="http://schemas.openxmlformats.org/officeDocument/2006/relationships/comments" Target="../comments16.xml"/><Relationship Id="rId4" Type="http://schemas.openxmlformats.org/officeDocument/2006/relationships/vmlDrawing" Target="../drawings/vmlDrawing16.v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http://www.stma.co.kr/" TargetMode="External"/><Relationship Id="rId1" Type="http://schemas.openxmlformats.org/officeDocument/2006/relationships/hyperlink" Target="http://www.stma.co.kr/" TargetMode="External"/><Relationship Id="rId5" Type="http://schemas.openxmlformats.org/officeDocument/2006/relationships/comments" Target="../comments17.xml"/><Relationship Id="rId4" Type="http://schemas.openxmlformats.org/officeDocument/2006/relationships/vmlDrawing" Target="../drawings/vmlDrawing17.v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hyperlink" Target="http://www.stma.co.kr/" TargetMode="External"/><Relationship Id="rId1" Type="http://schemas.openxmlformats.org/officeDocument/2006/relationships/hyperlink" Target="http://www.stma.co.kr/" TargetMode="External"/><Relationship Id="rId5" Type="http://schemas.openxmlformats.org/officeDocument/2006/relationships/comments" Target="../comments18.xml"/><Relationship Id="rId4" Type="http://schemas.openxmlformats.org/officeDocument/2006/relationships/vmlDrawing" Target="../drawings/vmlDrawing18.v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hyperlink" Target="http://www.stma.co.kr/" TargetMode="External"/><Relationship Id="rId1" Type="http://schemas.openxmlformats.org/officeDocument/2006/relationships/hyperlink" Target="http://www.stma.co.kr/" TargetMode="External"/><Relationship Id="rId5" Type="http://schemas.openxmlformats.org/officeDocument/2006/relationships/comments" Target="../comments19.xml"/><Relationship Id="rId4" Type="http://schemas.openxmlformats.org/officeDocument/2006/relationships/vmlDrawing" Target="../drawings/vmlDrawing19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hyperlink" Target="http://www.stma.co.kr/" TargetMode="External"/><Relationship Id="rId1" Type="http://schemas.openxmlformats.org/officeDocument/2006/relationships/hyperlink" Target="http://www.stma.co.kr/" TargetMode="External"/><Relationship Id="rId5" Type="http://schemas.openxmlformats.org/officeDocument/2006/relationships/comments" Target="../comments20.xml"/><Relationship Id="rId4" Type="http://schemas.openxmlformats.org/officeDocument/2006/relationships/vmlDrawing" Target="../drawings/vmlDrawing20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stma.co.kr/" TargetMode="External"/><Relationship Id="rId1" Type="http://schemas.openxmlformats.org/officeDocument/2006/relationships/hyperlink" Target="http://www.stma.co.kr/" TargetMode="External"/><Relationship Id="rId6" Type="http://schemas.openxmlformats.org/officeDocument/2006/relationships/comments" Target="../comments3.xml"/><Relationship Id="rId5" Type="http://schemas.openxmlformats.org/officeDocument/2006/relationships/vmlDrawing" Target="../drawings/vmlDrawing3.vml"/><Relationship Id="rId4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stma.co.kr/" TargetMode="External"/><Relationship Id="rId1" Type="http://schemas.openxmlformats.org/officeDocument/2006/relationships/hyperlink" Target="http://www.stma.co.kr/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stma.co.kr/" TargetMode="External"/><Relationship Id="rId1" Type="http://schemas.openxmlformats.org/officeDocument/2006/relationships/hyperlink" Target="http://www.stma.co.kr/" TargetMode="External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www.stma.co.kr/" TargetMode="External"/><Relationship Id="rId1" Type="http://schemas.openxmlformats.org/officeDocument/2006/relationships/hyperlink" Target="http://www.stma.co.kr/" TargetMode="External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www.stma.co.kr/" TargetMode="External"/><Relationship Id="rId1" Type="http://schemas.openxmlformats.org/officeDocument/2006/relationships/hyperlink" Target="http://www.stma.co.kr/" TargetMode="External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://www.stma.co.kr/" TargetMode="External"/><Relationship Id="rId1" Type="http://schemas.openxmlformats.org/officeDocument/2006/relationships/hyperlink" Target="http://www.stma.co.kr/" TargetMode="External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://www.stma.co.kr/" TargetMode="External"/><Relationship Id="rId1" Type="http://schemas.openxmlformats.org/officeDocument/2006/relationships/hyperlink" Target="http://www.stma.co.kr/" TargetMode="External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00FF"/>
  </sheetPr>
  <dimension ref="B1:D22"/>
  <sheetViews>
    <sheetView workbookViewId="0"/>
  </sheetViews>
  <sheetFormatPr defaultRowHeight="16.5" x14ac:dyDescent="0.3"/>
  <cols>
    <col min="2" max="2" width="25.625" customWidth="1"/>
    <col min="4" max="4" width="23.625" customWidth="1"/>
  </cols>
  <sheetData>
    <row r="1" spans="2:4" ht="24.95" customHeight="1" x14ac:dyDescent="0.3">
      <c r="D1" s="133" t="str">
        <f ca="1">IF('〓 INITIAL 〓'!C4,"※※ 기본정보의 일부가 삭제되어 Stmate로 변환할 수 없습니다 ※※","")</f>
        <v/>
      </c>
    </row>
    <row r="2" spans="2:4" ht="16.5" customHeight="1" x14ac:dyDescent="0.3">
      <c r="B2" s="121" t="s">
        <v>2277</v>
      </c>
      <c r="D2" s="122" t="s">
        <v>2297</v>
      </c>
    </row>
    <row r="3" spans="2:4" ht="16.5" customHeight="1" x14ac:dyDescent="0.3">
      <c r="D3" s="122" t="s">
        <v>2298</v>
      </c>
    </row>
    <row r="4" spans="2:4" ht="16.5" customHeight="1" x14ac:dyDescent="0.3">
      <c r="B4" s="25" t="s">
        <v>2278</v>
      </c>
      <c r="D4" s="2" t="str">
        <f>HYPERLINK("#'※※안내※※'!A1","※※안내※※ →")</f>
        <v>※※안내※※ →</v>
      </c>
    </row>
    <row r="5" spans="2:4" ht="16.5" customHeight="1" x14ac:dyDescent="0.3">
      <c r="B5" s="25" t="s">
        <v>2279</v>
      </c>
      <c r="D5" s="2" t="str">
        <f ca="1">HYPERLINK("#"&amp;공사원가계산서!G2&amp;"!A1","공사원가계산서 →")</f>
        <v>공사원가계산서 →</v>
      </c>
    </row>
    <row r="6" spans="2:4" ht="16.5" customHeight="1" x14ac:dyDescent="0.3">
      <c r="B6" s="25" t="s">
        <v>2280</v>
      </c>
      <c r="D6" s="2" t="str">
        <f ca="1">HYPERLINK("#"&amp;총괄설계내역서!H2&amp;"!A1","총괄설계내역서 →")</f>
        <v>총괄설계내역서 →</v>
      </c>
    </row>
    <row r="7" spans="2:4" ht="16.5" customHeight="1" x14ac:dyDescent="0.3">
      <c r="B7" s="25" t="s">
        <v>2281</v>
      </c>
      <c r="D7" s="2" t="str">
        <f ca="1">HYPERLINK("#"&amp;설계내역서!O2&amp;"!A1","설계내역서 →")</f>
        <v>설계내역서 →</v>
      </c>
    </row>
    <row r="8" spans="2:4" ht="16.5" customHeight="1" x14ac:dyDescent="0.3">
      <c r="B8" s="25" t="s">
        <v>2282</v>
      </c>
      <c r="D8" s="2" t="str">
        <f ca="1">HYPERLINK("#"&amp;일위대가목록표!J2&amp;"!A1","일위대가목록표 →")</f>
        <v>일위대가목록표 →</v>
      </c>
    </row>
    <row r="9" spans="2:4" ht="16.5" customHeight="1" x14ac:dyDescent="0.3">
      <c r="B9" s="25" t="s">
        <v>2283</v>
      </c>
      <c r="D9" s="2" t="str">
        <f ca="1">HYPERLINK("#"&amp;일위대가표!N2&amp;"!A1","일위대가표 →")</f>
        <v>일위대가표 →</v>
      </c>
    </row>
    <row r="10" spans="2:4" ht="16.5" customHeight="1" x14ac:dyDescent="0.3">
      <c r="B10" s="25" t="s">
        <v>2284</v>
      </c>
      <c r="D10" s="2" t="str">
        <f ca="1">HYPERLINK("#"&amp;단가산출근거목록표!J2&amp;"!A1","단가산출근거목록표 →")</f>
        <v>단가산출근거목록표 →</v>
      </c>
    </row>
    <row r="11" spans="2:4" ht="16.5" customHeight="1" x14ac:dyDescent="0.3">
      <c r="B11" s="25" t="s">
        <v>2285</v>
      </c>
      <c r="D11" s="2" t="str">
        <f ca="1">HYPERLINK("#"&amp;단가산출근거!G2&amp;"!A1","단가산출근거 →")</f>
        <v>단가산출근거 →</v>
      </c>
    </row>
    <row r="12" spans="2:4" ht="16.5" customHeight="1" x14ac:dyDescent="0.3">
      <c r="B12" s="25" t="s">
        <v>2286</v>
      </c>
      <c r="D12" s="2" t="str">
        <f ca="1">HYPERLINK("#"&amp;환율및기초자료!I2&amp;"!A1","환율및기초자료 →")</f>
        <v>환율및기초자료 →</v>
      </c>
    </row>
    <row r="13" spans="2:4" ht="16.5" customHeight="1" x14ac:dyDescent="0.3">
      <c r="B13" s="25" t="s">
        <v>2287</v>
      </c>
      <c r="D13" s="2" t="str">
        <f ca="1">HYPERLINK("#"&amp;중기목록표!J2&amp;"!A1","중기목록표 →")</f>
        <v>중기목록표 →</v>
      </c>
    </row>
    <row r="14" spans="2:4" ht="16.5" customHeight="1" x14ac:dyDescent="0.3">
      <c r="B14" s="25" t="s">
        <v>2288</v>
      </c>
      <c r="D14" s="2" t="str">
        <f ca="1">HYPERLINK("#"&amp;중기사용료!N2&amp;"!A1","중기사용료 →")</f>
        <v>중기사용료 →</v>
      </c>
    </row>
    <row r="15" spans="2:4" ht="16.5" customHeight="1" x14ac:dyDescent="0.3">
      <c r="B15" s="25" t="s">
        <v>2289</v>
      </c>
      <c r="D15" s="2" t="str">
        <f ca="1">HYPERLINK("#"&amp;재료비목록표!G2&amp;"!A1","재료비목록표 →")</f>
        <v>재료비목록표 →</v>
      </c>
    </row>
    <row r="16" spans="2:4" ht="16.5" customHeight="1" x14ac:dyDescent="0.3">
      <c r="B16" s="25" t="s">
        <v>2290</v>
      </c>
      <c r="D16" s="2" t="str">
        <f ca="1">HYPERLINK("#"&amp;노무비목록표!G2&amp;"!A1","노무비목록표 →")</f>
        <v>노무비목록표 →</v>
      </c>
    </row>
    <row r="17" spans="2:4" ht="16.5" customHeight="1" x14ac:dyDescent="0.3">
      <c r="B17" s="25" t="s">
        <v>2291</v>
      </c>
      <c r="D17" s="2" t="str">
        <f ca="1">HYPERLINK("#"&amp;경비목록표!G2&amp;"!A1","경비목록표 →")</f>
        <v>경비목록표 →</v>
      </c>
    </row>
    <row r="18" spans="2:4" ht="16.5" customHeight="1" x14ac:dyDescent="0.3">
      <c r="B18" s="25" t="s">
        <v>2292</v>
      </c>
      <c r="D18" s="2" t="str">
        <f ca="1">HYPERLINK("#"&amp;자재단가대비표!R2&amp;"!A1","자재단가대비표 →")</f>
        <v>자재단가대비표 →</v>
      </c>
    </row>
    <row r="19" spans="2:4" ht="16.5" customHeight="1" x14ac:dyDescent="0.3">
      <c r="B19" s="25" t="s">
        <v>2293</v>
      </c>
      <c r="D19" s="2" t="str">
        <f ca="1">HYPERLINK("#"&amp;재료비수량금액집계표!I2&amp;"!A1","재료비수량금액집계표 →")</f>
        <v>재료비수량금액집계표 →</v>
      </c>
    </row>
    <row r="20" spans="2:4" ht="16.5" customHeight="1" x14ac:dyDescent="0.3">
      <c r="B20" s="25" t="s">
        <v>2294</v>
      </c>
      <c r="D20" s="2" t="str">
        <f ca="1">HYPERLINK("#"&amp;노무비수량금액집계표!I2&amp;"!A1","노무비수량금액집계표 →")</f>
        <v>노무비수량금액집계표 →</v>
      </c>
    </row>
    <row r="21" spans="2:4" ht="16.5" customHeight="1" x14ac:dyDescent="0.3">
      <c r="B21" s="25" t="s">
        <v>2295</v>
      </c>
      <c r="D21" s="2" t="str">
        <f ca="1">HYPERLINK("#"&amp;경비수량금액집계표!I2&amp;"!A1","경비수량금액집계표 →")</f>
        <v>경비수량금액집계표 →</v>
      </c>
    </row>
    <row r="22" spans="2:4" ht="16.5" customHeight="1" x14ac:dyDescent="0.3">
      <c r="B22" s="25" t="s">
        <v>2296</v>
      </c>
      <c r="D22" s="2" t="str">
        <f ca="1">HYPERLINK("#"&amp;중기시간금액집계표!K2&amp;"!A1","중기시간금액집계표 →")</f>
        <v>중기시간금액집계표 →</v>
      </c>
    </row>
  </sheetData>
  <phoneticPr fontId="26" type="noConversion"/>
  <printOptions horizontalCentered="1"/>
  <pageMargins left="0.78740157480314965" right="0.78740157480314965" top="0.59055118110236215" bottom="0.55118110236220474" header="0" footer="0.35433070866141736"/>
  <pageSetup paperSize="9" fitToWidth="0" fitToHeight="0" orientation="landscape" r:id="rId1"/>
  <headerFooter alignWithMargins="0">
    <oddFooter xml:space="preserve">&amp;R&amp;"굴림체,"&amp;9 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8"/>
  <sheetViews>
    <sheetView workbookViewId="0">
      <selection sqref="A1:H1"/>
    </sheetView>
  </sheetViews>
  <sheetFormatPr defaultColWidth="9.125" defaultRowHeight="16.5" x14ac:dyDescent="0.3"/>
  <cols>
    <col min="1" max="1" width="4" style="5" customWidth="1"/>
    <col min="2" max="2" width="5.5" style="5" customWidth="1"/>
    <col min="3" max="4" width="16" style="5" customWidth="1"/>
    <col min="5" max="5" width="5.5" style="5" customWidth="1"/>
    <col min="6" max="6" width="16" style="5" customWidth="1"/>
    <col min="7" max="7" width="11.5" style="5" customWidth="1"/>
    <col min="8" max="8" width="10" style="5" customWidth="1"/>
    <col min="9" max="9" width="9.125" style="5" hidden="1" customWidth="1"/>
    <col min="10" max="10" width="9.125" style="17" customWidth="1"/>
    <col min="11" max="16384" width="9.125" style="5"/>
  </cols>
  <sheetData>
    <row r="1" spans="1:10" ht="25.35" customHeight="1" x14ac:dyDescent="0.3">
      <c r="A1" s="165" t="s">
        <v>752</v>
      </c>
      <c r="B1" s="135"/>
      <c r="C1" s="152"/>
      <c r="D1" s="152"/>
      <c r="E1" s="152"/>
      <c r="F1" s="152"/>
      <c r="G1" s="152"/>
      <c r="H1" s="152"/>
      <c r="I1" s="4" t="s">
        <v>166</v>
      </c>
      <c r="J1" s="34" t="s">
        <v>166</v>
      </c>
    </row>
    <row r="2" spans="1:10" ht="25.35" customHeight="1" x14ac:dyDescent="0.3">
      <c r="C2" s="26" t="s">
        <v>753</v>
      </c>
      <c r="D2" s="26" t="s">
        <v>754</v>
      </c>
      <c r="E2" s="163" t="s">
        <v>755</v>
      </c>
      <c r="F2" s="164"/>
      <c r="G2" s="163" t="s">
        <v>756</v>
      </c>
      <c r="H2" s="164"/>
      <c r="I2" s="21" t="str">
        <f ca="1">MID(CELL("filename",$A$1),FIND("]",CELL("filename",$A$1))+1,LEN(CELL("filename",$A$1)))</f>
        <v>환율및기초자료</v>
      </c>
    </row>
    <row r="3" spans="1:10" ht="25.35" customHeight="1" x14ac:dyDescent="0.3">
      <c r="C3" s="28">
        <v>1289</v>
      </c>
      <c r="D3" s="28">
        <v>1289</v>
      </c>
      <c r="E3" s="166">
        <v>1000</v>
      </c>
      <c r="F3" s="164"/>
      <c r="G3" s="167">
        <v>1000</v>
      </c>
      <c r="H3" s="164"/>
    </row>
    <row r="4" spans="1:10" ht="25.35" customHeight="1" x14ac:dyDescent="0.3">
      <c r="C4" s="27"/>
      <c r="D4" s="27"/>
      <c r="E4" s="27"/>
      <c r="F4" s="27"/>
      <c r="G4" s="27"/>
      <c r="H4" s="27"/>
    </row>
    <row r="5" spans="1:10" ht="25.35" customHeight="1" x14ac:dyDescent="0.3">
      <c r="A5" s="165" t="s">
        <v>757</v>
      </c>
      <c r="B5" s="135"/>
      <c r="C5" s="135"/>
      <c r="D5" s="135"/>
      <c r="E5" s="135"/>
      <c r="F5" s="135"/>
      <c r="G5" s="135"/>
      <c r="H5" s="135"/>
    </row>
    <row r="6" spans="1:10" ht="25.35" customHeight="1" x14ac:dyDescent="0.3">
      <c r="C6" s="29" t="s">
        <v>665</v>
      </c>
      <c r="D6" s="31">
        <f>노무비목록표!E10</f>
        <v>267360</v>
      </c>
      <c r="E6" s="162" t="s">
        <v>758</v>
      </c>
      <c r="F6" s="152"/>
      <c r="G6" s="31">
        <f>ROUNDDOWN(D6*0.20833333334,0)</f>
        <v>55700</v>
      </c>
      <c r="H6" s="33" t="s">
        <v>666</v>
      </c>
      <c r="J6" s="19" t="str">
        <f ca="1">HYPERLINK("#"&amp;노무비목록표!G2&amp;"!A"&amp;ROW(노무비목록표!A10),"노무    7 →")</f>
        <v>노무    7 →</v>
      </c>
    </row>
    <row r="7" spans="1:10" ht="25.35" customHeight="1" x14ac:dyDescent="0.3">
      <c r="C7" s="30" t="s">
        <v>668</v>
      </c>
      <c r="D7" s="32">
        <f>노무비목록표!E11</f>
        <v>226709</v>
      </c>
      <c r="E7" s="163" t="s">
        <v>758</v>
      </c>
      <c r="F7" s="164"/>
      <c r="G7" s="32">
        <f>ROUNDDOWN(D7*0.20833333334,0)</f>
        <v>47231</v>
      </c>
      <c r="H7" s="26" t="s">
        <v>669</v>
      </c>
      <c r="J7" s="19" t="str">
        <f ca="1">HYPERLINK("#"&amp;노무비목록표!G2&amp;"!A"&amp;ROW(노무비목록표!A11),"노무    8 →")</f>
        <v>노무    8 →</v>
      </c>
    </row>
    <row r="8" spans="1:10" ht="25.35" customHeight="1" x14ac:dyDescent="0.3">
      <c r="C8" s="30" t="s">
        <v>671</v>
      </c>
      <c r="D8" s="32">
        <f>노무비목록표!E12</f>
        <v>161142</v>
      </c>
      <c r="E8" s="163" t="s">
        <v>758</v>
      </c>
      <c r="F8" s="164"/>
      <c r="G8" s="32">
        <f>ROUNDDOWN(D8*0.20833333334,0)</f>
        <v>33571</v>
      </c>
      <c r="H8" s="26" t="s">
        <v>672</v>
      </c>
      <c r="J8" s="19" t="str">
        <f ca="1">HYPERLINK("#"&amp;노무비목록표!G2&amp;"!A"&amp;ROW(노무비목록표!A12),"노무    9 →")</f>
        <v>노무    9 →</v>
      </c>
    </row>
    <row r="9" spans="1:10" ht="25.35" customHeight="1" x14ac:dyDescent="0.3">
      <c r="C9" s="27"/>
      <c r="D9" s="27"/>
      <c r="E9" s="27"/>
      <c r="F9" s="27"/>
      <c r="G9" s="27"/>
      <c r="H9" s="27"/>
    </row>
    <row r="10" spans="1:10" ht="25.35" customHeight="1" x14ac:dyDescent="0.3">
      <c r="A10" s="165" t="s">
        <v>759</v>
      </c>
      <c r="B10" s="152"/>
      <c r="C10" s="152"/>
      <c r="D10" s="152"/>
      <c r="E10" s="152"/>
      <c r="F10" s="152"/>
      <c r="G10" s="152"/>
      <c r="H10" s="152"/>
    </row>
    <row r="11" spans="1:10" ht="25.35" customHeight="1" x14ac:dyDescent="0.3">
      <c r="B11" s="26" t="s">
        <v>760</v>
      </c>
      <c r="C11" s="26" t="s">
        <v>761</v>
      </c>
      <c r="D11" s="26" t="s">
        <v>762</v>
      </c>
      <c r="E11" s="26" t="s">
        <v>5</v>
      </c>
      <c r="F11" s="26" t="s">
        <v>763</v>
      </c>
      <c r="G11" s="26"/>
      <c r="H11" s="26" t="s">
        <v>10</v>
      </c>
    </row>
    <row r="12" spans="1:10" ht="25.35" customHeight="1" x14ac:dyDescent="0.3">
      <c r="B12" s="26" t="s">
        <v>764</v>
      </c>
      <c r="C12" s="30" t="s">
        <v>665</v>
      </c>
      <c r="D12" s="26"/>
      <c r="E12" s="26" t="s">
        <v>647</v>
      </c>
      <c r="F12" s="32">
        <f>노무비목록표!E10</f>
        <v>267360</v>
      </c>
      <c r="G12" s="30"/>
      <c r="H12" s="26" t="s">
        <v>666</v>
      </c>
      <c r="J12" s="19" t="str">
        <f ca="1">HYPERLINK("#"&amp;노무비목록표!G2&amp;"!A"&amp;ROW(노무비목록표!A10),"노무    7 →")</f>
        <v>노무    7 →</v>
      </c>
    </row>
    <row r="13" spans="1:10" ht="25.35" customHeight="1" x14ac:dyDescent="0.3">
      <c r="B13" s="26" t="s">
        <v>765</v>
      </c>
      <c r="C13" s="30" t="s">
        <v>668</v>
      </c>
      <c r="D13" s="26"/>
      <c r="E13" s="26" t="s">
        <v>647</v>
      </c>
      <c r="F13" s="32">
        <f>노무비목록표!E11</f>
        <v>226709</v>
      </c>
      <c r="G13" s="30"/>
      <c r="H13" s="26" t="s">
        <v>669</v>
      </c>
      <c r="J13" s="19" t="str">
        <f ca="1">HYPERLINK("#"&amp;노무비목록표!G2&amp;"!A"&amp;ROW(노무비목록표!A11),"노무    8 →")</f>
        <v>노무    8 →</v>
      </c>
    </row>
    <row r="14" spans="1:10" ht="25.35" customHeight="1" x14ac:dyDescent="0.3">
      <c r="B14" s="26" t="s">
        <v>766</v>
      </c>
      <c r="C14" s="30" t="s">
        <v>671</v>
      </c>
      <c r="D14" s="26"/>
      <c r="E14" s="26" t="s">
        <v>647</v>
      </c>
      <c r="F14" s="32">
        <f>노무비목록표!E12</f>
        <v>161142</v>
      </c>
      <c r="G14" s="30"/>
      <c r="H14" s="26" t="s">
        <v>672</v>
      </c>
      <c r="J14" s="19" t="str">
        <f ca="1">HYPERLINK("#"&amp;노무비목록표!G2&amp;"!A"&amp;ROW(노무비목록표!A12),"노무    9 →")</f>
        <v>노무    9 →</v>
      </c>
    </row>
    <row r="15" spans="1:10" ht="25.35" customHeight="1" x14ac:dyDescent="0.3">
      <c r="B15" s="26" t="s">
        <v>767</v>
      </c>
      <c r="C15" s="30" t="s">
        <v>430</v>
      </c>
      <c r="D15" s="26" t="s">
        <v>281</v>
      </c>
      <c r="E15" s="26" t="s">
        <v>431</v>
      </c>
      <c r="F15" s="32">
        <f>재료비목록표!E4</f>
        <v>1369</v>
      </c>
      <c r="G15" s="30"/>
      <c r="H15" s="26" t="s">
        <v>432</v>
      </c>
      <c r="J15" s="19" t="str">
        <f ca="1">HYPERLINK("#"&amp;재료비목록표!G2&amp;"!A"&amp;ROW(재료비목록표!A4),"자재    1 →")</f>
        <v>자재    1 →</v>
      </c>
    </row>
    <row r="16" spans="1:10" ht="25.35" customHeight="1" x14ac:dyDescent="0.3">
      <c r="B16" s="26" t="s">
        <v>768</v>
      </c>
      <c r="C16" s="30" t="s">
        <v>435</v>
      </c>
      <c r="D16" s="26" t="s">
        <v>436</v>
      </c>
      <c r="E16" s="26" t="s">
        <v>431</v>
      </c>
      <c r="F16" s="32">
        <f>재료비목록표!E5</f>
        <v>1272</v>
      </c>
      <c r="G16" s="30"/>
      <c r="H16" s="26" t="s">
        <v>437</v>
      </c>
      <c r="J16" s="19" t="str">
        <f ca="1">HYPERLINK("#"&amp;재료비목록표!G2&amp;"!A"&amp;ROW(재료비목록표!A5),"자재    2 →")</f>
        <v>자재    2 →</v>
      </c>
    </row>
    <row r="17" spans="2:10" ht="25.35" customHeight="1" x14ac:dyDescent="0.3">
      <c r="B17" s="26" t="s">
        <v>769</v>
      </c>
      <c r="C17" s="30" t="s">
        <v>435</v>
      </c>
      <c r="D17" s="26" t="s">
        <v>613</v>
      </c>
      <c r="E17" s="26" t="s">
        <v>431</v>
      </c>
      <c r="F17" s="32">
        <f>재료비목록표!E42</f>
        <v>1273</v>
      </c>
      <c r="G17" s="30"/>
      <c r="H17" s="26" t="s">
        <v>614</v>
      </c>
      <c r="J17" s="19" t="str">
        <f ca="1">HYPERLINK("#"&amp;재료비목록표!G2&amp;"!A"&amp;ROW(재료비목록표!A42),"자재   39 →")</f>
        <v>자재   39 →</v>
      </c>
    </row>
    <row r="18" spans="2:10" ht="25.35" customHeight="1" x14ac:dyDescent="0.3">
      <c r="B18" s="27"/>
      <c r="C18" s="27"/>
      <c r="D18" s="27"/>
      <c r="E18" s="27"/>
      <c r="F18" s="27"/>
      <c r="G18" s="27"/>
      <c r="H18" s="27"/>
    </row>
  </sheetData>
  <mergeCells count="10">
    <mergeCell ref="E6:F6"/>
    <mergeCell ref="E7:F7"/>
    <mergeCell ref="E8:F8"/>
    <mergeCell ref="A10:H10"/>
    <mergeCell ref="A1:H1"/>
    <mergeCell ref="E2:F2"/>
    <mergeCell ref="G2:H2"/>
    <mergeCell ref="E3:F3"/>
    <mergeCell ref="G3:H3"/>
    <mergeCell ref="A5:H5"/>
  </mergeCells>
  <phoneticPr fontId="26" type="noConversion"/>
  <hyperlinks>
    <hyperlink ref="J1" r:id="rId1" tooltip="설계예산시스템(STmate w24.04)으로 작성 하였으며,_x000a_엑셀 인쇄품질 600 dpi에 최적화 되어 있습니다._x000a_경영정보(주) http://www.stma.co.kr_x000a_Tel) 070-4350-0040_x000a_Fax) 0505-300-3948"/>
    <hyperlink ref="I1" r:id="rId2" tooltip="설계예산시스템(STmate w24.04)으로 작성 하였으며,_x000a_엑셀 인쇄품질 600 dpi에 최적화 되어 있습니다._x000a_경영정보(주) http://www.stma.co.kr_x000a_Tel) 070-4350-0040_x000a_Fax) 0505-300-3948"/>
  </hyperlinks>
  <printOptions horizontalCentered="1"/>
  <pageMargins left="0.78740157480314965" right="0.78740157480314965" top="0.59055118110236215" bottom="0.55118110236220474" header="0" footer="0.35433070866141736"/>
  <pageSetup paperSize="9" fitToWidth="0" fitToHeight="0" orientation="landscape" r:id="rId3"/>
  <headerFooter alignWithMargins="0">
    <oddFooter xml:space="preserve">&amp;R&amp;"굴림체,"&amp;9 </oddFooter>
  </headerFooter>
  <legacy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8"/>
  <sheetViews>
    <sheetView workbookViewId="0">
      <pane ySplit="3" topLeftCell="A4" activePane="bottomLeft" state="frozenSplit"/>
      <selection pane="bottomLeft" activeCell="A4" sqref="A4"/>
    </sheetView>
  </sheetViews>
  <sheetFormatPr defaultColWidth="9.125" defaultRowHeight="16.5" x14ac:dyDescent="0.3"/>
  <cols>
    <col min="1" max="1" width="10" style="5" customWidth="1"/>
    <col min="2" max="3" width="24.25" style="5" customWidth="1"/>
    <col min="4" max="4" width="5.5" style="5" customWidth="1"/>
    <col min="5" max="8" width="11.5" style="5" customWidth="1"/>
    <col min="9" max="9" width="10" style="5" customWidth="1"/>
    <col min="10" max="10" width="9.125" style="15" hidden="1" customWidth="1"/>
    <col min="11" max="11" width="9.125" style="17" customWidth="1"/>
    <col min="12" max="16384" width="9.125" style="5"/>
  </cols>
  <sheetData>
    <row r="1" spans="1:11" ht="24.95" customHeight="1" x14ac:dyDescent="0.3">
      <c r="A1" s="145" t="s">
        <v>341</v>
      </c>
      <c r="B1" s="135"/>
      <c r="C1" s="135"/>
      <c r="D1" s="135"/>
      <c r="E1" s="135"/>
      <c r="F1" s="135"/>
      <c r="G1" s="135"/>
      <c r="H1" s="135"/>
      <c r="I1" s="135"/>
      <c r="J1" s="4" t="s">
        <v>166</v>
      </c>
      <c r="K1" s="18" t="s">
        <v>166</v>
      </c>
    </row>
    <row r="2" spans="1:11" ht="22.35" customHeight="1" x14ac:dyDescent="0.3">
      <c r="A2" s="1" t="s">
        <v>1</v>
      </c>
      <c r="J2" s="21" t="str">
        <f ca="1">MID(CELL("filename",$A$1),FIND("]",CELL("filename",$A$1))+1,LEN(CELL("filename",$A$1)))</f>
        <v>중기목록표</v>
      </c>
    </row>
    <row r="3" spans="1:11" ht="22.35" customHeight="1" x14ac:dyDescent="0.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13" t="s">
        <v>10</v>
      </c>
      <c r="K3" s="19" t="str">
        <f>HYPERLINK("#'〓 목 차 〓'!B2","목차 →")</f>
        <v>목차 →</v>
      </c>
    </row>
    <row r="4" spans="1:11" ht="22.35" customHeight="1" x14ac:dyDescent="0.3">
      <c r="A4" s="8" t="s">
        <v>11</v>
      </c>
      <c r="B4" s="9" t="s">
        <v>342</v>
      </c>
      <c r="C4" s="9" t="s">
        <v>343</v>
      </c>
      <c r="D4" s="8" t="s">
        <v>344</v>
      </c>
      <c r="E4" s="55">
        <f>중기사용료!F11</f>
        <v>126000</v>
      </c>
      <c r="F4" s="54">
        <f>중기사용료!H11</f>
        <v>55700</v>
      </c>
      <c r="G4" s="63">
        <f>중기사용료!J11</f>
        <v>36888</v>
      </c>
      <c r="H4" s="55">
        <f>중기사용료!L11</f>
        <v>33412</v>
      </c>
      <c r="I4" s="14" t="s">
        <v>11</v>
      </c>
      <c r="J4" s="36" t="str">
        <f>"_x0007_`COD|X00001_x0005_`QTY1|1_x0005_`BQC|_x0005_`EQC|_x0005_`JDC|_x0005_`WQC|_x0005_`EDT|_x0005_`ADJ|F_x0005_`RXX|0_x0005_`DET|"&amp;ROW(중기사용료!A5)&amp;"_x0005_`"</f>
        <v>_x0007_`COD|X00001_x0005_`QTY1|1_x0005_`BQC|_x0005_`EQC|_x0005_`JDC|_x0005_`WQC|_x0005_`EDT|_x0005_`ADJ|F_x0005_`RXX|0_x0005_`DET|5_x0005_`</v>
      </c>
      <c r="K4" s="19" t="str">
        <f ca="1">HYPERLINK("#"&amp;중기사용료!N2&amp;"!A"&amp;ROW(중기사용료!A5),"중기    1 →")</f>
        <v>중기    1 →</v>
      </c>
    </row>
    <row r="5" spans="1:11" ht="22.35" customHeight="1" x14ac:dyDescent="0.3">
      <c r="A5" s="8" t="s">
        <v>17</v>
      </c>
      <c r="B5" s="9" t="s">
        <v>347</v>
      </c>
      <c r="C5" s="9"/>
      <c r="D5" s="8" t="s">
        <v>344</v>
      </c>
      <c r="E5" s="55">
        <f>중기사용료!F18</f>
        <v>76436</v>
      </c>
      <c r="F5" s="54">
        <f>중기사용료!H18</f>
        <v>55700</v>
      </c>
      <c r="G5" s="63">
        <f>중기사용료!J18</f>
        <v>7695</v>
      </c>
      <c r="H5" s="55">
        <f>중기사용료!L18</f>
        <v>13041</v>
      </c>
      <c r="I5" s="14" t="s">
        <v>17</v>
      </c>
      <c r="J5" s="36" t="str">
        <f>"_x0007_`COD|X00003_x0005_`QTY1|1_x0005_`BQC|_x0005_`EQC|_x0005_`JDC|_x0005_`WQC|_x0005_`EDT|_x0005_`ADJ|F_x0005_`RXX|0_x0005_`DET|"&amp;ROW(중기사용료!A12)&amp;"_x0005_`"</f>
        <v>_x0007_`COD|X00003_x0005_`QTY1|1_x0005_`BQC|_x0005_`EQC|_x0005_`JDC|_x0005_`WQC|_x0005_`EDT|_x0005_`ADJ|F_x0005_`RXX|0_x0005_`DET|12_x0005_`</v>
      </c>
      <c r="K5" s="19" t="str">
        <f ca="1">HYPERLINK("#"&amp;중기사용료!N2&amp;"!A"&amp;ROW(중기사용료!A12),"중기    2 →")</f>
        <v>중기    2 →</v>
      </c>
    </row>
    <row r="6" spans="1:11" ht="22.35" customHeight="1" x14ac:dyDescent="0.3">
      <c r="A6" s="8" t="s">
        <v>23</v>
      </c>
      <c r="B6" s="9" t="s">
        <v>350</v>
      </c>
      <c r="C6" s="9"/>
      <c r="D6" s="8" t="s">
        <v>344</v>
      </c>
      <c r="E6" s="55">
        <f>중기사용료!F25</f>
        <v>87441</v>
      </c>
      <c r="F6" s="54">
        <f>중기사용료!H25</f>
        <v>55700</v>
      </c>
      <c r="G6" s="63">
        <f>중기사용료!J25</f>
        <v>15363</v>
      </c>
      <c r="H6" s="55">
        <f>중기사용료!L25</f>
        <v>16378</v>
      </c>
      <c r="I6" s="14" t="s">
        <v>23</v>
      </c>
      <c r="J6" s="36" t="str">
        <f>"_x0007_`COD|X00004_x0005_`QTY1|1_x0005_`BQC|_x0005_`EQC|_x0005_`JDC|_x0005_`WQC|_x0005_`EDT|_x0005_`ADJ|F_x0005_`RXX|0_x0005_`DET|"&amp;ROW(중기사용료!A19)&amp;"_x0005_`"</f>
        <v>_x0007_`COD|X00004_x0005_`QTY1|1_x0005_`BQC|_x0005_`EQC|_x0005_`JDC|_x0005_`WQC|_x0005_`EDT|_x0005_`ADJ|F_x0005_`RXX|0_x0005_`DET|19_x0005_`</v>
      </c>
      <c r="K6" s="19" t="str">
        <f ca="1">HYPERLINK("#"&amp;중기사용료!N2&amp;"!A"&amp;ROW(중기사용료!A19),"중기    3 →")</f>
        <v>중기    3 →</v>
      </c>
    </row>
    <row r="7" spans="1:11" ht="22.35" customHeight="1" x14ac:dyDescent="0.3">
      <c r="A7" s="8" t="s">
        <v>27</v>
      </c>
      <c r="B7" s="9" t="s">
        <v>353</v>
      </c>
      <c r="C7" s="9"/>
      <c r="D7" s="8" t="s">
        <v>344</v>
      </c>
      <c r="E7" s="55">
        <f>중기사용료!F32</f>
        <v>96829</v>
      </c>
      <c r="F7" s="54">
        <f>중기사용료!H32</f>
        <v>55700</v>
      </c>
      <c r="G7" s="63">
        <f>중기사용료!J32</f>
        <v>18001</v>
      </c>
      <c r="H7" s="55">
        <f>중기사용료!L32</f>
        <v>23128</v>
      </c>
      <c r="I7" s="14" t="s">
        <v>27</v>
      </c>
      <c r="J7" s="36" t="str">
        <f>"_x0007_`COD|X00005_x0005_`QTY1|1_x0005_`BQC|_x0005_`EQC|_x0005_`JDC|_x0005_`WQC|_x0005_`EDT|_x0005_`ADJ|F_x0005_`RXX|0_x0005_`DET|"&amp;ROW(중기사용료!A26)&amp;"_x0005_`"</f>
        <v>_x0007_`COD|X00005_x0005_`QTY1|1_x0005_`BQC|_x0005_`EQC|_x0005_`JDC|_x0005_`WQC|_x0005_`EDT|_x0005_`ADJ|F_x0005_`RXX|0_x0005_`DET|26_x0005_`</v>
      </c>
      <c r="K7" s="19" t="str">
        <f ca="1">HYPERLINK("#"&amp;중기사용료!N2&amp;"!A"&amp;ROW(중기사용료!A26),"중기    4 →")</f>
        <v>중기    4 →</v>
      </c>
    </row>
    <row r="8" spans="1:11" ht="22.35" customHeight="1" x14ac:dyDescent="0.3">
      <c r="A8" s="8" t="s">
        <v>33</v>
      </c>
      <c r="B8" s="9" t="s">
        <v>356</v>
      </c>
      <c r="C8" s="9"/>
      <c r="D8" s="8" t="s">
        <v>344</v>
      </c>
      <c r="E8" s="55">
        <f>중기사용료!F39</f>
        <v>113861</v>
      </c>
      <c r="F8" s="54">
        <f>중기사용료!H39</f>
        <v>55700</v>
      </c>
      <c r="G8" s="63">
        <f>중기사용료!J39</f>
        <v>30260</v>
      </c>
      <c r="H8" s="55">
        <f>중기사용료!L39</f>
        <v>27901</v>
      </c>
      <c r="I8" s="14" t="s">
        <v>33</v>
      </c>
      <c r="J8" s="36" t="str">
        <f>"_x0007_`COD|X00006_x0005_`QTY1|1_x0005_`BQC|_x0005_`EQC|_x0005_`JDC|_x0005_`WQC|_x0005_`EDT|_x0005_`ADJ|F_x0005_`RXX|0_x0005_`DET|"&amp;ROW(중기사용료!A33)&amp;"_x0005_`"</f>
        <v>_x0007_`COD|X00006_x0005_`QTY1|1_x0005_`BQC|_x0005_`EQC|_x0005_`JDC|_x0005_`WQC|_x0005_`EDT|_x0005_`ADJ|F_x0005_`RXX|0_x0005_`DET|33_x0005_`</v>
      </c>
      <c r="K8" s="19" t="str">
        <f ca="1">HYPERLINK("#"&amp;중기사용료!N2&amp;"!A"&amp;ROW(중기사용료!A33),"중기    5 →")</f>
        <v>중기    5 →</v>
      </c>
    </row>
    <row r="9" spans="1:11" ht="22.35" customHeight="1" x14ac:dyDescent="0.3">
      <c r="A9" s="8" t="s">
        <v>39</v>
      </c>
      <c r="B9" s="9" t="s">
        <v>353</v>
      </c>
      <c r="C9" s="9" t="s">
        <v>359</v>
      </c>
      <c r="D9" s="8" t="s">
        <v>344</v>
      </c>
      <c r="E9" s="55">
        <f>중기사용료!F46</f>
        <v>100378</v>
      </c>
      <c r="F9" s="54">
        <f>중기사용료!H46</f>
        <v>55700</v>
      </c>
      <c r="G9" s="63">
        <f>중기사용료!J46</f>
        <v>18001</v>
      </c>
      <c r="H9" s="55">
        <f>중기사용료!L46</f>
        <v>26677</v>
      </c>
      <c r="I9" s="14" t="s">
        <v>39</v>
      </c>
      <c r="J9" s="36" t="str">
        <f>"_x0007_`COD|X00009_x0005_`QTY1|1_x0005_`BQC|_x0005_`EQC|_x0005_`JDC|_x0005_`WQC|_x0005_`EDT|_x0005_`ADJ|F_x0005_`RXX|0_x0005_`DET|"&amp;ROW(중기사용료!A40)&amp;"_x0005_`"</f>
        <v>_x0007_`COD|X00009_x0005_`QTY1|1_x0005_`BQC|_x0005_`EQC|_x0005_`JDC|_x0005_`WQC|_x0005_`EDT|_x0005_`ADJ|F_x0005_`RXX|0_x0005_`DET|40_x0005_`</v>
      </c>
      <c r="K9" s="19" t="str">
        <f ca="1">HYPERLINK("#"&amp;중기사용료!N2&amp;"!A"&amp;ROW(중기사용료!A40),"중기    6 →")</f>
        <v>중기    6 →</v>
      </c>
    </row>
    <row r="10" spans="1:11" ht="22.35" customHeight="1" x14ac:dyDescent="0.3">
      <c r="A10" s="8" t="s">
        <v>45</v>
      </c>
      <c r="B10" s="9" t="s">
        <v>362</v>
      </c>
      <c r="C10" s="9"/>
      <c r="D10" s="8" t="s">
        <v>344</v>
      </c>
      <c r="E10" s="55">
        <f>중기사용료!F54</f>
        <v>106713</v>
      </c>
      <c r="F10" s="54">
        <f>중기사용료!H54</f>
        <v>55700</v>
      </c>
      <c r="G10" s="63">
        <f>중기사용료!J54</f>
        <v>17116</v>
      </c>
      <c r="H10" s="55">
        <f>중기사용료!L54</f>
        <v>33897</v>
      </c>
      <c r="I10" s="14" t="s">
        <v>45</v>
      </c>
      <c r="J10" s="36" t="str">
        <f>"_x0007_`COD|X00014_x0005_`QTY1|1_x0005_`BQC|_x0005_`EQC|_x0005_`JDC|_x0005_`WQC|_x0005_`EDT|_x0005_`ADJ|F_x0005_`RXX|0_x0005_`DET|"&amp;ROW(중기사용료!A47)&amp;"_x0005_`"</f>
        <v>_x0007_`COD|X00014_x0005_`QTY1|1_x0005_`BQC|_x0005_`EQC|_x0005_`JDC|_x0005_`WQC|_x0005_`EDT|_x0005_`ADJ|F_x0005_`RXX|0_x0005_`DET|47_x0005_`</v>
      </c>
      <c r="K10" s="19" t="str">
        <f ca="1">HYPERLINK("#"&amp;중기사용료!N2&amp;"!A"&amp;ROW(중기사용료!A47),"중기    7 →")</f>
        <v>중기    7 →</v>
      </c>
    </row>
    <row r="11" spans="1:11" ht="22.35" customHeight="1" x14ac:dyDescent="0.3">
      <c r="A11" s="8" t="s">
        <v>50</v>
      </c>
      <c r="B11" s="9" t="s">
        <v>365</v>
      </c>
      <c r="C11" s="9"/>
      <c r="D11" s="8" t="s">
        <v>344</v>
      </c>
      <c r="E11" s="55">
        <f>중기사용료!F61</f>
        <v>103241</v>
      </c>
      <c r="F11" s="54">
        <f>중기사용료!H61</f>
        <v>55700</v>
      </c>
      <c r="G11" s="63">
        <f>중기사용료!J61</f>
        <v>27910</v>
      </c>
      <c r="H11" s="55">
        <f>중기사용료!L61</f>
        <v>19631</v>
      </c>
      <c r="I11" s="14" t="s">
        <v>50</v>
      </c>
      <c r="J11" s="36" t="str">
        <f>"_x0007_`COD|X00028_x0005_`QTY1|1_x0005_`BQC|_x0005_`EQC|_x0005_`JDC|_x0005_`WQC|_x0005_`EDT|_x0005_`ADJ|F_x0005_`RXX|0_x0005_`DET|"&amp;ROW(중기사용료!A55)&amp;"_x0005_`"</f>
        <v>_x0007_`COD|X00028_x0005_`QTY1|1_x0005_`BQC|_x0005_`EQC|_x0005_`JDC|_x0005_`WQC|_x0005_`EDT|_x0005_`ADJ|F_x0005_`RXX|0_x0005_`DET|55_x0005_`</v>
      </c>
      <c r="K11" s="19" t="str">
        <f ca="1">HYPERLINK("#"&amp;중기사용료!N2&amp;"!A"&amp;ROW(중기사용료!A55),"중기    8 →")</f>
        <v>중기    8 →</v>
      </c>
    </row>
    <row r="12" spans="1:11" ht="22.35" customHeight="1" x14ac:dyDescent="0.3">
      <c r="A12" s="8" t="s">
        <v>54</v>
      </c>
      <c r="B12" s="9" t="s">
        <v>368</v>
      </c>
      <c r="C12" s="9" t="s">
        <v>369</v>
      </c>
      <c r="D12" s="8" t="s">
        <v>344</v>
      </c>
      <c r="E12" s="55">
        <f>중기사용료!F68</f>
        <v>85203</v>
      </c>
      <c r="F12" s="54">
        <f>중기사용료!H68</f>
        <v>47231</v>
      </c>
      <c r="G12" s="63">
        <f>중기사용료!J68</f>
        <v>24750</v>
      </c>
      <c r="H12" s="55">
        <f>중기사용료!L68</f>
        <v>13222</v>
      </c>
      <c r="I12" s="14" t="s">
        <v>54</v>
      </c>
      <c r="J12" s="36" t="str">
        <f>"_x0007_`COD|X00030_x0005_`QTY1|1_x0005_`BQC|_x0005_`EQC|_x0005_`JDC|_x0005_`WQC|_x0005_`EDT|_x0005_`ADJ|F_x0005_`RXX|0_x0005_`DET|"&amp;ROW(중기사용료!A62)&amp;"_x0005_`"</f>
        <v>_x0007_`COD|X00030_x0005_`QTY1|1_x0005_`BQC|_x0005_`EQC|_x0005_`JDC|_x0005_`WQC|_x0005_`EDT|_x0005_`ADJ|F_x0005_`RXX|0_x0005_`DET|62_x0005_`</v>
      </c>
      <c r="K12" s="19" t="str">
        <f ca="1">HYPERLINK("#"&amp;중기사용료!N2&amp;"!A"&amp;ROW(중기사용료!A62),"중기    9 →")</f>
        <v>중기    9 →</v>
      </c>
    </row>
    <row r="13" spans="1:11" ht="22.35" customHeight="1" x14ac:dyDescent="0.3">
      <c r="A13" s="8" t="s">
        <v>58</v>
      </c>
      <c r="B13" s="9" t="s">
        <v>372</v>
      </c>
      <c r="C13" s="9" t="s">
        <v>369</v>
      </c>
      <c r="D13" s="8" t="s">
        <v>344</v>
      </c>
      <c r="E13" s="55">
        <f>중기사용료!F75</f>
        <v>106687</v>
      </c>
      <c r="F13" s="54">
        <f>중기사용료!H75</f>
        <v>55700</v>
      </c>
      <c r="G13" s="63">
        <f>중기사용료!J75</f>
        <v>27910</v>
      </c>
      <c r="H13" s="55">
        <f>중기사용료!L75</f>
        <v>23077</v>
      </c>
      <c r="I13" s="14" t="s">
        <v>58</v>
      </c>
      <c r="J13" s="36" t="str">
        <f>"_x0007_`COD|X00031_x0005_`QTY1|1_x0005_`BQC|_x0005_`EQC|_x0005_`JDC|_x0005_`WQC|_x0005_`EDT|_x0005_`ADJ|F_x0005_`RXX|0_x0005_`DET|"&amp;ROW(중기사용료!A69)&amp;"_x0005_`"</f>
        <v>_x0007_`COD|X00031_x0005_`QTY1|1_x0005_`BQC|_x0005_`EQC|_x0005_`JDC|_x0005_`WQC|_x0005_`EDT|_x0005_`ADJ|F_x0005_`RXX|0_x0005_`DET|69_x0005_`</v>
      </c>
      <c r="K13" s="19" t="str">
        <f ca="1">HYPERLINK("#"&amp;중기사용료!N2&amp;"!A"&amp;ROW(중기사용료!A69),"중기   10 →")</f>
        <v>중기   10 →</v>
      </c>
    </row>
    <row r="14" spans="1:11" ht="22.35" customHeight="1" x14ac:dyDescent="0.3">
      <c r="A14" s="8" t="s">
        <v>62</v>
      </c>
      <c r="B14" s="9" t="s">
        <v>375</v>
      </c>
      <c r="C14" s="9" t="s">
        <v>376</v>
      </c>
      <c r="D14" s="8" t="s">
        <v>344</v>
      </c>
      <c r="E14" s="55">
        <f>중기사용료!F79</f>
        <v>414</v>
      </c>
      <c r="F14" s="54">
        <f>중기사용료!H79</f>
        <v>0</v>
      </c>
      <c r="G14" s="63">
        <f>중기사용료!J79</f>
        <v>0</v>
      </c>
      <c r="H14" s="55">
        <f>중기사용료!L79</f>
        <v>414</v>
      </c>
      <c r="I14" s="14" t="s">
        <v>62</v>
      </c>
      <c r="J14" s="36" t="str">
        <f>"_x0007_`COD|X00032_x0005_`QTY1|1_x0005_`BQC|_x0005_`EQC|_x0005_`JDC|_x0005_`WQC|_x0005_`EDT|_x0005_`ADJ|F_x0005_`RXX|0_x0005_`DET|"&amp;ROW(중기사용료!A76)&amp;"_x0005_`"</f>
        <v>_x0007_`COD|X00032_x0005_`QTY1|1_x0005_`BQC|_x0005_`EQC|_x0005_`JDC|_x0005_`WQC|_x0005_`EDT|_x0005_`ADJ|F_x0005_`RXX|0_x0005_`DET|76_x0005_`</v>
      </c>
      <c r="K14" s="19" t="str">
        <f ca="1">HYPERLINK("#"&amp;중기사용료!N2&amp;"!A"&amp;ROW(중기사용료!A76),"중기   11 →")</f>
        <v>중기   11 →</v>
      </c>
    </row>
    <row r="15" spans="1:11" ht="22.35" customHeight="1" x14ac:dyDescent="0.3">
      <c r="A15" s="8" t="s">
        <v>66</v>
      </c>
      <c r="B15" s="9" t="s">
        <v>379</v>
      </c>
      <c r="C15" s="9" t="s">
        <v>380</v>
      </c>
      <c r="D15" s="8" t="s">
        <v>344</v>
      </c>
      <c r="E15" s="55">
        <f>중기사용료!F86</f>
        <v>65009</v>
      </c>
      <c r="F15" s="54">
        <f>중기사용료!H86</f>
        <v>47231</v>
      </c>
      <c r="G15" s="63">
        <f>중기사용료!J86</f>
        <v>7784</v>
      </c>
      <c r="H15" s="55">
        <f>중기사용료!L86</f>
        <v>9994</v>
      </c>
      <c r="I15" s="14" t="s">
        <v>66</v>
      </c>
      <c r="J15" s="36" t="str">
        <f>"_x0007_`COD|X00044_x0005_`QTY1|1_x0005_`BQC|_x0005_`EQC|_x0005_`JDC|_x0005_`WQC|_x0005_`EDT|_x0005_`ADJ|F_x0005_`RXX|0_x0005_`DET|"&amp;ROW(중기사용료!A80)&amp;"_x0005_`"</f>
        <v>_x0007_`COD|X00044_x0005_`QTY1|1_x0005_`BQC|_x0005_`EQC|_x0005_`JDC|_x0005_`WQC|_x0005_`EDT|_x0005_`ADJ|F_x0005_`RXX|0_x0005_`DET|80_x0005_`</v>
      </c>
      <c r="K15" s="19" t="str">
        <f ca="1">HYPERLINK("#"&amp;중기사용료!N2&amp;"!A"&amp;ROW(중기사용료!A80),"중기   12 →")</f>
        <v>중기   12 →</v>
      </c>
    </row>
    <row r="16" spans="1:11" ht="22.35" customHeight="1" x14ac:dyDescent="0.3">
      <c r="A16" s="8" t="s">
        <v>71</v>
      </c>
      <c r="B16" s="9" t="s">
        <v>383</v>
      </c>
      <c r="C16" s="9" t="s">
        <v>384</v>
      </c>
      <c r="D16" s="8" t="s">
        <v>344</v>
      </c>
      <c r="E16" s="55">
        <f>중기사용료!F93</f>
        <v>101226</v>
      </c>
      <c r="F16" s="54">
        <f>중기사용료!H93</f>
        <v>55700</v>
      </c>
      <c r="G16" s="63">
        <f>중기사용료!J93</f>
        <v>29173</v>
      </c>
      <c r="H16" s="55">
        <f>중기사용료!L93</f>
        <v>16353</v>
      </c>
      <c r="I16" s="14" t="s">
        <v>71</v>
      </c>
      <c r="J16" s="36" t="str">
        <f>"_x0007_`COD|X00046_x0005_`QTY1|1_x0005_`BQC|_x0005_`EQC|_x0005_`JDC|_x0005_`WQC|_x0005_`EDT|_x0005_`ADJ|F_x0005_`RXX|0_x0005_`DET|"&amp;ROW(중기사용료!A87)&amp;"_x0005_`"</f>
        <v>_x0007_`COD|X00046_x0005_`QTY1|1_x0005_`BQC|_x0005_`EQC|_x0005_`JDC|_x0005_`WQC|_x0005_`EDT|_x0005_`ADJ|F_x0005_`RXX|0_x0005_`DET|87_x0005_`</v>
      </c>
      <c r="K16" s="19" t="str">
        <f ca="1">HYPERLINK("#"&amp;중기사용료!N2&amp;"!A"&amp;ROW(중기사용료!A87),"중기   13 →")</f>
        <v>중기   13 →</v>
      </c>
    </row>
    <row r="17" spans="1:11" ht="22.35" customHeight="1" x14ac:dyDescent="0.3">
      <c r="A17" s="8" t="s">
        <v>75</v>
      </c>
      <c r="B17" s="9" t="s">
        <v>387</v>
      </c>
      <c r="C17" s="9"/>
      <c r="D17" s="8" t="s">
        <v>344</v>
      </c>
      <c r="E17" s="55">
        <f>중기사용료!F100</f>
        <v>40659</v>
      </c>
      <c r="F17" s="54">
        <f>중기사용료!H100</f>
        <v>33571</v>
      </c>
      <c r="G17" s="63">
        <f>중기사용료!J100</f>
        <v>5445</v>
      </c>
      <c r="H17" s="55">
        <f>중기사용료!L100</f>
        <v>1643</v>
      </c>
      <c r="I17" s="14" t="s">
        <v>75</v>
      </c>
      <c r="J17" s="36" t="str">
        <f>"_x0007_`COD|X00048_x0005_`QTY1|1_x0005_`BQC|_x0005_`EQC|_x0005_`JDC|_x0005_`WQC|_x0005_`EDT|_x0005_`ADJ|F_x0005_`RXX|0_x0005_`DET|"&amp;ROW(중기사용료!A94)&amp;"_x0005_`"</f>
        <v>_x0007_`COD|X00048_x0005_`QTY1|1_x0005_`BQC|_x0005_`EQC|_x0005_`JDC|_x0005_`WQC|_x0005_`EDT|_x0005_`ADJ|F_x0005_`RXX|0_x0005_`DET|94_x0005_`</v>
      </c>
      <c r="K17" s="19" t="str">
        <f ca="1">HYPERLINK("#"&amp;중기사용료!N2&amp;"!A"&amp;ROW(중기사용료!A94),"중기   14 →")</f>
        <v>중기   14 →</v>
      </c>
    </row>
    <row r="18" spans="1:11" ht="22.35" customHeight="1" x14ac:dyDescent="0.3">
      <c r="A18" s="8" t="s">
        <v>80</v>
      </c>
      <c r="B18" s="9" t="s">
        <v>390</v>
      </c>
      <c r="C18" s="9" t="s">
        <v>391</v>
      </c>
      <c r="D18" s="8" t="s">
        <v>344</v>
      </c>
      <c r="E18" s="55">
        <f>중기사용료!F107</f>
        <v>108123</v>
      </c>
      <c r="F18" s="54">
        <f>중기사용료!H107</f>
        <v>55700</v>
      </c>
      <c r="G18" s="63">
        <f>중기사용료!J107</f>
        <v>29100</v>
      </c>
      <c r="H18" s="55">
        <f>중기사용료!L107</f>
        <v>23323</v>
      </c>
      <c r="I18" s="14" t="s">
        <v>80</v>
      </c>
      <c r="J18" s="36" t="str">
        <f>"_x0007_`COD|X00055_x0005_`QTY1|1_x0005_`BQC|_x0005_`EQC|_x0005_`JDC|_x0005_`WQC|_x0005_`EDT|_x0005_`ADJ|F_x0005_`RXX|0_x0005_`DET|"&amp;ROW(중기사용료!A101)&amp;"_x0005_`"</f>
        <v>_x0007_`COD|X00055_x0005_`QTY1|1_x0005_`BQC|_x0005_`EQC|_x0005_`JDC|_x0005_`WQC|_x0005_`EDT|_x0005_`ADJ|F_x0005_`RXX|0_x0005_`DET|101_x0005_`</v>
      </c>
      <c r="K18" s="19" t="str">
        <f ca="1">HYPERLINK("#"&amp;중기사용료!N2&amp;"!A"&amp;ROW(중기사용료!A101),"중기   15 →")</f>
        <v>중기   15 →</v>
      </c>
    </row>
    <row r="19" spans="1:11" ht="22.35" customHeight="1" x14ac:dyDescent="0.3">
      <c r="A19" s="8" t="s">
        <v>85</v>
      </c>
      <c r="B19" s="9" t="s">
        <v>394</v>
      </c>
      <c r="C19" s="9"/>
      <c r="D19" s="8" t="s">
        <v>344</v>
      </c>
      <c r="E19" s="55">
        <f>중기사용료!F114</f>
        <v>58490</v>
      </c>
      <c r="F19" s="54">
        <f>중기사용료!H114</f>
        <v>47231</v>
      </c>
      <c r="G19" s="63">
        <f>중기사용료!J114</f>
        <v>5090</v>
      </c>
      <c r="H19" s="55">
        <f>중기사용료!L114</f>
        <v>6169</v>
      </c>
      <c r="I19" s="14" t="s">
        <v>85</v>
      </c>
      <c r="J19" s="36" t="str">
        <f>"_x0007_`COD|X00074_x0005_`QTY1|1_x0005_`BQC|_x0005_`EQC|_x0005_`JDC|_x0005_`WQC|_x0005_`EDT|_x0005_`ADJ|F_x0005_`RXX|0_x0005_`DET|"&amp;ROW(중기사용료!A108)&amp;"_x0005_`"</f>
        <v>_x0007_`COD|X00074_x0005_`QTY1|1_x0005_`BQC|_x0005_`EQC|_x0005_`JDC|_x0005_`WQC|_x0005_`EDT|_x0005_`ADJ|F_x0005_`RXX|0_x0005_`DET|108_x0005_`</v>
      </c>
      <c r="K19" s="19" t="str">
        <f ca="1">HYPERLINK("#"&amp;중기사용료!N2&amp;"!A"&amp;ROW(중기사용료!A108),"중기   16 →")</f>
        <v>중기   16 →</v>
      </c>
    </row>
    <row r="20" spans="1:11" ht="22.35" customHeight="1" x14ac:dyDescent="0.3">
      <c r="A20" s="8" t="s">
        <v>89</v>
      </c>
      <c r="B20" s="9" t="s">
        <v>342</v>
      </c>
      <c r="C20" s="9" t="s">
        <v>397</v>
      </c>
      <c r="D20" s="8" t="s">
        <v>344</v>
      </c>
      <c r="E20" s="55">
        <f>중기사용료!F121</f>
        <v>130908</v>
      </c>
      <c r="F20" s="54">
        <f>중기사용료!H121</f>
        <v>55700</v>
      </c>
      <c r="G20" s="63">
        <f>중기사용료!J121</f>
        <v>36888</v>
      </c>
      <c r="H20" s="55">
        <f>중기사용료!L121</f>
        <v>38320</v>
      </c>
      <c r="I20" s="14" t="s">
        <v>89</v>
      </c>
      <c r="J20" s="36" t="str">
        <f>"_x0007_`COD|X00084_x0005_`QTY1|1_x0005_`BQC|_x0005_`EQC|_x0005_`JDC|_x0005_`WQC|_x0005_`EDT|_x0005_`ADJ|F_x0005_`RXX|0_x0005_`DET|"&amp;ROW(중기사용료!A115)&amp;"_x0005_`"</f>
        <v>_x0007_`COD|X00084_x0005_`QTY1|1_x0005_`BQC|_x0005_`EQC|_x0005_`JDC|_x0005_`WQC|_x0005_`EDT|_x0005_`ADJ|F_x0005_`RXX|0_x0005_`DET|115_x0005_`</v>
      </c>
      <c r="K20" s="19" t="str">
        <f ca="1">HYPERLINK("#"&amp;중기사용료!N2&amp;"!A"&amp;ROW(중기사용료!A115),"중기   17 →")</f>
        <v>중기   17 →</v>
      </c>
    </row>
    <row r="21" spans="1:11" ht="22.35" customHeight="1" x14ac:dyDescent="0.3">
      <c r="A21" s="8" t="s">
        <v>94</v>
      </c>
      <c r="B21" s="9" t="s">
        <v>375</v>
      </c>
      <c r="C21" s="9" t="s">
        <v>400</v>
      </c>
      <c r="D21" s="8" t="s">
        <v>344</v>
      </c>
      <c r="E21" s="55">
        <f>중기사용료!F125</f>
        <v>481</v>
      </c>
      <c r="F21" s="54">
        <f>중기사용료!H125</f>
        <v>0</v>
      </c>
      <c r="G21" s="63">
        <f>중기사용료!J125</f>
        <v>0</v>
      </c>
      <c r="H21" s="55">
        <f>중기사용료!L125</f>
        <v>481</v>
      </c>
      <c r="I21" s="14" t="s">
        <v>94</v>
      </c>
      <c r="J21" s="36" t="str">
        <f>"_x0007_`COD|X00086_x0005_`QTY1|1_x0005_`BQC|_x0005_`EQC|_x0005_`JDC|_x0005_`WQC|_x0005_`EDT|_x0005_`ADJ|F_x0005_`RXX|0_x0005_`DET|"&amp;ROW(중기사용료!A122)&amp;"_x0005_`"</f>
        <v>_x0007_`COD|X00086_x0005_`QTY1|1_x0005_`BQC|_x0005_`EQC|_x0005_`JDC|_x0005_`WQC|_x0005_`EDT|_x0005_`ADJ|F_x0005_`RXX|0_x0005_`DET|122_x0005_`</v>
      </c>
      <c r="K21" s="19" t="str">
        <f ca="1">HYPERLINK("#"&amp;중기사용료!N2&amp;"!A"&amp;ROW(중기사용료!A122),"중기   18 →")</f>
        <v>중기   18 →</v>
      </c>
    </row>
    <row r="22" spans="1:11" ht="22.35" customHeight="1" x14ac:dyDescent="0.3">
      <c r="A22" s="8" t="s">
        <v>99</v>
      </c>
      <c r="B22" s="9" t="s">
        <v>403</v>
      </c>
      <c r="C22" s="9"/>
      <c r="D22" s="8" t="s">
        <v>344</v>
      </c>
      <c r="E22" s="55">
        <f>중기사용료!F132</f>
        <v>127479</v>
      </c>
      <c r="F22" s="54">
        <f>중기사용료!H132</f>
        <v>55700</v>
      </c>
      <c r="G22" s="63">
        <f>중기사용료!J132</f>
        <v>40373</v>
      </c>
      <c r="H22" s="55">
        <f>중기사용료!L132</f>
        <v>31406</v>
      </c>
      <c r="I22" s="14" t="s">
        <v>99</v>
      </c>
      <c r="J22" s="36" t="str">
        <f>"_x0007_`COD|X00087_x0005_`QTY1|1_x0005_`BQC|_x0005_`EQC|_x0005_`JDC|_x0005_`WQC|_x0005_`EDT|_x0005_`ADJ|F_x0005_`RXX|0_x0005_`DET|"&amp;ROW(중기사용료!A126)&amp;"_x0005_`"</f>
        <v>_x0007_`COD|X00087_x0005_`QTY1|1_x0005_`BQC|_x0005_`EQC|_x0005_`JDC|_x0005_`WQC|_x0005_`EDT|_x0005_`ADJ|F_x0005_`RXX|0_x0005_`DET|126_x0005_`</v>
      </c>
      <c r="K22" s="19" t="str">
        <f ca="1">HYPERLINK("#"&amp;중기사용료!N2&amp;"!A"&amp;ROW(중기사용료!A126),"중기   19 →")</f>
        <v>중기   19 →</v>
      </c>
    </row>
    <row r="23" spans="1:11" ht="22.35" customHeight="1" x14ac:dyDescent="0.3">
      <c r="A23" s="8" t="s">
        <v>103</v>
      </c>
      <c r="B23" s="9" t="s">
        <v>406</v>
      </c>
      <c r="C23" s="9"/>
      <c r="D23" s="8" t="s">
        <v>344</v>
      </c>
      <c r="E23" s="55">
        <f>중기사용료!F140</f>
        <v>105164</v>
      </c>
      <c r="F23" s="54">
        <f>중기사용료!H140</f>
        <v>55700</v>
      </c>
      <c r="G23" s="63">
        <f>중기사용료!J140</f>
        <v>18296</v>
      </c>
      <c r="H23" s="55">
        <f>중기사용료!L140</f>
        <v>31168</v>
      </c>
      <c r="I23" s="14" t="s">
        <v>103</v>
      </c>
      <c r="J23" s="36" t="str">
        <f>"_x0007_`COD|X00089_x0005_`QTY1|1_x0005_`BQC|_x0005_`EQC|_x0005_`JDC|_x0005_`WQC|_x0005_`EDT|_x0005_`ADJ|F_x0005_`RXX|0_x0005_`DET|"&amp;ROW(중기사용료!A133)&amp;"_x0005_`"</f>
        <v>_x0007_`COD|X00089_x0005_`QTY1|1_x0005_`BQC|_x0005_`EQC|_x0005_`JDC|_x0005_`WQC|_x0005_`EDT|_x0005_`ADJ|F_x0005_`RXX|0_x0005_`DET|133_x0005_`</v>
      </c>
      <c r="K23" s="19" t="str">
        <f ca="1">HYPERLINK("#"&amp;중기사용료!N2&amp;"!A"&amp;ROW(중기사용료!A133),"중기   20 →")</f>
        <v>중기   20 →</v>
      </c>
    </row>
    <row r="24" spans="1:11" ht="22.35" customHeight="1" x14ac:dyDescent="0.3">
      <c r="A24" s="8" t="s">
        <v>107</v>
      </c>
      <c r="B24" s="9" t="s">
        <v>409</v>
      </c>
      <c r="C24" s="9"/>
      <c r="D24" s="8" t="s">
        <v>344</v>
      </c>
      <c r="E24" s="55">
        <f>중기사용료!F147</f>
        <v>64583</v>
      </c>
      <c r="F24" s="54">
        <f>중기사용료!H147</f>
        <v>47231</v>
      </c>
      <c r="G24" s="63">
        <f>중기사용료!J147</f>
        <v>8776</v>
      </c>
      <c r="H24" s="55">
        <f>중기사용료!L147</f>
        <v>8576</v>
      </c>
      <c r="I24" s="14" t="s">
        <v>107</v>
      </c>
      <c r="J24" s="36" t="str">
        <f>"_x0007_`COD|X00092_x0005_`QTY1|1_x0005_`BQC|_x0005_`EQC|_x0005_`JDC|_x0005_`WQC|_x0005_`EDT|_x0005_`ADJ|F_x0005_`RXX|0_x0005_`DET|"&amp;ROW(중기사용료!A141)&amp;"_x0005_`"</f>
        <v>_x0007_`COD|X00092_x0005_`QTY1|1_x0005_`BQC|_x0005_`EQC|_x0005_`JDC|_x0005_`WQC|_x0005_`EDT|_x0005_`ADJ|F_x0005_`RXX|0_x0005_`DET|141_x0005_`</v>
      </c>
      <c r="K24" s="19" t="str">
        <f ca="1">HYPERLINK("#"&amp;중기사용료!N2&amp;"!A"&amp;ROW(중기사용료!A141),"중기   21 →")</f>
        <v>중기   21 →</v>
      </c>
    </row>
    <row r="25" spans="1:11" ht="22.35" customHeight="1" x14ac:dyDescent="0.3">
      <c r="A25" s="8" t="s">
        <v>112</v>
      </c>
      <c r="B25" s="9" t="s">
        <v>412</v>
      </c>
      <c r="C25" s="9" t="s">
        <v>413</v>
      </c>
      <c r="D25" s="8" t="s">
        <v>344</v>
      </c>
      <c r="E25" s="55">
        <f>중기사용료!F155</f>
        <v>100355</v>
      </c>
      <c r="F25" s="54">
        <f>중기사용료!H155</f>
        <v>55700</v>
      </c>
      <c r="G25" s="63">
        <f>중기사용료!J155</f>
        <v>18001</v>
      </c>
      <c r="H25" s="55">
        <f>중기사용료!L155</f>
        <v>26654</v>
      </c>
      <c r="I25" s="14" t="s">
        <v>112</v>
      </c>
      <c r="J25" s="36" t="str">
        <f>"_x0007_`COD|X00099_x0005_`QTY1|1_x0005_`BQC|_x0005_`EQC|_x0005_`JDC|_x0005_`WQC|_x0005_`EDT|_x0005_`ADJ|F_x0005_`RXX|0_x0005_`DET|"&amp;ROW(중기사용료!A148)&amp;"_x0005_`"</f>
        <v>_x0007_`COD|X00099_x0005_`QTY1|1_x0005_`BQC|_x0005_`EQC|_x0005_`JDC|_x0005_`WQC|_x0005_`EDT|_x0005_`ADJ|F_x0005_`RXX|0_x0005_`DET|148_x0005_`</v>
      </c>
      <c r="K25" s="19" t="str">
        <f ca="1">HYPERLINK("#"&amp;중기사용료!N2&amp;"!A"&amp;ROW(중기사용료!A148),"중기   22 →")</f>
        <v>중기   22 →</v>
      </c>
    </row>
    <row r="26" spans="1:11" ht="22.35" customHeight="1" x14ac:dyDescent="0.3">
      <c r="A26" s="8" t="s">
        <v>117</v>
      </c>
      <c r="B26" s="9" t="s">
        <v>356</v>
      </c>
      <c r="C26" s="9" t="s">
        <v>416</v>
      </c>
      <c r="D26" s="8" t="s">
        <v>344</v>
      </c>
      <c r="E26" s="55">
        <f>중기사용료!F162</f>
        <v>118143</v>
      </c>
      <c r="F26" s="54">
        <f>중기사용료!H162</f>
        <v>55700</v>
      </c>
      <c r="G26" s="63">
        <f>중기사용료!J162</f>
        <v>30260</v>
      </c>
      <c r="H26" s="55">
        <f>중기사용료!L162</f>
        <v>32183</v>
      </c>
      <c r="I26" s="14" t="s">
        <v>117</v>
      </c>
      <c r="J26" s="36" t="str">
        <f>"_x0007_`COD|X00101_x0005_`QTY1|1_x0005_`BQC|_x0005_`EQC|_x0005_`JDC|_x0005_`WQC|_x0005_`EDT|_x0005_`ADJ|F_x0005_`RXX|0_x0005_`DET|"&amp;ROW(중기사용료!A156)&amp;"_x0005_`"</f>
        <v>_x0007_`COD|X00101_x0005_`QTY1|1_x0005_`BQC|_x0005_`EQC|_x0005_`JDC|_x0005_`WQC|_x0005_`EDT|_x0005_`ADJ|F_x0005_`RXX|0_x0005_`DET|156_x0005_`</v>
      </c>
      <c r="K26" s="19" t="str">
        <f ca="1">HYPERLINK("#"&amp;중기사용료!N2&amp;"!A"&amp;ROW(중기사용료!A156),"중기   23 →")</f>
        <v>중기   23 →</v>
      </c>
    </row>
    <row r="27" spans="1:11" ht="22.35" customHeight="1" x14ac:dyDescent="0.3">
      <c r="A27" s="8" t="s">
        <v>122</v>
      </c>
      <c r="B27" s="9" t="s">
        <v>419</v>
      </c>
      <c r="C27" s="9" t="s">
        <v>420</v>
      </c>
      <c r="D27" s="8" t="s">
        <v>344</v>
      </c>
      <c r="E27" s="55">
        <f>중기사용료!F169</f>
        <v>83249</v>
      </c>
      <c r="F27" s="54">
        <f>중기사용료!H169</f>
        <v>47231</v>
      </c>
      <c r="G27" s="63">
        <f>중기사용료!J169</f>
        <v>24770</v>
      </c>
      <c r="H27" s="55">
        <f>중기사용료!L169</f>
        <v>11248</v>
      </c>
      <c r="I27" s="14" t="s">
        <v>122</v>
      </c>
      <c r="J27" s="36" t="str">
        <f>"_x0007_`COD|X00102_x0005_`QTY1|1_x0005_`BQC|_x0005_`EQC|03060201050_x0005_`JDC|00000602010500000_x0005_`WQC|_x0005_`EDT|2024_x0005_`ADJ|F_x0005_`RXX|0_x0005_`DET|"&amp;ROW(중기사용료!A163)&amp;"_x0005_`"</f>
        <v>_x0007_`COD|X00102_x0005_`QTY1|1_x0005_`BQC|_x0005_`EQC|03060201050_x0005_`JDC|00000602010500000_x0005_`WQC|_x0005_`EDT|2024_x0005_`ADJ|F_x0005_`RXX|0_x0005_`DET|163_x0005_`</v>
      </c>
      <c r="K27" s="19" t="str">
        <f ca="1">HYPERLINK("#"&amp;중기사용료!N2&amp;"!A"&amp;ROW(중기사용료!A163),"중기   24 →")</f>
        <v>중기   24 →</v>
      </c>
    </row>
    <row r="28" spans="1:11" ht="22.35" customHeight="1" x14ac:dyDescent="0.3">
      <c r="A28" s="8" t="s">
        <v>125</v>
      </c>
      <c r="B28" s="9" t="s">
        <v>423</v>
      </c>
      <c r="C28" s="9" t="s">
        <v>424</v>
      </c>
      <c r="D28" s="8" t="s">
        <v>344</v>
      </c>
      <c r="E28" s="55">
        <f>중기사용료!F177</f>
        <v>105178</v>
      </c>
      <c r="F28" s="54">
        <f>중기사용료!H177</f>
        <v>55700</v>
      </c>
      <c r="G28" s="63">
        <f>중기사용료!J177</f>
        <v>18310</v>
      </c>
      <c r="H28" s="55">
        <f>중기사용료!L177</f>
        <v>31168</v>
      </c>
      <c r="I28" s="14" t="s">
        <v>125</v>
      </c>
      <c r="J28" s="36" t="str">
        <f>"_x0007_`COD|X00105_x0005_`QTY1|1_x0005_`BQC|_x0005_`EQC|03021100602_x0005_`JDC|_x0005_`WQC|_x0005_`EDT|------------_x0005_`ADJ|F_x0005_`RXX|0_x0005_`DET|"&amp;ROW(중기사용료!A170)&amp;"_x0005_`"</f>
        <v>_x0007_`COD|X00105_x0005_`QTY1|1_x0005_`BQC|_x0005_`EQC|03021100602_x0005_`JDC|_x0005_`WQC|_x0005_`EDT|------------_x0005_`ADJ|F_x0005_`RXX|0_x0005_`DET|170_x0005_`</v>
      </c>
      <c r="K28" s="19" t="str">
        <f ca="1">HYPERLINK("#"&amp;중기사용료!N2&amp;"!A"&amp;ROW(중기사용료!A170),"중기   25 →")</f>
        <v>중기   25 →</v>
      </c>
    </row>
  </sheetData>
  <mergeCells count="1">
    <mergeCell ref="A1:I1"/>
  </mergeCells>
  <phoneticPr fontId="26" type="noConversion"/>
  <hyperlinks>
    <hyperlink ref="K1" r:id="rId1" tooltip="설계예산시스템(STmate w24.04)으로 작성 하였으며,_x000a_엑셀 인쇄품질 600 dpi에 최적화 되어 있습니다._x000a_경영정보(주) http://www.stma.co.kr_x000a_Tel) 070-4350-0040_x000a_Fax) 0505-300-3948"/>
    <hyperlink ref="J1" r:id="rId2" tooltip="설계예산시스템(STmate w24.04)으로 작성 하였으며,_x000a_엑셀 인쇄품질 600 dpi에 최적화 되어 있습니다._x000a_경영정보(주) http://www.stma.co.kr_x000a_Tel) 070-4350-0040_x000a_Fax) 0505-300-3948"/>
  </hyperlinks>
  <printOptions horizontalCentered="1"/>
  <pageMargins left="0.78740157480314965" right="0.78740157480314965" top="0.59055118110236215" bottom="0.55118110236220474" header="0" footer="0.35433070866141736"/>
  <pageSetup paperSize="9" scale="98" fitToWidth="0" fitToHeight="0" orientation="landscape" r:id="rId3"/>
  <headerFooter alignWithMargins="0">
    <oddFooter xml:space="preserve">&amp;R&amp;"굴림체,"&amp;9 </oddFooter>
  </headerFooter>
  <legacy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77"/>
  <sheetViews>
    <sheetView workbookViewId="0">
      <pane ySplit="4" topLeftCell="A5" activePane="bottomLeft" state="frozenSplit"/>
      <selection pane="bottomLeft" activeCell="A5" sqref="A5"/>
    </sheetView>
  </sheetViews>
  <sheetFormatPr defaultColWidth="9.125" defaultRowHeight="16.5" x14ac:dyDescent="0.3"/>
  <cols>
    <col min="1" max="2" width="24.25" style="5" customWidth="1"/>
    <col min="3" max="3" width="10" style="5" customWidth="1"/>
    <col min="4" max="4" width="5.5" style="5" customWidth="1"/>
    <col min="5" max="5" width="10" style="5" customWidth="1"/>
    <col min="6" max="6" width="11.5" style="5" customWidth="1"/>
    <col min="7" max="7" width="10" style="5" customWidth="1"/>
    <col min="8" max="8" width="11.5" style="5" customWidth="1"/>
    <col min="9" max="9" width="10" style="5" customWidth="1"/>
    <col min="10" max="10" width="11.5" style="5" customWidth="1"/>
    <col min="11" max="11" width="10" style="5" customWidth="1"/>
    <col min="12" max="13" width="11.5" style="5" customWidth="1"/>
    <col min="14" max="14" width="9.125" style="93" hidden="1" customWidth="1"/>
    <col min="15" max="25" width="2.125" style="5" customWidth="1"/>
    <col min="26" max="26" width="9.125" style="17" customWidth="1"/>
    <col min="27" max="16384" width="9.125" style="5"/>
  </cols>
  <sheetData>
    <row r="1" spans="1:26" ht="24.95" customHeight="1" x14ac:dyDescent="0.3">
      <c r="A1" s="145" t="s">
        <v>339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4" t="s">
        <v>166</v>
      </c>
      <c r="Z1" s="18" t="s">
        <v>166</v>
      </c>
    </row>
    <row r="2" spans="1:26" ht="28.7" customHeight="1" x14ac:dyDescent="0.3">
      <c r="A2" s="1" t="s">
        <v>1</v>
      </c>
      <c r="N2" s="21" t="str">
        <f ca="1">MID(CELL("filename",$A$1),FIND("]",CELL("filename",$A$1))+1,LEN(CELL("filename",$A$1)))</f>
        <v>중기사용료</v>
      </c>
    </row>
    <row r="3" spans="1:26" ht="28.7" customHeight="1" x14ac:dyDescent="0.3">
      <c r="A3" s="157" t="s">
        <v>3</v>
      </c>
      <c r="B3" s="157" t="s">
        <v>4</v>
      </c>
      <c r="C3" s="157" t="s">
        <v>630</v>
      </c>
      <c r="D3" s="157" t="s">
        <v>5</v>
      </c>
      <c r="E3" s="148" t="s">
        <v>6</v>
      </c>
      <c r="F3" s="156"/>
      <c r="G3" s="148" t="s">
        <v>7</v>
      </c>
      <c r="H3" s="156"/>
      <c r="I3" s="148" t="s">
        <v>8</v>
      </c>
      <c r="J3" s="156"/>
      <c r="K3" s="148" t="s">
        <v>9</v>
      </c>
      <c r="L3" s="156"/>
      <c r="M3" s="148" t="s">
        <v>10</v>
      </c>
    </row>
    <row r="4" spans="1:26" ht="28.7" customHeight="1" x14ac:dyDescent="0.3">
      <c r="A4" s="156"/>
      <c r="B4" s="156"/>
      <c r="C4" s="156"/>
      <c r="D4" s="156"/>
      <c r="E4" s="8" t="s">
        <v>428</v>
      </c>
      <c r="F4" s="8" t="s">
        <v>622</v>
      </c>
      <c r="G4" s="8" t="s">
        <v>428</v>
      </c>
      <c r="H4" s="8" t="s">
        <v>622</v>
      </c>
      <c r="I4" s="8" t="s">
        <v>428</v>
      </c>
      <c r="J4" s="8" t="s">
        <v>622</v>
      </c>
      <c r="K4" s="8" t="s">
        <v>428</v>
      </c>
      <c r="L4" s="8" t="s">
        <v>622</v>
      </c>
      <c r="M4" s="149"/>
      <c r="Z4" s="19" t="str">
        <f>HYPERLINK("#'〓 목 차 〓'!B2","목차 →")</f>
        <v>목차 →</v>
      </c>
    </row>
    <row r="5" spans="1:26" ht="28.7" customHeight="1" x14ac:dyDescent="0.3">
      <c r="A5" s="83" t="s">
        <v>1112</v>
      </c>
      <c r="B5" s="83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36" t="str">
        <f>HYPERLINK("#N"&amp;ROW(N10),"_x0005_`BDCOD|X00001_x0007_`POSS|"&amp;ROW(N7)&amp;"_x0007_`POSE|"&amp;ROW(N10)&amp;"_x0007_`")</f>
        <v>_x0005_`BDCOD|X00001_x0007_`POSS|7_x0007_`POSE|10_x0007_`</v>
      </c>
    </row>
    <row r="6" spans="1:26" ht="28.7" customHeight="1" x14ac:dyDescent="0.3">
      <c r="A6" s="43" t="s">
        <v>342</v>
      </c>
      <c r="B6" s="43" t="s">
        <v>343</v>
      </c>
      <c r="C6" s="85"/>
      <c r="D6" s="87" t="s">
        <v>344</v>
      </c>
      <c r="E6" s="85"/>
      <c r="F6" s="85"/>
      <c r="G6" s="85"/>
      <c r="H6" s="85"/>
      <c r="I6" s="85"/>
      <c r="J6" s="85"/>
      <c r="K6" s="85"/>
      <c r="L6" s="85"/>
      <c r="M6" s="87" t="s">
        <v>345</v>
      </c>
      <c r="O6" s="6" t="s">
        <v>2161</v>
      </c>
    </row>
    <row r="7" spans="1:26" ht="28.7" customHeight="1" x14ac:dyDescent="0.3">
      <c r="A7" s="9" t="s">
        <v>684</v>
      </c>
      <c r="B7" s="9"/>
      <c r="C7" s="86">
        <v>0.18110000000000001</v>
      </c>
      <c r="D7" s="33" t="s">
        <v>685</v>
      </c>
      <c r="E7" s="62">
        <f t="shared" ref="E7:F10" si="0">I7+G7+K7</f>
        <v>184499</v>
      </c>
      <c r="F7" s="88">
        <f t="shared" si="0"/>
        <v>33412.699999999997</v>
      </c>
      <c r="G7" s="59">
        <v>0</v>
      </c>
      <c r="H7" s="88">
        <f>IF(C7=0,0,ROUNDDOWN(G7*C7,1))</f>
        <v>0</v>
      </c>
      <c r="I7" s="59">
        <v>0</v>
      </c>
      <c r="J7" s="89">
        <f>IF(C7=0,0,ROUNDDOWN(I7*C7,1))</f>
        <v>0</v>
      </c>
      <c r="K7" s="90">
        <f>경비목록표!E4</f>
        <v>184499</v>
      </c>
      <c r="L7" s="92">
        <f>IF(C7=0,0,ROUNDDOWN(K7*C7,1))</f>
        <v>33412.699999999997</v>
      </c>
      <c r="M7" s="24" t="s">
        <v>2164</v>
      </c>
      <c r="N7" s="16" t="s">
        <v>2162</v>
      </c>
      <c r="O7" s="6" t="s">
        <v>2163</v>
      </c>
      <c r="P7" s="6" t="s">
        <v>1128</v>
      </c>
      <c r="Z7" s="19" t="str">
        <f ca="1">HYPERLINK("#"&amp;경비목록표!G2&amp;"!A"&amp;ROW(경비목록표!A4),"경비    1 →")</f>
        <v>경비    1 →</v>
      </c>
    </row>
    <row r="8" spans="1:26" ht="28.7" customHeight="1" x14ac:dyDescent="0.3">
      <c r="A8" s="9" t="s">
        <v>665</v>
      </c>
      <c r="B8" s="9"/>
      <c r="C8" s="86">
        <v>1</v>
      </c>
      <c r="D8" s="33" t="s">
        <v>647</v>
      </c>
      <c r="E8" s="62">
        <f t="shared" si="0"/>
        <v>55700</v>
      </c>
      <c r="F8" s="89">
        <f t="shared" si="0"/>
        <v>55700</v>
      </c>
      <c r="G8" s="90">
        <f>환율및기초자료!G6</f>
        <v>55700</v>
      </c>
      <c r="H8" s="91">
        <f>IF(C8=0,0,ROUNDDOWN(G8*C8,1))</f>
        <v>55700</v>
      </c>
      <c r="I8" s="59">
        <v>0</v>
      </c>
      <c r="J8" s="88">
        <f>IF(C8=0,0,ROUNDDOWN(I8*C8,1))</f>
        <v>0</v>
      </c>
      <c r="K8" s="59">
        <v>0</v>
      </c>
      <c r="L8" s="89">
        <f>IF(C8=0,0,ROUNDDOWN(K8*C8,1))</f>
        <v>0</v>
      </c>
      <c r="M8" s="24" t="s">
        <v>2167</v>
      </c>
      <c r="N8" s="16" t="s">
        <v>2165</v>
      </c>
      <c r="O8" s="6" t="s">
        <v>2166</v>
      </c>
      <c r="P8" s="6" t="s">
        <v>1128</v>
      </c>
      <c r="Z8" s="19" t="str">
        <f ca="1">HYPERLINK("#"&amp;환율및기초자료!I2&amp;"!A"&amp;ROW(환율및기초자료!A6),"노무    7 →")</f>
        <v>노무    7 →</v>
      </c>
    </row>
    <row r="9" spans="1:26" ht="28.7" customHeight="1" x14ac:dyDescent="0.3">
      <c r="A9" s="9" t="s">
        <v>435</v>
      </c>
      <c r="B9" s="9" t="s">
        <v>436</v>
      </c>
      <c r="C9" s="86">
        <v>25</v>
      </c>
      <c r="D9" s="33" t="s">
        <v>431</v>
      </c>
      <c r="E9" s="62">
        <f t="shared" si="0"/>
        <v>1272</v>
      </c>
      <c r="F9" s="88">
        <f t="shared" si="0"/>
        <v>31800</v>
      </c>
      <c r="G9" s="59">
        <v>0</v>
      </c>
      <c r="H9" s="89">
        <f>IF(C9=0,0,ROUNDDOWN(G9*C9,1))</f>
        <v>0</v>
      </c>
      <c r="I9" s="90">
        <f>재료비목록표!E5</f>
        <v>1272</v>
      </c>
      <c r="J9" s="91">
        <f>IF(C9=0,0,ROUNDDOWN(I9*C9,1))</f>
        <v>31800</v>
      </c>
      <c r="K9" s="59">
        <v>0</v>
      </c>
      <c r="L9" s="89">
        <f>IF(C9=0,0,ROUNDDOWN(K9*C9,1))</f>
        <v>0</v>
      </c>
      <c r="M9" s="24" t="s">
        <v>2170</v>
      </c>
      <c r="N9" s="16" t="s">
        <v>2168</v>
      </c>
      <c r="O9" s="6" t="s">
        <v>2169</v>
      </c>
      <c r="P9" s="6" t="s">
        <v>1128</v>
      </c>
      <c r="Z9" s="19" t="str">
        <f ca="1">HYPERLINK("#"&amp;재료비목록표!G2&amp;"!A"&amp;ROW(재료비목록표!A5),"자재    2 →")</f>
        <v>자재    2 →</v>
      </c>
    </row>
    <row r="10" spans="1:26" ht="28.7" customHeight="1" x14ac:dyDescent="0.3">
      <c r="A10" s="9" t="s">
        <v>484</v>
      </c>
      <c r="B10" s="9" t="s">
        <v>485</v>
      </c>
      <c r="C10" s="86">
        <v>16</v>
      </c>
      <c r="D10" s="33" t="s">
        <v>480</v>
      </c>
      <c r="E10" s="62">
        <f t="shared" si="0"/>
        <v>31800</v>
      </c>
      <c r="F10" s="88">
        <f t="shared" si="0"/>
        <v>5088</v>
      </c>
      <c r="G10" s="59">
        <v>0</v>
      </c>
      <c r="H10" s="89">
        <f>IF(C10=0,0,ROUNDDOWN(G10*C10/100,1))</f>
        <v>0</v>
      </c>
      <c r="I10" s="90">
        <f>J9</f>
        <v>31800</v>
      </c>
      <c r="J10" s="91">
        <f>IF(C10=0,0,ROUNDDOWN(I10*C10/100,1))</f>
        <v>5088</v>
      </c>
      <c r="K10" s="59">
        <v>0</v>
      </c>
      <c r="L10" s="89">
        <f>IF(C10=0,0,ROUNDDOWN(K10*C10/100,1))</f>
        <v>0</v>
      </c>
      <c r="M10" s="24" t="s">
        <v>2173</v>
      </c>
      <c r="N10" s="16" t="s">
        <v>2171</v>
      </c>
      <c r="O10" s="6" t="s">
        <v>2172</v>
      </c>
      <c r="P10" s="6" t="s">
        <v>1128</v>
      </c>
      <c r="Z10" s="19" t="str">
        <f ca="1">HYPERLINK("#"&amp;재료비목록표!G2&amp;"!A"&amp;ROW(재료비목록표!A14),"자재   11 →")</f>
        <v>자재   11 →</v>
      </c>
    </row>
    <row r="11" spans="1:26" ht="28.7" customHeight="1" x14ac:dyDescent="0.3">
      <c r="A11" s="24" t="s">
        <v>6</v>
      </c>
      <c r="B11" s="58"/>
      <c r="C11" s="58"/>
      <c r="D11" s="58"/>
      <c r="E11" s="58"/>
      <c r="F11" s="55">
        <f>J11+H11+L11</f>
        <v>126000</v>
      </c>
      <c r="G11" s="58"/>
      <c r="H11" s="55">
        <f>ROUNDDOWN(SUMIF(P7:P10,O11,H7:H10),0)</f>
        <v>55700</v>
      </c>
      <c r="I11" s="58"/>
      <c r="J11" s="55">
        <f>ROUNDDOWN(SUMIF(P7:P10,O11,J7:J10),0)</f>
        <v>36888</v>
      </c>
      <c r="K11" s="58"/>
      <c r="L11" s="55">
        <f>ROUNDDOWN(SUMIF(P7:P10,O11,L7:L10),0)</f>
        <v>33412</v>
      </c>
      <c r="M11" s="58"/>
      <c r="O11" s="6" t="s">
        <v>1128</v>
      </c>
    </row>
    <row r="12" spans="1:26" ht="28.7" customHeight="1" x14ac:dyDescent="0.3">
      <c r="A12" s="83" t="s">
        <v>16</v>
      </c>
      <c r="B12" s="83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36" t="str">
        <f>HYPERLINK("#N"&amp;ROW(N17),"_x0005_`BDCOD|X00003_x0007_`POSS|"&amp;ROW(N14)&amp;"_x0007_`POSE|"&amp;ROW(N17)&amp;"_x0007_`")</f>
        <v>_x0005_`BDCOD|X00003_x0007_`POSS|14_x0007_`POSE|17_x0007_`</v>
      </c>
    </row>
    <row r="13" spans="1:26" ht="28.7" customHeight="1" x14ac:dyDescent="0.3">
      <c r="A13" s="43" t="s">
        <v>347</v>
      </c>
      <c r="B13" s="43"/>
      <c r="C13" s="85"/>
      <c r="D13" s="87" t="s">
        <v>344</v>
      </c>
      <c r="E13" s="85"/>
      <c r="F13" s="85"/>
      <c r="G13" s="85"/>
      <c r="H13" s="85"/>
      <c r="I13" s="85"/>
      <c r="J13" s="85"/>
      <c r="K13" s="85"/>
      <c r="L13" s="85"/>
      <c r="M13" s="87" t="s">
        <v>348</v>
      </c>
      <c r="O13" s="6" t="s">
        <v>346</v>
      </c>
    </row>
    <row r="14" spans="1:26" ht="28.7" customHeight="1" x14ac:dyDescent="0.3">
      <c r="A14" s="9" t="s">
        <v>347</v>
      </c>
      <c r="B14" s="9" t="s">
        <v>688</v>
      </c>
      <c r="C14" s="86">
        <v>0.20849999999999999</v>
      </c>
      <c r="D14" s="33" t="s">
        <v>685</v>
      </c>
      <c r="E14" s="62">
        <f t="shared" ref="E14:F17" si="1">I14+G14+K14</f>
        <v>62550</v>
      </c>
      <c r="F14" s="88">
        <f t="shared" si="1"/>
        <v>13041.6</v>
      </c>
      <c r="G14" s="59">
        <v>0</v>
      </c>
      <c r="H14" s="88">
        <f>IF(C14=0,0,ROUNDDOWN(G14*C14,1))</f>
        <v>0</v>
      </c>
      <c r="I14" s="59">
        <v>0</v>
      </c>
      <c r="J14" s="89">
        <f>IF(C14=0,0,ROUNDDOWN(I14*C14,1))</f>
        <v>0</v>
      </c>
      <c r="K14" s="90">
        <f>경비목록표!E5</f>
        <v>62550</v>
      </c>
      <c r="L14" s="92">
        <f>IF(C14=0,0,ROUNDDOWN(K14*C14,1))</f>
        <v>13041.6</v>
      </c>
      <c r="M14" s="24" t="s">
        <v>2176</v>
      </c>
      <c r="N14" s="16" t="s">
        <v>2174</v>
      </c>
      <c r="O14" s="6" t="s">
        <v>2175</v>
      </c>
      <c r="P14" s="6" t="s">
        <v>1128</v>
      </c>
      <c r="Z14" s="19" t="str">
        <f ca="1">HYPERLINK("#"&amp;경비목록표!G2&amp;"!A"&amp;ROW(경비목록표!A5),"경비    2 →")</f>
        <v>경비    2 →</v>
      </c>
    </row>
    <row r="15" spans="1:26" ht="28.7" customHeight="1" x14ac:dyDescent="0.3">
      <c r="A15" s="9" t="s">
        <v>665</v>
      </c>
      <c r="B15" s="9"/>
      <c r="C15" s="86">
        <v>1</v>
      </c>
      <c r="D15" s="33" t="s">
        <v>647</v>
      </c>
      <c r="E15" s="62">
        <f t="shared" si="1"/>
        <v>55700</v>
      </c>
      <c r="F15" s="89">
        <f t="shared" si="1"/>
        <v>55700</v>
      </c>
      <c r="G15" s="90">
        <f>환율및기초자료!G6</f>
        <v>55700</v>
      </c>
      <c r="H15" s="91">
        <f>IF(C15=0,0,ROUNDDOWN(G15*C15,1))</f>
        <v>55700</v>
      </c>
      <c r="I15" s="59">
        <v>0</v>
      </c>
      <c r="J15" s="88">
        <f>IF(C15=0,0,ROUNDDOWN(I15*C15,1))</f>
        <v>0</v>
      </c>
      <c r="K15" s="59">
        <v>0</v>
      </c>
      <c r="L15" s="89">
        <f>IF(C15=0,0,ROUNDDOWN(K15*C15,1))</f>
        <v>0</v>
      </c>
      <c r="M15" s="24" t="s">
        <v>2167</v>
      </c>
      <c r="N15" s="16" t="s">
        <v>2165</v>
      </c>
      <c r="O15" s="6" t="s">
        <v>2166</v>
      </c>
      <c r="P15" s="6" t="s">
        <v>1128</v>
      </c>
      <c r="Z15" s="19" t="str">
        <f ca="1">HYPERLINK("#"&amp;환율및기초자료!I2&amp;"!A"&amp;ROW(환율및기초자료!A6),"노무    7 →")</f>
        <v>노무    7 →</v>
      </c>
    </row>
    <row r="16" spans="1:26" ht="28.7" customHeight="1" x14ac:dyDescent="0.3">
      <c r="A16" s="9" t="s">
        <v>435</v>
      </c>
      <c r="B16" s="9" t="s">
        <v>436</v>
      </c>
      <c r="C16" s="86">
        <v>5</v>
      </c>
      <c r="D16" s="33" t="s">
        <v>431</v>
      </c>
      <c r="E16" s="62">
        <f t="shared" si="1"/>
        <v>1272</v>
      </c>
      <c r="F16" s="88">
        <f t="shared" si="1"/>
        <v>6360</v>
      </c>
      <c r="G16" s="59">
        <v>0</v>
      </c>
      <c r="H16" s="89">
        <f>IF(C16=0,0,ROUNDDOWN(G16*C16,1))</f>
        <v>0</v>
      </c>
      <c r="I16" s="90">
        <f>재료비목록표!E5</f>
        <v>1272</v>
      </c>
      <c r="J16" s="91">
        <f>IF(C16=0,0,ROUNDDOWN(I16*C16,1))</f>
        <v>6360</v>
      </c>
      <c r="K16" s="59">
        <v>0</v>
      </c>
      <c r="L16" s="89">
        <f>IF(C16=0,0,ROUNDDOWN(K16*C16,1))</f>
        <v>0</v>
      </c>
      <c r="M16" s="24" t="s">
        <v>2170</v>
      </c>
      <c r="N16" s="16" t="s">
        <v>2168</v>
      </c>
      <c r="O16" s="6" t="s">
        <v>2169</v>
      </c>
      <c r="P16" s="6" t="s">
        <v>1128</v>
      </c>
      <c r="Z16" s="19" t="str">
        <f ca="1">HYPERLINK("#"&amp;재료비목록표!G2&amp;"!A"&amp;ROW(재료비목록표!A5),"자재    2 →")</f>
        <v>자재    2 →</v>
      </c>
    </row>
    <row r="17" spans="1:26" ht="28.7" customHeight="1" x14ac:dyDescent="0.3">
      <c r="A17" s="9" t="s">
        <v>484</v>
      </c>
      <c r="B17" s="9" t="s">
        <v>485</v>
      </c>
      <c r="C17" s="86">
        <v>21</v>
      </c>
      <c r="D17" s="33" t="s">
        <v>480</v>
      </c>
      <c r="E17" s="62">
        <f t="shared" si="1"/>
        <v>6360</v>
      </c>
      <c r="F17" s="88">
        <f t="shared" si="1"/>
        <v>1335.6</v>
      </c>
      <c r="G17" s="59">
        <v>0</v>
      </c>
      <c r="H17" s="89">
        <f>IF(C17=0,0,ROUNDDOWN(G17*C17/100,1))</f>
        <v>0</v>
      </c>
      <c r="I17" s="90">
        <f>J16</f>
        <v>6360</v>
      </c>
      <c r="J17" s="91">
        <f>IF(C17=0,0,ROUNDDOWN(I17*C17/100,1))</f>
        <v>1335.6</v>
      </c>
      <c r="K17" s="59">
        <v>0</v>
      </c>
      <c r="L17" s="89">
        <f>IF(C17=0,0,ROUNDDOWN(K17*C17/100,1))</f>
        <v>0</v>
      </c>
      <c r="M17" s="24" t="s">
        <v>2173</v>
      </c>
      <c r="N17" s="16" t="s">
        <v>2171</v>
      </c>
      <c r="O17" s="6" t="s">
        <v>2172</v>
      </c>
      <c r="P17" s="6" t="s">
        <v>1128</v>
      </c>
      <c r="Z17" s="19" t="str">
        <f ca="1">HYPERLINK("#"&amp;재료비목록표!G2&amp;"!A"&amp;ROW(재료비목록표!A14),"자재   11 →")</f>
        <v>자재   11 →</v>
      </c>
    </row>
    <row r="18" spans="1:26" ht="28.7" customHeight="1" x14ac:dyDescent="0.3">
      <c r="A18" s="24" t="s">
        <v>6</v>
      </c>
      <c r="B18" s="58"/>
      <c r="C18" s="58"/>
      <c r="D18" s="58"/>
      <c r="E18" s="58"/>
      <c r="F18" s="55">
        <f>J18+H18+L18</f>
        <v>76436</v>
      </c>
      <c r="G18" s="58"/>
      <c r="H18" s="55">
        <f>ROUNDDOWN(SUMIF(P14:P17,O18,H14:H17),0)</f>
        <v>55700</v>
      </c>
      <c r="I18" s="58"/>
      <c r="J18" s="55">
        <f>ROUNDDOWN(SUMIF(P14:P17,O18,J14:J17),0)</f>
        <v>7695</v>
      </c>
      <c r="K18" s="58"/>
      <c r="L18" s="55">
        <f>ROUNDDOWN(SUMIF(P14:P17,O18,L14:L17),0)</f>
        <v>13041</v>
      </c>
      <c r="M18" s="58"/>
      <c r="O18" s="6" t="s">
        <v>1128</v>
      </c>
    </row>
    <row r="19" spans="1:26" ht="28.7" customHeight="1" x14ac:dyDescent="0.3">
      <c r="A19" s="83" t="s">
        <v>22</v>
      </c>
      <c r="B19" s="83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36" t="str">
        <f>HYPERLINK("#N"&amp;ROW(N24),"_x0005_`BDCOD|X00004_x0007_`POSS|"&amp;ROW(N21)&amp;"_x0007_`POSE|"&amp;ROW(N24)&amp;"_x0007_`")</f>
        <v>_x0005_`BDCOD|X00004_x0007_`POSS|21_x0007_`POSE|24_x0007_`</v>
      </c>
    </row>
    <row r="20" spans="1:26" ht="28.7" customHeight="1" x14ac:dyDescent="0.3">
      <c r="A20" s="43" t="s">
        <v>350</v>
      </c>
      <c r="B20" s="43"/>
      <c r="C20" s="85"/>
      <c r="D20" s="87" t="s">
        <v>344</v>
      </c>
      <c r="E20" s="85"/>
      <c r="F20" s="85"/>
      <c r="G20" s="85"/>
      <c r="H20" s="85"/>
      <c r="I20" s="85"/>
      <c r="J20" s="85"/>
      <c r="K20" s="85"/>
      <c r="L20" s="85"/>
      <c r="M20" s="87" t="s">
        <v>351</v>
      </c>
      <c r="O20" s="6" t="s">
        <v>349</v>
      </c>
    </row>
    <row r="21" spans="1:26" ht="28.7" customHeight="1" x14ac:dyDescent="0.3">
      <c r="A21" s="9" t="s">
        <v>350</v>
      </c>
      <c r="B21" s="9" t="s">
        <v>688</v>
      </c>
      <c r="C21" s="86">
        <v>0.20849999999999999</v>
      </c>
      <c r="D21" s="33" t="s">
        <v>685</v>
      </c>
      <c r="E21" s="62">
        <f t="shared" ref="E21:F24" si="2">I21+G21+K21</f>
        <v>78556</v>
      </c>
      <c r="F21" s="88">
        <f t="shared" si="2"/>
        <v>16378.9</v>
      </c>
      <c r="G21" s="59">
        <v>0</v>
      </c>
      <c r="H21" s="88">
        <f>IF(C21=0,0,ROUNDDOWN(G21*C21,1))</f>
        <v>0</v>
      </c>
      <c r="I21" s="59">
        <v>0</v>
      </c>
      <c r="J21" s="89">
        <f>IF(C21=0,0,ROUNDDOWN(I21*C21,1))</f>
        <v>0</v>
      </c>
      <c r="K21" s="90">
        <f>경비목록표!E6</f>
        <v>78556</v>
      </c>
      <c r="L21" s="92">
        <f>IF(C21=0,0,ROUNDDOWN(K21*C21,1))</f>
        <v>16378.9</v>
      </c>
      <c r="M21" s="24" t="s">
        <v>2179</v>
      </c>
      <c r="N21" s="16" t="s">
        <v>2177</v>
      </c>
      <c r="O21" s="6" t="s">
        <v>2178</v>
      </c>
      <c r="P21" s="6" t="s">
        <v>1128</v>
      </c>
      <c r="Z21" s="19" t="str">
        <f ca="1">HYPERLINK("#"&amp;경비목록표!G2&amp;"!A"&amp;ROW(경비목록표!A6),"경비    3 →")</f>
        <v>경비    3 →</v>
      </c>
    </row>
    <row r="22" spans="1:26" ht="28.7" customHeight="1" x14ac:dyDescent="0.3">
      <c r="A22" s="9" t="s">
        <v>665</v>
      </c>
      <c r="B22" s="9"/>
      <c r="C22" s="86">
        <v>1</v>
      </c>
      <c r="D22" s="33" t="s">
        <v>647</v>
      </c>
      <c r="E22" s="62">
        <f t="shared" si="2"/>
        <v>55700</v>
      </c>
      <c r="F22" s="89">
        <f t="shared" si="2"/>
        <v>55700</v>
      </c>
      <c r="G22" s="90">
        <f>환율및기초자료!G6</f>
        <v>55700</v>
      </c>
      <c r="H22" s="91">
        <f>IF(C22=0,0,ROUNDDOWN(G22*C22,1))</f>
        <v>55700</v>
      </c>
      <c r="I22" s="59">
        <v>0</v>
      </c>
      <c r="J22" s="88">
        <f>IF(C22=0,0,ROUNDDOWN(I22*C22,1))</f>
        <v>0</v>
      </c>
      <c r="K22" s="59">
        <v>0</v>
      </c>
      <c r="L22" s="89">
        <f>IF(C22=0,0,ROUNDDOWN(K22*C22,1))</f>
        <v>0</v>
      </c>
      <c r="M22" s="24" t="s">
        <v>2167</v>
      </c>
      <c r="N22" s="16" t="s">
        <v>2165</v>
      </c>
      <c r="O22" s="6" t="s">
        <v>2166</v>
      </c>
      <c r="P22" s="6" t="s">
        <v>1128</v>
      </c>
      <c r="Z22" s="19" t="str">
        <f ca="1">HYPERLINK("#"&amp;환율및기초자료!I2&amp;"!A"&amp;ROW(환율및기초자료!A6),"노무    7 →")</f>
        <v>노무    7 →</v>
      </c>
    </row>
    <row r="23" spans="1:26" ht="28.7" customHeight="1" x14ac:dyDescent="0.3">
      <c r="A23" s="9" t="s">
        <v>435</v>
      </c>
      <c r="B23" s="9" t="s">
        <v>436</v>
      </c>
      <c r="C23" s="86">
        <v>9.9</v>
      </c>
      <c r="D23" s="33" t="s">
        <v>431</v>
      </c>
      <c r="E23" s="62">
        <f t="shared" si="2"/>
        <v>1272</v>
      </c>
      <c r="F23" s="88">
        <f t="shared" si="2"/>
        <v>12592.8</v>
      </c>
      <c r="G23" s="59">
        <v>0</v>
      </c>
      <c r="H23" s="89">
        <f>IF(C23=0,0,ROUNDDOWN(G23*C23,1))</f>
        <v>0</v>
      </c>
      <c r="I23" s="90">
        <f>재료비목록표!E5</f>
        <v>1272</v>
      </c>
      <c r="J23" s="91">
        <f>IF(C23=0,0,ROUNDDOWN(I23*C23,1))</f>
        <v>12592.8</v>
      </c>
      <c r="K23" s="59">
        <v>0</v>
      </c>
      <c r="L23" s="89">
        <f>IF(C23=0,0,ROUNDDOWN(K23*C23,1))</f>
        <v>0</v>
      </c>
      <c r="M23" s="24" t="s">
        <v>2170</v>
      </c>
      <c r="N23" s="16" t="s">
        <v>2168</v>
      </c>
      <c r="O23" s="6" t="s">
        <v>2169</v>
      </c>
      <c r="P23" s="6" t="s">
        <v>1128</v>
      </c>
      <c r="Z23" s="19" t="str">
        <f ca="1">HYPERLINK("#"&amp;재료비목록표!G2&amp;"!A"&amp;ROW(재료비목록표!A5),"자재    2 →")</f>
        <v>자재    2 →</v>
      </c>
    </row>
    <row r="24" spans="1:26" ht="28.7" customHeight="1" x14ac:dyDescent="0.3">
      <c r="A24" s="9" t="s">
        <v>484</v>
      </c>
      <c r="B24" s="9" t="s">
        <v>485</v>
      </c>
      <c r="C24" s="86">
        <v>22</v>
      </c>
      <c r="D24" s="33" t="s">
        <v>480</v>
      </c>
      <c r="E24" s="62">
        <f t="shared" si="2"/>
        <v>12592.8</v>
      </c>
      <c r="F24" s="88">
        <f t="shared" si="2"/>
        <v>2770.4</v>
      </c>
      <c r="G24" s="59">
        <v>0</v>
      </c>
      <c r="H24" s="89">
        <f>IF(C24=0,0,ROUNDDOWN(G24*C24/100,1))</f>
        <v>0</v>
      </c>
      <c r="I24" s="90">
        <f>J23</f>
        <v>12592.8</v>
      </c>
      <c r="J24" s="91">
        <f>IF(C24=0,0,ROUNDDOWN(I24*C24/100,1))</f>
        <v>2770.4</v>
      </c>
      <c r="K24" s="59">
        <v>0</v>
      </c>
      <c r="L24" s="89">
        <f>IF(C24=0,0,ROUNDDOWN(K24*C24/100,1))</f>
        <v>0</v>
      </c>
      <c r="M24" s="24" t="s">
        <v>2173</v>
      </c>
      <c r="N24" s="16" t="s">
        <v>2171</v>
      </c>
      <c r="O24" s="6" t="s">
        <v>2172</v>
      </c>
      <c r="P24" s="6" t="s">
        <v>1128</v>
      </c>
      <c r="Z24" s="19" t="str">
        <f ca="1">HYPERLINK("#"&amp;재료비목록표!G2&amp;"!A"&amp;ROW(재료비목록표!A14),"자재   11 →")</f>
        <v>자재   11 →</v>
      </c>
    </row>
    <row r="25" spans="1:26" ht="28.7" customHeight="1" x14ac:dyDescent="0.3">
      <c r="A25" s="24" t="s">
        <v>6</v>
      </c>
      <c r="B25" s="58"/>
      <c r="C25" s="58"/>
      <c r="D25" s="58"/>
      <c r="E25" s="58"/>
      <c r="F25" s="55">
        <f>J25+H25+L25</f>
        <v>87441</v>
      </c>
      <c r="G25" s="58"/>
      <c r="H25" s="55">
        <f>ROUNDDOWN(SUMIF(P21:P24,O25,H21:H24),0)</f>
        <v>55700</v>
      </c>
      <c r="I25" s="58"/>
      <c r="J25" s="55">
        <f>ROUNDDOWN(SUMIF(P21:P24,O25,J21:J24),0)</f>
        <v>15363</v>
      </c>
      <c r="K25" s="58"/>
      <c r="L25" s="55">
        <f>ROUNDDOWN(SUMIF(P21:P24,O25,L21:L24),0)</f>
        <v>16378</v>
      </c>
      <c r="M25" s="58"/>
      <c r="O25" s="6" t="s">
        <v>1128</v>
      </c>
    </row>
    <row r="26" spans="1:26" ht="28.7" customHeight="1" x14ac:dyDescent="0.3">
      <c r="A26" s="83" t="s">
        <v>26</v>
      </c>
      <c r="B26" s="83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36" t="str">
        <f>HYPERLINK("#N"&amp;ROW(N31),"_x0005_`BDCOD|X00005_x0007_`POSS|"&amp;ROW(N28)&amp;"_x0007_`POSE|"&amp;ROW(N31)&amp;"_x0007_`")</f>
        <v>_x0005_`BDCOD|X00005_x0007_`POSS|28_x0007_`POSE|31_x0007_`</v>
      </c>
    </row>
    <row r="27" spans="1:26" ht="28.7" customHeight="1" x14ac:dyDescent="0.3">
      <c r="A27" s="43" t="s">
        <v>353</v>
      </c>
      <c r="B27" s="43"/>
      <c r="C27" s="85"/>
      <c r="D27" s="87" t="s">
        <v>344</v>
      </c>
      <c r="E27" s="85"/>
      <c r="F27" s="85"/>
      <c r="G27" s="85"/>
      <c r="H27" s="85"/>
      <c r="I27" s="85"/>
      <c r="J27" s="85"/>
      <c r="K27" s="85"/>
      <c r="L27" s="85"/>
      <c r="M27" s="87" t="s">
        <v>354</v>
      </c>
      <c r="O27" s="6" t="s">
        <v>352</v>
      </c>
    </row>
    <row r="28" spans="1:26" ht="28.7" customHeight="1" x14ac:dyDescent="0.3">
      <c r="A28" s="9" t="s">
        <v>353</v>
      </c>
      <c r="B28" s="9" t="s">
        <v>688</v>
      </c>
      <c r="C28" s="86">
        <v>0.20849999999999999</v>
      </c>
      <c r="D28" s="33" t="s">
        <v>685</v>
      </c>
      <c r="E28" s="62">
        <f t="shared" ref="E28:F31" si="3">I28+G28+K28</f>
        <v>110926</v>
      </c>
      <c r="F28" s="88">
        <f t="shared" si="3"/>
        <v>23128</v>
      </c>
      <c r="G28" s="59">
        <v>0</v>
      </c>
      <c r="H28" s="88">
        <f>IF(C28=0,0,ROUNDDOWN(G28*C28,1))</f>
        <v>0</v>
      </c>
      <c r="I28" s="59">
        <v>0</v>
      </c>
      <c r="J28" s="89">
        <f>IF(C28=0,0,ROUNDDOWN(I28*C28,1))</f>
        <v>0</v>
      </c>
      <c r="K28" s="90">
        <f>경비목록표!E7</f>
        <v>110926</v>
      </c>
      <c r="L28" s="92">
        <f>IF(C28=0,0,ROUNDDOWN(K28*C28,1))</f>
        <v>23128</v>
      </c>
      <c r="M28" s="24" t="s">
        <v>2182</v>
      </c>
      <c r="N28" s="16" t="s">
        <v>2180</v>
      </c>
      <c r="O28" s="6" t="s">
        <v>2181</v>
      </c>
      <c r="P28" s="6" t="s">
        <v>1128</v>
      </c>
      <c r="Z28" s="19" t="str">
        <f ca="1">HYPERLINK("#"&amp;경비목록표!G2&amp;"!A"&amp;ROW(경비목록표!A7),"경비    4 →")</f>
        <v>경비    4 →</v>
      </c>
    </row>
    <row r="29" spans="1:26" ht="28.7" customHeight="1" x14ac:dyDescent="0.3">
      <c r="A29" s="9" t="s">
        <v>665</v>
      </c>
      <c r="B29" s="9"/>
      <c r="C29" s="86">
        <v>1</v>
      </c>
      <c r="D29" s="33" t="s">
        <v>647</v>
      </c>
      <c r="E29" s="62">
        <f t="shared" si="3"/>
        <v>55700</v>
      </c>
      <c r="F29" s="89">
        <f t="shared" si="3"/>
        <v>55700</v>
      </c>
      <c r="G29" s="90">
        <f>환율및기초자료!G6</f>
        <v>55700</v>
      </c>
      <c r="H29" s="91">
        <f>IF(C29=0,0,ROUNDDOWN(G29*C29,1))</f>
        <v>55700</v>
      </c>
      <c r="I29" s="59">
        <v>0</v>
      </c>
      <c r="J29" s="88">
        <f>IF(C29=0,0,ROUNDDOWN(I29*C29,1))</f>
        <v>0</v>
      </c>
      <c r="K29" s="59">
        <v>0</v>
      </c>
      <c r="L29" s="89">
        <f>IF(C29=0,0,ROUNDDOWN(K29*C29,1))</f>
        <v>0</v>
      </c>
      <c r="M29" s="24" t="s">
        <v>2167</v>
      </c>
      <c r="N29" s="16" t="s">
        <v>2165</v>
      </c>
      <c r="O29" s="6" t="s">
        <v>2166</v>
      </c>
      <c r="P29" s="6" t="s">
        <v>1128</v>
      </c>
      <c r="Z29" s="19" t="str">
        <f ca="1">HYPERLINK("#"&amp;환율및기초자료!I2&amp;"!A"&amp;ROW(환율및기초자료!A6),"노무    7 →")</f>
        <v>노무    7 →</v>
      </c>
    </row>
    <row r="30" spans="1:26" ht="28.7" customHeight="1" x14ac:dyDescent="0.3">
      <c r="A30" s="9" t="s">
        <v>435</v>
      </c>
      <c r="B30" s="9" t="s">
        <v>436</v>
      </c>
      <c r="C30" s="86">
        <v>11.6</v>
      </c>
      <c r="D30" s="33" t="s">
        <v>431</v>
      </c>
      <c r="E30" s="62">
        <f t="shared" si="3"/>
        <v>1272</v>
      </c>
      <c r="F30" s="88">
        <f t="shared" si="3"/>
        <v>14755.2</v>
      </c>
      <c r="G30" s="59">
        <v>0</v>
      </c>
      <c r="H30" s="89">
        <f>IF(C30=0,0,ROUNDDOWN(G30*C30,1))</f>
        <v>0</v>
      </c>
      <c r="I30" s="90">
        <f>재료비목록표!E5</f>
        <v>1272</v>
      </c>
      <c r="J30" s="91">
        <f>IF(C30=0,0,ROUNDDOWN(I30*C30,1))</f>
        <v>14755.2</v>
      </c>
      <c r="K30" s="59">
        <v>0</v>
      </c>
      <c r="L30" s="89">
        <f>IF(C30=0,0,ROUNDDOWN(K30*C30,1))</f>
        <v>0</v>
      </c>
      <c r="M30" s="24" t="s">
        <v>2170</v>
      </c>
      <c r="N30" s="16" t="s">
        <v>2168</v>
      </c>
      <c r="O30" s="6" t="s">
        <v>2169</v>
      </c>
      <c r="P30" s="6" t="s">
        <v>1128</v>
      </c>
      <c r="Z30" s="19" t="str">
        <f ca="1">HYPERLINK("#"&amp;재료비목록표!G2&amp;"!A"&amp;ROW(재료비목록표!A5),"자재    2 →")</f>
        <v>자재    2 →</v>
      </c>
    </row>
    <row r="31" spans="1:26" ht="28.7" customHeight="1" x14ac:dyDescent="0.3">
      <c r="A31" s="9" t="s">
        <v>484</v>
      </c>
      <c r="B31" s="9" t="s">
        <v>485</v>
      </c>
      <c r="C31" s="86">
        <v>22</v>
      </c>
      <c r="D31" s="33" t="s">
        <v>480</v>
      </c>
      <c r="E31" s="62">
        <f t="shared" si="3"/>
        <v>14755.2</v>
      </c>
      <c r="F31" s="88">
        <f t="shared" si="3"/>
        <v>3246.1</v>
      </c>
      <c r="G31" s="59">
        <v>0</v>
      </c>
      <c r="H31" s="89">
        <f>IF(C31=0,0,ROUNDDOWN(G31*C31/100,1))</f>
        <v>0</v>
      </c>
      <c r="I31" s="90">
        <f>J30</f>
        <v>14755.2</v>
      </c>
      <c r="J31" s="91">
        <f>IF(C31=0,0,ROUNDDOWN(I31*C31/100,1))</f>
        <v>3246.1</v>
      </c>
      <c r="K31" s="59">
        <v>0</v>
      </c>
      <c r="L31" s="89">
        <f>IF(C31=0,0,ROUNDDOWN(K31*C31/100,1))</f>
        <v>0</v>
      </c>
      <c r="M31" s="24" t="s">
        <v>2173</v>
      </c>
      <c r="N31" s="16" t="s">
        <v>2171</v>
      </c>
      <c r="O31" s="6" t="s">
        <v>2172</v>
      </c>
      <c r="P31" s="6" t="s">
        <v>1128</v>
      </c>
      <c r="Z31" s="19" t="str">
        <f ca="1">HYPERLINK("#"&amp;재료비목록표!G2&amp;"!A"&amp;ROW(재료비목록표!A14),"자재   11 →")</f>
        <v>자재   11 →</v>
      </c>
    </row>
    <row r="32" spans="1:26" ht="28.7" customHeight="1" x14ac:dyDescent="0.3">
      <c r="A32" s="24" t="s">
        <v>6</v>
      </c>
      <c r="B32" s="58"/>
      <c r="C32" s="58"/>
      <c r="D32" s="58"/>
      <c r="E32" s="58"/>
      <c r="F32" s="55">
        <f>J32+H32+L32</f>
        <v>96829</v>
      </c>
      <c r="G32" s="58"/>
      <c r="H32" s="55">
        <f>ROUNDDOWN(SUMIF(P28:P31,O32,H28:H31),0)</f>
        <v>55700</v>
      </c>
      <c r="I32" s="58"/>
      <c r="J32" s="55">
        <f>ROUNDDOWN(SUMIF(P28:P31,O32,J28:J31),0)</f>
        <v>18001</v>
      </c>
      <c r="K32" s="58"/>
      <c r="L32" s="55">
        <f>ROUNDDOWN(SUMIF(P28:P31,O32,L28:L31),0)</f>
        <v>23128</v>
      </c>
      <c r="M32" s="58"/>
      <c r="O32" s="6" t="s">
        <v>1128</v>
      </c>
    </row>
    <row r="33" spans="1:26" ht="28.7" customHeight="1" x14ac:dyDescent="0.3">
      <c r="A33" s="83" t="s">
        <v>32</v>
      </c>
      <c r="B33" s="83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36" t="str">
        <f>HYPERLINK("#N"&amp;ROW(N38),"_x0005_`BDCOD|X00006_x0007_`POSS|"&amp;ROW(N35)&amp;"_x0007_`POSE|"&amp;ROW(N38)&amp;"_x0007_`")</f>
        <v>_x0005_`BDCOD|X00006_x0007_`POSS|35_x0007_`POSE|38_x0007_`</v>
      </c>
    </row>
    <row r="34" spans="1:26" ht="28.7" customHeight="1" x14ac:dyDescent="0.3">
      <c r="A34" s="43" t="s">
        <v>356</v>
      </c>
      <c r="B34" s="43"/>
      <c r="C34" s="85"/>
      <c r="D34" s="87" t="s">
        <v>344</v>
      </c>
      <c r="E34" s="85"/>
      <c r="F34" s="85"/>
      <c r="G34" s="85"/>
      <c r="H34" s="85"/>
      <c r="I34" s="85"/>
      <c r="J34" s="85"/>
      <c r="K34" s="85"/>
      <c r="L34" s="85"/>
      <c r="M34" s="87" t="s">
        <v>357</v>
      </c>
      <c r="O34" s="6" t="s">
        <v>355</v>
      </c>
    </row>
    <row r="35" spans="1:26" ht="28.7" customHeight="1" x14ac:dyDescent="0.3">
      <c r="A35" s="9" t="s">
        <v>356</v>
      </c>
      <c r="B35" s="9" t="s">
        <v>688</v>
      </c>
      <c r="C35" s="86">
        <v>0.20849999999999999</v>
      </c>
      <c r="D35" s="33" t="s">
        <v>685</v>
      </c>
      <c r="E35" s="62">
        <f t="shared" ref="E35:F38" si="4">I35+G35+K35</f>
        <v>133819</v>
      </c>
      <c r="F35" s="88">
        <f t="shared" si="4"/>
        <v>27901.200000000001</v>
      </c>
      <c r="G35" s="59">
        <v>0</v>
      </c>
      <c r="H35" s="88">
        <f>IF(C35=0,0,ROUNDDOWN(G35*C35,1))</f>
        <v>0</v>
      </c>
      <c r="I35" s="59">
        <v>0</v>
      </c>
      <c r="J35" s="89">
        <f>IF(C35=0,0,ROUNDDOWN(I35*C35,1))</f>
        <v>0</v>
      </c>
      <c r="K35" s="90">
        <f>경비목록표!E8</f>
        <v>133819</v>
      </c>
      <c r="L35" s="92">
        <f>IF(C35=0,0,ROUNDDOWN(K35*C35,1))</f>
        <v>27901.200000000001</v>
      </c>
      <c r="M35" s="24" t="s">
        <v>2185</v>
      </c>
      <c r="N35" s="16" t="s">
        <v>2183</v>
      </c>
      <c r="O35" s="6" t="s">
        <v>2184</v>
      </c>
      <c r="P35" s="6" t="s">
        <v>1128</v>
      </c>
      <c r="Z35" s="19" t="str">
        <f ca="1">HYPERLINK("#"&amp;경비목록표!G2&amp;"!A"&amp;ROW(경비목록표!A8),"경비    5 →")</f>
        <v>경비    5 →</v>
      </c>
    </row>
    <row r="36" spans="1:26" ht="28.7" customHeight="1" x14ac:dyDescent="0.3">
      <c r="A36" s="9" t="s">
        <v>665</v>
      </c>
      <c r="B36" s="9"/>
      <c r="C36" s="86">
        <v>1</v>
      </c>
      <c r="D36" s="33" t="s">
        <v>647</v>
      </c>
      <c r="E36" s="62">
        <f t="shared" si="4"/>
        <v>55700</v>
      </c>
      <c r="F36" s="89">
        <f t="shared" si="4"/>
        <v>55700</v>
      </c>
      <c r="G36" s="90">
        <f>환율및기초자료!G6</f>
        <v>55700</v>
      </c>
      <c r="H36" s="91">
        <f>IF(C36=0,0,ROUNDDOWN(G36*C36,1))</f>
        <v>55700</v>
      </c>
      <c r="I36" s="59">
        <v>0</v>
      </c>
      <c r="J36" s="88">
        <f>IF(C36=0,0,ROUNDDOWN(I36*C36,1))</f>
        <v>0</v>
      </c>
      <c r="K36" s="59">
        <v>0</v>
      </c>
      <c r="L36" s="89">
        <f>IF(C36=0,0,ROUNDDOWN(K36*C36,1))</f>
        <v>0</v>
      </c>
      <c r="M36" s="24" t="s">
        <v>2167</v>
      </c>
      <c r="N36" s="16" t="s">
        <v>2165</v>
      </c>
      <c r="O36" s="6" t="s">
        <v>2166</v>
      </c>
      <c r="P36" s="6" t="s">
        <v>1128</v>
      </c>
      <c r="Z36" s="19" t="str">
        <f ca="1">HYPERLINK("#"&amp;환율및기초자료!I2&amp;"!A"&amp;ROW(환율및기초자료!A6),"노무    7 →")</f>
        <v>노무    7 →</v>
      </c>
    </row>
    <row r="37" spans="1:26" ht="28.7" customHeight="1" x14ac:dyDescent="0.3">
      <c r="A37" s="9" t="s">
        <v>435</v>
      </c>
      <c r="B37" s="9" t="s">
        <v>436</v>
      </c>
      <c r="C37" s="86">
        <v>19.5</v>
      </c>
      <c r="D37" s="33" t="s">
        <v>431</v>
      </c>
      <c r="E37" s="62">
        <f t="shared" si="4"/>
        <v>1272</v>
      </c>
      <c r="F37" s="88">
        <f t="shared" si="4"/>
        <v>24804</v>
      </c>
      <c r="G37" s="59">
        <v>0</v>
      </c>
      <c r="H37" s="89">
        <f>IF(C37=0,0,ROUNDDOWN(G37*C37,1))</f>
        <v>0</v>
      </c>
      <c r="I37" s="90">
        <f>재료비목록표!E5</f>
        <v>1272</v>
      </c>
      <c r="J37" s="91">
        <f>IF(C37=0,0,ROUNDDOWN(I37*C37,1))</f>
        <v>24804</v>
      </c>
      <c r="K37" s="59">
        <v>0</v>
      </c>
      <c r="L37" s="89">
        <f>IF(C37=0,0,ROUNDDOWN(K37*C37,1))</f>
        <v>0</v>
      </c>
      <c r="M37" s="24" t="s">
        <v>2170</v>
      </c>
      <c r="N37" s="16" t="s">
        <v>2168</v>
      </c>
      <c r="O37" s="6" t="s">
        <v>2169</v>
      </c>
      <c r="P37" s="6" t="s">
        <v>1128</v>
      </c>
      <c r="Z37" s="19" t="str">
        <f ca="1">HYPERLINK("#"&amp;재료비목록표!G2&amp;"!A"&amp;ROW(재료비목록표!A5),"자재    2 →")</f>
        <v>자재    2 →</v>
      </c>
    </row>
    <row r="38" spans="1:26" ht="28.7" customHeight="1" x14ac:dyDescent="0.3">
      <c r="A38" s="9" t="s">
        <v>484</v>
      </c>
      <c r="B38" s="9" t="s">
        <v>485</v>
      </c>
      <c r="C38" s="86">
        <v>22</v>
      </c>
      <c r="D38" s="33" t="s">
        <v>480</v>
      </c>
      <c r="E38" s="62">
        <f t="shared" si="4"/>
        <v>24804</v>
      </c>
      <c r="F38" s="88">
        <f t="shared" si="4"/>
        <v>5456.8</v>
      </c>
      <c r="G38" s="59">
        <v>0</v>
      </c>
      <c r="H38" s="89">
        <f>IF(C38=0,0,ROUNDDOWN(G38*C38/100,1))</f>
        <v>0</v>
      </c>
      <c r="I38" s="90">
        <f>J37</f>
        <v>24804</v>
      </c>
      <c r="J38" s="91">
        <f>IF(C38=0,0,ROUNDDOWN(I38*C38/100,1))</f>
        <v>5456.8</v>
      </c>
      <c r="K38" s="59">
        <v>0</v>
      </c>
      <c r="L38" s="89">
        <f>IF(C38=0,0,ROUNDDOWN(K38*C38/100,1))</f>
        <v>0</v>
      </c>
      <c r="M38" s="24" t="s">
        <v>2173</v>
      </c>
      <c r="N38" s="16" t="s">
        <v>2171</v>
      </c>
      <c r="O38" s="6" t="s">
        <v>2172</v>
      </c>
      <c r="P38" s="6" t="s">
        <v>1128</v>
      </c>
      <c r="Z38" s="19" t="str">
        <f ca="1">HYPERLINK("#"&amp;재료비목록표!G2&amp;"!A"&amp;ROW(재료비목록표!A14),"자재   11 →")</f>
        <v>자재   11 →</v>
      </c>
    </row>
    <row r="39" spans="1:26" ht="28.7" customHeight="1" x14ac:dyDescent="0.3">
      <c r="A39" s="24" t="s">
        <v>6</v>
      </c>
      <c r="B39" s="58"/>
      <c r="C39" s="58"/>
      <c r="D39" s="58"/>
      <c r="E39" s="58"/>
      <c r="F39" s="55">
        <f>J39+H39+L39</f>
        <v>113861</v>
      </c>
      <c r="G39" s="58"/>
      <c r="H39" s="55">
        <f>ROUNDDOWN(SUMIF(P35:P38,O39,H35:H38),0)</f>
        <v>55700</v>
      </c>
      <c r="I39" s="58"/>
      <c r="J39" s="55">
        <f>ROUNDDOWN(SUMIF(P35:P38,O39,J35:J38),0)</f>
        <v>30260</v>
      </c>
      <c r="K39" s="58"/>
      <c r="L39" s="55">
        <f>ROUNDDOWN(SUMIF(P35:P38,O39,L35:L38),0)</f>
        <v>27901</v>
      </c>
      <c r="M39" s="58"/>
      <c r="O39" s="6" t="s">
        <v>1128</v>
      </c>
    </row>
    <row r="40" spans="1:26" ht="28.7" customHeight="1" x14ac:dyDescent="0.3">
      <c r="A40" s="83" t="s">
        <v>38</v>
      </c>
      <c r="B40" s="83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36" t="str">
        <f>HYPERLINK("#N"&amp;ROW(N45),"_x0005_`BDCOD|X00009_x0007_`POSS|"&amp;ROW(N42)&amp;"_x0007_`POSE|"&amp;ROW(N45)&amp;"_x0007_`")</f>
        <v>_x0005_`BDCOD|X00009_x0007_`POSS|42_x0007_`POSE|45_x0007_`</v>
      </c>
    </row>
    <row r="41" spans="1:26" ht="28.7" customHeight="1" x14ac:dyDescent="0.3">
      <c r="A41" s="43" t="s">
        <v>353</v>
      </c>
      <c r="B41" s="43" t="s">
        <v>359</v>
      </c>
      <c r="C41" s="85"/>
      <c r="D41" s="87" t="s">
        <v>344</v>
      </c>
      <c r="E41" s="85"/>
      <c r="F41" s="85"/>
      <c r="G41" s="85"/>
      <c r="H41" s="85"/>
      <c r="I41" s="85"/>
      <c r="J41" s="85"/>
      <c r="K41" s="85"/>
      <c r="L41" s="85"/>
      <c r="M41" s="87" t="s">
        <v>360</v>
      </c>
      <c r="O41" s="6" t="s">
        <v>358</v>
      </c>
    </row>
    <row r="42" spans="1:26" ht="28.7" customHeight="1" x14ac:dyDescent="0.3">
      <c r="A42" s="9" t="s">
        <v>353</v>
      </c>
      <c r="B42" s="9" t="s">
        <v>688</v>
      </c>
      <c r="C42" s="86">
        <v>0.24049999999999999</v>
      </c>
      <c r="D42" s="33" t="s">
        <v>685</v>
      </c>
      <c r="E42" s="62">
        <f t="shared" ref="E42:F45" si="5">I42+G42+K42</f>
        <v>110926</v>
      </c>
      <c r="F42" s="88">
        <f t="shared" si="5"/>
        <v>26677.7</v>
      </c>
      <c r="G42" s="59">
        <v>0</v>
      </c>
      <c r="H42" s="88">
        <f>IF(C42=0,0,ROUNDDOWN(G42*C42,1))</f>
        <v>0</v>
      </c>
      <c r="I42" s="59">
        <v>0</v>
      </c>
      <c r="J42" s="89">
        <f>IF(C42=0,0,ROUNDDOWN(I42*C42,1))</f>
        <v>0</v>
      </c>
      <c r="K42" s="90">
        <f>경비목록표!E7</f>
        <v>110926</v>
      </c>
      <c r="L42" s="92">
        <f>IF(C42=0,0,ROUNDDOWN(K42*C42,1))</f>
        <v>26677.7</v>
      </c>
      <c r="M42" s="24" t="s">
        <v>2182</v>
      </c>
      <c r="N42" s="16" t="s">
        <v>2180</v>
      </c>
      <c r="O42" s="6" t="s">
        <v>2181</v>
      </c>
      <c r="P42" s="6" t="s">
        <v>1128</v>
      </c>
      <c r="Z42" s="19" t="str">
        <f ca="1">HYPERLINK("#"&amp;경비목록표!G2&amp;"!A"&amp;ROW(경비목록표!A7),"경비    4 →")</f>
        <v>경비    4 →</v>
      </c>
    </row>
    <row r="43" spans="1:26" ht="28.7" customHeight="1" x14ac:dyDescent="0.3">
      <c r="A43" s="9" t="s">
        <v>665</v>
      </c>
      <c r="B43" s="9"/>
      <c r="C43" s="86">
        <v>1</v>
      </c>
      <c r="D43" s="33" t="s">
        <v>647</v>
      </c>
      <c r="E43" s="62">
        <f t="shared" si="5"/>
        <v>55700</v>
      </c>
      <c r="F43" s="89">
        <f t="shared" si="5"/>
        <v>55700</v>
      </c>
      <c r="G43" s="90">
        <f>환율및기초자료!G6</f>
        <v>55700</v>
      </c>
      <c r="H43" s="91">
        <f>IF(C43=0,0,ROUNDDOWN(G43*C43,1))</f>
        <v>55700</v>
      </c>
      <c r="I43" s="59">
        <v>0</v>
      </c>
      <c r="J43" s="88">
        <f>IF(C43=0,0,ROUNDDOWN(I43*C43,1))</f>
        <v>0</v>
      </c>
      <c r="K43" s="59">
        <v>0</v>
      </c>
      <c r="L43" s="89">
        <f>IF(C43=0,0,ROUNDDOWN(K43*C43,1))</f>
        <v>0</v>
      </c>
      <c r="M43" s="24" t="s">
        <v>2167</v>
      </c>
      <c r="N43" s="16" t="s">
        <v>2165</v>
      </c>
      <c r="O43" s="6" t="s">
        <v>2166</v>
      </c>
      <c r="P43" s="6" t="s">
        <v>1128</v>
      </c>
      <c r="Z43" s="19" t="str">
        <f ca="1">HYPERLINK("#"&amp;환율및기초자료!I2&amp;"!A"&amp;ROW(환율및기초자료!A6),"노무    7 →")</f>
        <v>노무    7 →</v>
      </c>
    </row>
    <row r="44" spans="1:26" ht="28.7" customHeight="1" x14ac:dyDescent="0.3">
      <c r="A44" s="9" t="s">
        <v>435</v>
      </c>
      <c r="B44" s="9" t="s">
        <v>436</v>
      </c>
      <c r="C44" s="86">
        <v>11.6</v>
      </c>
      <c r="D44" s="33" t="s">
        <v>431</v>
      </c>
      <c r="E44" s="62">
        <f t="shared" si="5"/>
        <v>1272</v>
      </c>
      <c r="F44" s="88">
        <f t="shared" si="5"/>
        <v>14755.2</v>
      </c>
      <c r="G44" s="59">
        <v>0</v>
      </c>
      <c r="H44" s="89">
        <f>IF(C44=0,0,ROUNDDOWN(G44*C44,1))</f>
        <v>0</v>
      </c>
      <c r="I44" s="90">
        <f>재료비목록표!E5</f>
        <v>1272</v>
      </c>
      <c r="J44" s="91">
        <f>IF(C44=0,0,ROUNDDOWN(I44*C44,1))</f>
        <v>14755.2</v>
      </c>
      <c r="K44" s="59">
        <v>0</v>
      </c>
      <c r="L44" s="89">
        <f>IF(C44=0,0,ROUNDDOWN(K44*C44,1))</f>
        <v>0</v>
      </c>
      <c r="M44" s="24" t="s">
        <v>2170</v>
      </c>
      <c r="N44" s="16" t="s">
        <v>2168</v>
      </c>
      <c r="O44" s="6" t="s">
        <v>2169</v>
      </c>
      <c r="P44" s="6" t="s">
        <v>1128</v>
      </c>
      <c r="Z44" s="19" t="str">
        <f ca="1">HYPERLINK("#"&amp;재료비목록표!G2&amp;"!A"&amp;ROW(재료비목록표!A5),"자재    2 →")</f>
        <v>자재    2 →</v>
      </c>
    </row>
    <row r="45" spans="1:26" ht="28.7" customHeight="1" x14ac:dyDescent="0.3">
      <c r="A45" s="9" t="s">
        <v>484</v>
      </c>
      <c r="B45" s="9" t="s">
        <v>485</v>
      </c>
      <c r="C45" s="86">
        <v>22</v>
      </c>
      <c r="D45" s="33" t="s">
        <v>480</v>
      </c>
      <c r="E45" s="62">
        <f t="shared" si="5"/>
        <v>14755.2</v>
      </c>
      <c r="F45" s="88">
        <f t="shared" si="5"/>
        <v>3246.1</v>
      </c>
      <c r="G45" s="59">
        <v>0</v>
      </c>
      <c r="H45" s="89">
        <f>IF(C45=0,0,ROUNDDOWN(G45*C45/100,1))</f>
        <v>0</v>
      </c>
      <c r="I45" s="90">
        <f>J44</f>
        <v>14755.2</v>
      </c>
      <c r="J45" s="91">
        <f>IF(C45=0,0,ROUNDDOWN(I45*C45/100,1))</f>
        <v>3246.1</v>
      </c>
      <c r="K45" s="59">
        <v>0</v>
      </c>
      <c r="L45" s="89">
        <f>IF(C45=0,0,ROUNDDOWN(K45*C45/100,1))</f>
        <v>0</v>
      </c>
      <c r="M45" s="24" t="s">
        <v>2173</v>
      </c>
      <c r="N45" s="16" t="s">
        <v>2171</v>
      </c>
      <c r="O45" s="6" t="s">
        <v>2172</v>
      </c>
      <c r="P45" s="6" t="s">
        <v>1128</v>
      </c>
      <c r="Z45" s="19" t="str">
        <f ca="1">HYPERLINK("#"&amp;재료비목록표!G2&amp;"!A"&amp;ROW(재료비목록표!A14),"자재   11 →")</f>
        <v>자재   11 →</v>
      </c>
    </row>
    <row r="46" spans="1:26" ht="28.7" customHeight="1" x14ac:dyDescent="0.3">
      <c r="A46" s="24" t="s">
        <v>6</v>
      </c>
      <c r="B46" s="58"/>
      <c r="C46" s="58"/>
      <c r="D46" s="58"/>
      <c r="E46" s="58"/>
      <c r="F46" s="55">
        <f>J46+H46+L46</f>
        <v>100378</v>
      </c>
      <c r="G46" s="58"/>
      <c r="H46" s="55">
        <f>ROUNDDOWN(SUMIF(P42:P45,O46,H42:H45),0)</f>
        <v>55700</v>
      </c>
      <c r="I46" s="58"/>
      <c r="J46" s="55">
        <f>ROUNDDOWN(SUMIF(P42:P45,O46,J42:J45),0)</f>
        <v>18001</v>
      </c>
      <c r="K46" s="58"/>
      <c r="L46" s="55">
        <f>ROUNDDOWN(SUMIF(P42:P45,O46,L42:L45),0)</f>
        <v>26677</v>
      </c>
      <c r="M46" s="58"/>
      <c r="O46" s="6" t="s">
        <v>1128</v>
      </c>
    </row>
    <row r="47" spans="1:26" ht="28.7" customHeight="1" x14ac:dyDescent="0.3">
      <c r="A47" s="83" t="s">
        <v>44</v>
      </c>
      <c r="B47" s="83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36" t="str">
        <f>HYPERLINK("#N"&amp;ROW(N53),"_x0005_`BDCOD|X00014_x0007_`POSS|"&amp;ROW(N49)&amp;"_x0007_`POSE|"&amp;ROW(N53)&amp;"_x0007_`")</f>
        <v>_x0005_`BDCOD|X00014_x0007_`POSS|49_x0007_`POSE|53_x0007_`</v>
      </c>
    </row>
    <row r="48" spans="1:26" ht="28.7" customHeight="1" x14ac:dyDescent="0.3">
      <c r="A48" s="43" t="s">
        <v>362</v>
      </c>
      <c r="B48" s="43"/>
      <c r="C48" s="85"/>
      <c r="D48" s="87" t="s">
        <v>344</v>
      </c>
      <c r="E48" s="85"/>
      <c r="F48" s="85"/>
      <c r="G48" s="85"/>
      <c r="H48" s="85"/>
      <c r="I48" s="85"/>
      <c r="J48" s="85"/>
      <c r="K48" s="85"/>
      <c r="L48" s="85"/>
      <c r="M48" s="87" t="s">
        <v>363</v>
      </c>
      <c r="O48" s="6" t="s">
        <v>361</v>
      </c>
    </row>
    <row r="49" spans="1:26" ht="28.7" customHeight="1" x14ac:dyDescent="0.3">
      <c r="A49" s="9" t="s">
        <v>353</v>
      </c>
      <c r="B49" s="9" t="s">
        <v>688</v>
      </c>
      <c r="C49" s="86">
        <v>0.20849999999999999</v>
      </c>
      <c r="D49" s="33" t="s">
        <v>685</v>
      </c>
      <c r="E49" s="62">
        <f t="shared" ref="E49:F53" si="6">I49+G49+K49</f>
        <v>110926</v>
      </c>
      <c r="F49" s="88">
        <f t="shared" si="6"/>
        <v>23128</v>
      </c>
      <c r="G49" s="59">
        <v>0</v>
      </c>
      <c r="H49" s="88">
        <f>IF(C49=0,0,ROUNDDOWN(G49*C49,1))</f>
        <v>0</v>
      </c>
      <c r="I49" s="59">
        <v>0</v>
      </c>
      <c r="J49" s="89">
        <f>IF(C49=0,0,ROUNDDOWN(I49*C49,1))</f>
        <v>0</v>
      </c>
      <c r="K49" s="90">
        <f>경비목록표!E7</f>
        <v>110926</v>
      </c>
      <c r="L49" s="92">
        <f>IF(C49=0,0,ROUNDDOWN(K49*C49,1))</f>
        <v>23128</v>
      </c>
      <c r="M49" s="24" t="s">
        <v>2182</v>
      </c>
      <c r="N49" s="16" t="s">
        <v>2180</v>
      </c>
      <c r="O49" s="6" t="s">
        <v>2181</v>
      </c>
      <c r="P49" s="6" t="s">
        <v>1128</v>
      </c>
      <c r="Z49" s="19" t="str">
        <f ca="1">HYPERLINK("#"&amp;경비목록표!G2&amp;"!A"&amp;ROW(경비목록표!A7),"경비    4 →")</f>
        <v>경비    4 →</v>
      </c>
    </row>
    <row r="50" spans="1:26" ht="28.7" customHeight="1" x14ac:dyDescent="0.3">
      <c r="A50" s="9" t="s">
        <v>697</v>
      </c>
      <c r="B50" s="9"/>
      <c r="C50" s="86">
        <v>0.66010000000000002</v>
      </c>
      <c r="D50" s="33" t="s">
        <v>685</v>
      </c>
      <c r="E50" s="62">
        <f t="shared" si="6"/>
        <v>16315</v>
      </c>
      <c r="F50" s="88">
        <f t="shared" si="6"/>
        <v>10769.5</v>
      </c>
      <c r="G50" s="59">
        <v>0</v>
      </c>
      <c r="H50" s="88">
        <f>IF(C50=0,0,ROUNDDOWN(G50*C50,1))</f>
        <v>0</v>
      </c>
      <c r="I50" s="59">
        <v>0</v>
      </c>
      <c r="J50" s="89">
        <f>IF(C50=0,0,ROUNDDOWN(I50*C50,1))</f>
        <v>0</v>
      </c>
      <c r="K50" s="90">
        <f>경비목록표!E9</f>
        <v>16315</v>
      </c>
      <c r="L50" s="92">
        <f>IF(C50=0,0,ROUNDDOWN(K50*C50,1))</f>
        <v>10769.5</v>
      </c>
      <c r="M50" s="24" t="s">
        <v>2188</v>
      </c>
      <c r="N50" s="16" t="s">
        <v>2186</v>
      </c>
      <c r="O50" s="6" t="s">
        <v>2187</v>
      </c>
      <c r="P50" s="6" t="s">
        <v>1128</v>
      </c>
      <c r="Z50" s="19" t="str">
        <f ca="1">HYPERLINK("#"&amp;경비목록표!G2&amp;"!A"&amp;ROW(경비목록표!A9),"경비    6 →")</f>
        <v>경비    6 →</v>
      </c>
    </row>
    <row r="51" spans="1:26" ht="28.7" customHeight="1" x14ac:dyDescent="0.3">
      <c r="A51" s="9" t="s">
        <v>665</v>
      </c>
      <c r="B51" s="9"/>
      <c r="C51" s="86">
        <v>1</v>
      </c>
      <c r="D51" s="33" t="s">
        <v>647</v>
      </c>
      <c r="E51" s="62">
        <f t="shared" si="6"/>
        <v>55700</v>
      </c>
      <c r="F51" s="89">
        <f t="shared" si="6"/>
        <v>55700</v>
      </c>
      <c r="G51" s="90">
        <f>환율및기초자료!G6</f>
        <v>55700</v>
      </c>
      <c r="H51" s="91">
        <f>IF(C51=0,0,ROUNDDOWN(G51*C51,1))</f>
        <v>55700</v>
      </c>
      <c r="I51" s="59">
        <v>0</v>
      </c>
      <c r="J51" s="88">
        <f>IF(C51=0,0,ROUNDDOWN(I51*C51,1))</f>
        <v>0</v>
      </c>
      <c r="K51" s="59">
        <v>0</v>
      </c>
      <c r="L51" s="89">
        <f>IF(C51=0,0,ROUNDDOWN(K51*C51,1))</f>
        <v>0</v>
      </c>
      <c r="M51" s="24" t="s">
        <v>2167</v>
      </c>
      <c r="N51" s="16" t="s">
        <v>2165</v>
      </c>
      <c r="O51" s="6" t="s">
        <v>2166</v>
      </c>
      <c r="P51" s="6" t="s">
        <v>1128</v>
      </c>
      <c r="Z51" s="19" t="str">
        <f ca="1">HYPERLINK("#"&amp;환율및기초자료!I2&amp;"!A"&amp;ROW(환율및기초자료!A6),"노무    7 →")</f>
        <v>노무    7 →</v>
      </c>
    </row>
    <row r="52" spans="1:26" ht="28.7" customHeight="1" x14ac:dyDescent="0.3">
      <c r="A52" s="9" t="s">
        <v>435</v>
      </c>
      <c r="B52" s="9" t="s">
        <v>436</v>
      </c>
      <c r="C52" s="86">
        <v>11.6</v>
      </c>
      <c r="D52" s="33" t="s">
        <v>431</v>
      </c>
      <c r="E52" s="62">
        <f t="shared" si="6"/>
        <v>1272</v>
      </c>
      <c r="F52" s="88">
        <f t="shared" si="6"/>
        <v>14755.2</v>
      </c>
      <c r="G52" s="59">
        <v>0</v>
      </c>
      <c r="H52" s="89">
        <f>IF(C52=0,0,ROUNDDOWN(G52*C52,1))</f>
        <v>0</v>
      </c>
      <c r="I52" s="90">
        <f>재료비목록표!E5</f>
        <v>1272</v>
      </c>
      <c r="J52" s="91">
        <f>IF(C52=0,0,ROUNDDOWN(I52*C52,1))</f>
        <v>14755.2</v>
      </c>
      <c r="K52" s="59">
        <v>0</v>
      </c>
      <c r="L52" s="89">
        <f>IF(C52=0,0,ROUNDDOWN(K52*C52,1))</f>
        <v>0</v>
      </c>
      <c r="M52" s="24" t="s">
        <v>2170</v>
      </c>
      <c r="N52" s="16" t="s">
        <v>2168</v>
      </c>
      <c r="O52" s="6" t="s">
        <v>2169</v>
      </c>
      <c r="P52" s="6" t="s">
        <v>1128</v>
      </c>
      <c r="Z52" s="19" t="str">
        <f ca="1">HYPERLINK("#"&amp;재료비목록표!G2&amp;"!A"&amp;ROW(재료비목록표!A5),"자재    2 →")</f>
        <v>자재    2 →</v>
      </c>
    </row>
    <row r="53" spans="1:26" ht="28.7" customHeight="1" x14ac:dyDescent="0.3">
      <c r="A53" s="9" t="s">
        <v>484</v>
      </c>
      <c r="B53" s="9" t="s">
        <v>485</v>
      </c>
      <c r="C53" s="86">
        <v>16</v>
      </c>
      <c r="D53" s="33" t="s">
        <v>480</v>
      </c>
      <c r="E53" s="62">
        <f t="shared" si="6"/>
        <v>14755.2</v>
      </c>
      <c r="F53" s="88">
        <f t="shared" si="6"/>
        <v>2360.8000000000002</v>
      </c>
      <c r="G53" s="59">
        <v>0</v>
      </c>
      <c r="H53" s="89">
        <f>IF(C53=0,0,ROUNDDOWN(G53*C53/100,1))</f>
        <v>0</v>
      </c>
      <c r="I53" s="90">
        <f>J52</f>
        <v>14755.2</v>
      </c>
      <c r="J53" s="91">
        <f>IF(C53=0,0,ROUNDDOWN(I53*C53/100,1))</f>
        <v>2360.8000000000002</v>
      </c>
      <c r="K53" s="59">
        <v>0</v>
      </c>
      <c r="L53" s="89">
        <f>IF(C53=0,0,ROUNDDOWN(K53*C53/100,1))</f>
        <v>0</v>
      </c>
      <c r="M53" s="24" t="s">
        <v>2173</v>
      </c>
      <c r="N53" s="16" t="s">
        <v>2171</v>
      </c>
      <c r="O53" s="6" t="s">
        <v>2172</v>
      </c>
      <c r="P53" s="6" t="s">
        <v>1128</v>
      </c>
      <c r="Z53" s="19" t="str">
        <f ca="1">HYPERLINK("#"&amp;재료비목록표!G2&amp;"!A"&amp;ROW(재료비목록표!A14),"자재   11 →")</f>
        <v>자재   11 →</v>
      </c>
    </row>
    <row r="54" spans="1:26" ht="28.7" customHeight="1" x14ac:dyDescent="0.3">
      <c r="A54" s="24" t="s">
        <v>6</v>
      </c>
      <c r="B54" s="58"/>
      <c r="C54" s="58"/>
      <c r="D54" s="58"/>
      <c r="E54" s="58"/>
      <c r="F54" s="55">
        <f>J54+H54+L54</f>
        <v>106713</v>
      </c>
      <c r="G54" s="58"/>
      <c r="H54" s="55">
        <f>ROUNDDOWN(SUMIF(P49:P53,O54,H49:H53),0)</f>
        <v>55700</v>
      </c>
      <c r="I54" s="58"/>
      <c r="J54" s="55">
        <f>ROUNDDOWN(SUMIF(P49:P53,O54,J49:J53),0)</f>
        <v>17116</v>
      </c>
      <c r="K54" s="58"/>
      <c r="L54" s="55">
        <f>ROUNDDOWN(SUMIF(P49:P53,O54,L49:L53),0)</f>
        <v>33897</v>
      </c>
      <c r="M54" s="58"/>
      <c r="O54" s="6" t="s">
        <v>1128</v>
      </c>
    </row>
    <row r="55" spans="1:26" ht="28.7" customHeight="1" x14ac:dyDescent="0.3">
      <c r="A55" s="83" t="s">
        <v>49</v>
      </c>
      <c r="B55" s="83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36" t="str">
        <f>HYPERLINK("#N"&amp;ROW(N60),"_x0005_`BDCOD|X00028_x0007_`POSS|"&amp;ROW(N57)&amp;"_x0007_`POSE|"&amp;ROW(N60)&amp;"_x0007_`")</f>
        <v>_x0005_`BDCOD|X00028_x0007_`POSS|57_x0007_`POSE|60_x0007_`</v>
      </c>
    </row>
    <row r="56" spans="1:26" ht="28.7" customHeight="1" x14ac:dyDescent="0.3">
      <c r="A56" s="43" t="s">
        <v>365</v>
      </c>
      <c r="B56" s="43"/>
      <c r="C56" s="85"/>
      <c r="D56" s="87" t="s">
        <v>344</v>
      </c>
      <c r="E56" s="85"/>
      <c r="F56" s="85"/>
      <c r="G56" s="85"/>
      <c r="H56" s="85"/>
      <c r="I56" s="85"/>
      <c r="J56" s="85"/>
      <c r="K56" s="85"/>
      <c r="L56" s="85"/>
      <c r="M56" s="87" t="s">
        <v>366</v>
      </c>
      <c r="O56" s="6" t="s">
        <v>364</v>
      </c>
    </row>
    <row r="57" spans="1:26" ht="28.7" customHeight="1" x14ac:dyDescent="0.3">
      <c r="A57" s="9" t="s">
        <v>706</v>
      </c>
      <c r="B57" s="9"/>
      <c r="C57" s="86">
        <v>0.22789999999999999</v>
      </c>
      <c r="D57" s="33" t="s">
        <v>685</v>
      </c>
      <c r="E57" s="62">
        <f t="shared" ref="E57:F60" si="7">I57+G57+K57</f>
        <v>86142</v>
      </c>
      <c r="F57" s="88">
        <f t="shared" si="7"/>
        <v>19631.7</v>
      </c>
      <c r="G57" s="59">
        <v>0</v>
      </c>
      <c r="H57" s="88">
        <f>IF(C57=0,0,ROUNDDOWN(G57*C57,1))</f>
        <v>0</v>
      </c>
      <c r="I57" s="59">
        <v>0</v>
      </c>
      <c r="J57" s="89">
        <f>IF(C57=0,0,ROUNDDOWN(I57*C57,1))</f>
        <v>0</v>
      </c>
      <c r="K57" s="90">
        <f>경비목록표!E12</f>
        <v>86142</v>
      </c>
      <c r="L57" s="92">
        <f>IF(C57=0,0,ROUNDDOWN(K57*C57,1))</f>
        <v>19631.7</v>
      </c>
      <c r="M57" s="24" t="s">
        <v>2191</v>
      </c>
      <c r="N57" s="16" t="s">
        <v>2189</v>
      </c>
      <c r="O57" s="6" t="s">
        <v>2190</v>
      </c>
      <c r="P57" s="6" t="s">
        <v>1128</v>
      </c>
      <c r="Z57" s="19" t="str">
        <f ca="1">HYPERLINK("#"&amp;경비목록표!G2&amp;"!A"&amp;ROW(경비목록표!A12),"경비    9 →")</f>
        <v>경비    9 →</v>
      </c>
    </row>
    <row r="58" spans="1:26" ht="28.7" customHeight="1" x14ac:dyDescent="0.3">
      <c r="A58" s="9" t="s">
        <v>665</v>
      </c>
      <c r="B58" s="9"/>
      <c r="C58" s="86">
        <v>1</v>
      </c>
      <c r="D58" s="33" t="s">
        <v>647</v>
      </c>
      <c r="E58" s="62">
        <f t="shared" si="7"/>
        <v>55700</v>
      </c>
      <c r="F58" s="89">
        <f t="shared" si="7"/>
        <v>55700</v>
      </c>
      <c r="G58" s="90">
        <f>환율및기초자료!G6</f>
        <v>55700</v>
      </c>
      <c r="H58" s="91">
        <f>IF(C58=0,0,ROUNDDOWN(G58*C58,1))</f>
        <v>55700</v>
      </c>
      <c r="I58" s="59">
        <v>0</v>
      </c>
      <c r="J58" s="88">
        <f>IF(C58=0,0,ROUNDDOWN(I58*C58,1))</f>
        <v>0</v>
      </c>
      <c r="K58" s="59">
        <v>0</v>
      </c>
      <c r="L58" s="89">
        <f>IF(C58=0,0,ROUNDDOWN(K58*C58,1))</f>
        <v>0</v>
      </c>
      <c r="M58" s="24" t="s">
        <v>2167</v>
      </c>
      <c r="N58" s="16" t="s">
        <v>2165</v>
      </c>
      <c r="O58" s="6" t="s">
        <v>2166</v>
      </c>
      <c r="P58" s="6" t="s">
        <v>1128</v>
      </c>
      <c r="Z58" s="19" t="str">
        <f ca="1">HYPERLINK("#"&amp;환율및기초자료!I2&amp;"!A"&amp;ROW(환율및기초자료!A6),"노무    7 →")</f>
        <v>노무    7 →</v>
      </c>
    </row>
    <row r="59" spans="1:26" ht="28.7" customHeight="1" x14ac:dyDescent="0.3">
      <c r="A59" s="9" t="s">
        <v>435</v>
      </c>
      <c r="B59" s="9" t="s">
        <v>436</v>
      </c>
      <c r="C59" s="86">
        <v>15.9</v>
      </c>
      <c r="D59" s="33" t="s">
        <v>431</v>
      </c>
      <c r="E59" s="62">
        <f t="shared" si="7"/>
        <v>1272</v>
      </c>
      <c r="F59" s="88">
        <f t="shared" si="7"/>
        <v>20224.8</v>
      </c>
      <c r="G59" s="59">
        <v>0</v>
      </c>
      <c r="H59" s="89">
        <f>IF(C59=0,0,ROUNDDOWN(G59*C59,1))</f>
        <v>0</v>
      </c>
      <c r="I59" s="90">
        <f>재료비목록표!E5</f>
        <v>1272</v>
      </c>
      <c r="J59" s="91">
        <f>IF(C59=0,0,ROUNDDOWN(I59*C59,1))</f>
        <v>20224.8</v>
      </c>
      <c r="K59" s="59">
        <v>0</v>
      </c>
      <c r="L59" s="89">
        <f>IF(C59=0,0,ROUNDDOWN(K59*C59,1))</f>
        <v>0</v>
      </c>
      <c r="M59" s="24" t="s">
        <v>2170</v>
      </c>
      <c r="N59" s="16" t="s">
        <v>2168</v>
      </c>
      <c r="O59" s="6" t="s">
        <v>2169</v>
      </c>
      <c r="P59" s="6" t="s">
        <v>1128</v>
      </c>
      <c r="Z59" s="19" t="str">
        <f ca="1">HYPERLINK("#"&amp;재료비목록표!G2&amp;"!A"&amp;ROW(재료비목록표!A5),"자재    2 →")</f>
        <v>자재    2 →</v>
      </c>
    </row>
    <row r="60" spans="1:26" ht="28.7" customHeight="1" x14ac:dyDescent="0.3">
      <c r="A60" s="9" t="s">
        <v>484</v>
      </c>
      <c r="B60" s="9" t="s">
        <v>485</v>
      </c>
      <c r="C60" s="86">
        <v>38</v>
      </c>
      <c r="D60" s="33" t="s">
        <v>480</v>
      </c>
      <c r="E60" s="62">
        <f t="shared" si="7"/>
        <v>20224.8</v>
      </c>
      <c r="F60" s="88">
        <f t="shared" si="7"/>
        <v>7685.4</v>
      </c>
      <c r="G60" s="59">
        <v>0</v>
      </c>
      <c r="H60" s="89">
        <f>IF(C60=0,0,ROUNDDOWN(G60*C60/100,1))</f>
        <v>0</v>
      </c>
      <c r="I60" s="90">
        <f>J59</f>
        <v>20224.8</v>
      </c>
      <c r="J60" s="91">
        <f>IF(C60=0,0,ROUNDDOWN(I60*C60/100,1))</f>
        <v>7685.4</v>
      </c>
      <c r="K60" s="59">
        <v>0</v>
      </c>
      <c r="L60" s="89">
        <f>IF(C60=0,0,ROUNDDOWN(K60*C60/100,1))</f>
        <v>0</v>
      </c>
      <c r="M60" s="24" t="s">
        <v>2173</v>
      </c>
      <c r="N60" s="16" t="s">
        <v>2171</v>
      </c>
      <c r="O60" s="6" t="s">
        <v>2172</v>
      </c>
      <c r="P60" s="6" t="s">
        <v>1128</v>
      </c>
      <c r="Z60" s="19" t="str">
        <f ca="1">HYPERLINK("#"&amp;재료비목록표!G2&amp;"!A"&amp;ROW(재료비목록표!A14),"자재   11 →")</f>
        <v>자재   11 →</v>
      </c>
    </row>
    <row r="61" spans="1:26" ht="28.7" customHeight="1" x14ac:dyDescent="0.3">
      <c r="A61" s="24" t="s">
        <v>6</v>
      </c>
      <c r="B61" s="58"/>
      <c r="C61" s="58"/>
      <c r="D61" s="58"/>
      <c r="E61" s="58"/>
      <c r="F61" s="55">
        <f>J61+H61+L61</f>
        <v>103241</v>
      </c>
      <c r="G61" s="58"/>
      <c r="H61" s="55">
        <f>ROUNDDOWN(SUMIF(P57:P60,O61,H57:H60),0)</f>
        <v>55700</v>
      </c>
      <c r="I61" s="58"/>
      <c r="J61" s="55">
        <f>ROUNDDOWN(SUMIF(P57:P60,O61,J57:J60),0)</f>
        <v>27910</v>
      </c>
      <c r="K61" s="58"/>
      <c r="L61" s="55">
        <f>ROUNDDOWN(SUMIF(P57:P60,O61,L57:L60),0)</f>
        <v>19631</v>
      </c>
      <c r="M61" s="58"/>
      <c r="O61" s="6" t="s">
        <v>1128</v>
      </c>
    </row>
    <row r="62" spans="1:26" ht="28.7" customHeight="1" x14ac:dyDescent="0.3">
      <c r="A62" s="83" t="s">
        <v>53</v>
      </c>
      <c r="B62" s="83"/>
      <c r="C62" s="84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36" t="str">
        <f>HYPERLINK("#N"&amp;ROW(N67),"_x0005_`BDCOD|X00030_x0007_`POSS|"&amp;ROW(N64)&amp;"_x0007_`POSE|"&amp;ROW(N67)&amp;"_x0007_`")</f>
        <v>_x0005_`BDCOD|X00030_x0007_`POSS|64_x0007_`POSE|67_x0007_`</v>
      </c>
    </row>
    <row r="63" spans="1:26" ht="28.7" customHeight="1" x14ac:dyDescent="0.3">
      <c r="A63" s="43" t="s">
        <v>368</v>
      </c>
      <c r="B63" s="43" t="s">
        <v>369</v>
      </c>
      <c r="C63" s="85"/>
      <c r="D63" s="87" t="s">
        <v>344</v>
      </c>
      <c r="E63" s="85"/>
      <c r="F63" s="85"/>
      <c r="G63" s="85"/>
      <c r="H63" s="85"/>
      <c r="I63" s="85"/>
      <c r="J63" s="85"/>
      <c r="K63" s="85"/>
      <c r="L63" s="85"/>
      <c r="M63" s="87" t="s">
        <v>370</v>
      </c>
      <c r="O63" s="6" t="s">
        <v>367</v>
      </c>
    </row>
    <row r="64" spans="1:26" ht="28.7" customHeight="1" x14ac:dyDescent="0.3">
      <c r="A64" s="9" t="s">
        <v>703</v>
      </c>
      <c r="B64" s="9"/>
      <c r="C64" s="86">
        <v>0.26790000000000003</v>
      </c>
      <c r="D64" s="33" t="s">
        <v>685</v>
      </c>
      <c r="E64" s="62">
        <f t="shared" ref="E64:F67" si="8">I64+G64+K64</f>
        <v>49355</v>
      </c>
      <c r="F64" s="88">
        <f t="shared" si="8"/>
        <v>13222.2</v>
      </c>
      <c r="G64" s="59">
        <v>0</v>
      </c>
      <c r="H64" s="88">
        <f>IF(C64=0,0,ROUNDDOWN(G64*C64,1))</f>
        <v>0</v>
      </c>
      <c r="I64" s="59">
        <v>0</v>
      </c>
      <c r="J64" s="89">
        <f>IF(C64=0,0,ROUNDDOWN(I64*C64,1))</f>
        <v>0</v>
      </c>
      <c r="K64" s="90">
        <f>경비목록표!E11</f>
        <v>49355</v>
      </c>
      <c r="L64" s="92">
        <f>IF(C64=0,0,ROUNDDOWN(K64*C64,1))</f>
        <v>13222.2</v>
      </c>
      <c r="M64" s="24" t="s">
        <v>2194</v>
      </c>
      <c r="N64" s="16" t="s">
        <v>2192</v>
      </c>
      <c r="O64" s="6" t="s">
        <v>2193</v>
      </c>
      <c r="P64" s="6" t="s">
        <v>1128</v>
      </c>
      <c r="Z64" s="19" t="str">
        <f ca="1">HYPERLINK("#"&amp;경비목록표!G2&amp;"!A"&amp;ROW(경비목록표!A11),"경비    8 →")</f>
        <v>경비    8 →</v>
      </c>
    </row>
    <row r="65" spans="1:26" ht="28.7" customHeight="1" x14ac:dyDescent="0.3">
      <c r="A65" s="9" t="s">
        <v>668</v>
      </c>
      <c r="B65" s="9"/>
      <c r="C65" s="86">
        <v>1</v>
      </c>
      <c r="D65" s="33" t="s">
        <v>647</v>
      </c>
      <c r="E65" s="62">
        <f t="shared" si="8"/>
        <v>47231</v>
      </c>
      <c r="F65" s="89">
        <f t="shared" si="8"/>
        <v>47231</v>
      </c>
      <c r="G65" s="90">
        <f>환율및기초자료!G7</f>
        <v>47231</v>
      </c>
      <c r="H65" s="91">
        <f>IF(C65=0,0,ROUNDDOWN(G65*C65,1))</f>
        <v>47231</v>
      </c>
      <c r="I65" s="59">
        <v>0</v>
      </c>
      <c r="J65" s="88">
        <f>IF(C65=0,0,ROUNDDOWN(I65*C65,1))</f>
        <v>0</v>
      </c>
      <c r="K65" s="59">
        <v>0</v>
      </c>
      <c r="L65" s="89">
        <f>IF(C65=0,0,ROUNDDOWN(K65*C65,1))</f>
        <v>0</v>
      </c>
      <c r="M65" s="24" t="s">
        <v>2197</v>
      </c>
      <c r="N65" s="16" t="s">
        <v>2195</v>
      </c>
      <c r="O65" s="6" t="s">
        <v>2196</v>
      </c>
      <c r="P65" s="6" t="s">
        <v>1128</v>
      </c>
      <c r="Z65" s="19" t="str">
        <f ca="1">HYPERLINK("#"&amp;환율및기초자료!I2&amp;"!A"&amp;ROW(환율및기초자료!A7),"노무    8 →")</f>
        <v>노무    8 →</v>
      </c>
    </row>
    <row r="66" spans="1:26" ht="28.7" customHeight="1" x14ac:dyDescent="0.3">
      <c r="A66" s="9" t="s">
        <v>435</v>
      </c>
      <c r="B66" s="9" t="s">
        <v>436</v>
      </c>
      <c r="C66" s="86">
        <v>14.1</v>
      </c>
      <c r="D66" s="33" t="s">
        <v>431</v>
      </c>
      <c r="E66" s="62">
        <f t="shared" si="8"/>
        <v>1272</v>
      </c>
      <c r="F66" s="88">
        <f t="shared" si="8"/>
        <v>17935.2</v>
      </c>
      <c r="G66" s="59">
        <v>0</v>
      </c>
      <c r="H66" s="89">
        <f>IF(C66=0,0,ROUNDDOWN(G66*C66,1))</f>
        <v>0</v>
      </c>
      <c r="I66" s="90">
        <f>재료비목록표!E5</f>
        <v>1272</v>
      </c>
      <c r="J66" s="91">
        <f>IF(C66=0,0,ROUNDDOWN(I66*C66,1))</f>
        <v>17935.2</v>
      </c>
      <c r="K66" s="59">
        <v>0</v>
      </c>
      <c r="L66" s="89">
        <f>IF(C66=0,0,ROUNDDOWN(K66*C66,1))</f>
        <v>0</v>
      </c>
      <c r="M66" s="24" t="s">
        <v>2170</v>
      </c>
      <c r="N66" s="16" t="s">
        <v>2168</v>
      </c>
      <c r="O66" s="6" t="s">
        <v>2169</v>
      </c>
      <c r="P66" s="6" t="s">
        <v>1128</v>
      </c>
      <c r="Z66" s="19" t="str">
        <f ca="1">HYPERLINK("#"&amp;재료비목록표!G2&amp;"!A"&amp;ROW(재료비목록표!A5),"자재    2 →")</f>
        <v>자재    2 →</v>
      </c>
    </row>
    <row r="67" spans="1:26" ht="28.7" customHeight="1" x14ac:dyDescent="0.3">
      <c r="A67" s="9" t="s">
        <v>484</v>
      </c>
      <c r="B67" s="9" t="s">
        <v>485</v>
      </c>
      <c r="C67" s="86">
        <v>38</v>
      </c>
      <c r="D67" s="33" t="s">
        <v>480</v>
      </c>
      <c r="E67" s="62">
        <f t="shared" si="8"/>
        <v>17935.2</v>
      </c>
      <c r="F67" s="88">
        <f t="shared" si="8"/>
        <v>6815.3</v>
      </c>
      <c r="G67" s="59">
        <v>0</v>
      </c>
      <c r="H67" s="89">
        <f>IF(C67=0,0,ROUNDDOWN(G67*C67/100,1))</f>
        <v>0</v>
      </c>
      <c r="I67" s="90">
        <f>J66</f>
        <v>17935.2</v>
      </c>
      <c r="J67" s="91">
        <f>IF(C67=0,0,ROUNDDOWN(I67*C67/100,1))</f>
        <v>6815.3</v>
      </c>
      <c r="K67" s="59">
        <v>0</v>
      </c>
      <c r="L67" s="89">
        <f>IF(C67=0,0,ROUNDDOWN(K67*C67/100,1))</f>
        <v>0</v>
      </c>
      <c r="M67" s="24" t="s">
        <v>2173</v>
      </c>
      <c r="N67" s="16" t="s">
        <v>2171</v>
      </c>
      <c r="O67" s="6" t="s">
        <v>2172</v>
      </c>
      <c r="P67" s="6" t="s">
        <v>1128</v>
      </c>
      <c r="Z67" s="19" t="str">
        <f ca="1">HYPERLINK("#"&amp;재료비목록표!G2&amp;"!A"&amp;ROW(재료비목록표!A14),"자재   11 →")</f>
        <v>자재   11 →</v>
      </c>
    </row>
    <row r="68" spans="1:26" ht="28.7" customHeight="1" x14ac:dyDescent="0.3">
      <c r="A68" s="24" t="s">
        <v>6</v>
      </c>
      <c r="B68" s="58"/>
      <c r="C68" s="58"/>
      <c r="D68" s="58"/>
      <c r="E68" s="58"/>
      <c r="F68" s="55">
        <f>J68+H68+L68</f>
        <v>85203</v>
      </c>
      <c r="G68" s="58"/>
      <c r="H68" s="55">
        <f>ROUNDDOWN(SUMIF(P64:P67,O68,H64:H67),0)</f>
        <v>47231</v>
      </c>
      <c r="I68" s="58"/>
      <c r="J68" s="55">
        <f>ROUNDDOWN(SUMIF(P64:P67,O68,J64:J67),0)</f>
        <v>24750</v>
      </c>
      <c r="K68" s="58"/>
      <c r="L68" s="55">
        <f>ROUNDDOWN(SUMIF(P64:P67,O68,L64:L67),0)</f>
        <v>13222</v>
      </c>
      <c r="M68" s="58"/>
      <c r="O68" s="6" t="s">
        <v>1128</v>
      </c>
    </row>
    <row r="69" spans="1:26" ht="28.7" customHeight="1" x14ac:dyDescent="0.3">
      <c r="A69" s="83" t="s">
        <v>57</v>
      </c>
      <c r="B69" s="83"/>
      <c r="C69" s="84"/>
      <c r="D69" s="84"/>
      <c r="E69" s="84"/>
      <c r="F69" s="84"/>
      <c r="G69" s="84"/>
      <c r="H69" s="84"/>
      <c r="I69" s="84"/>
      <c r="J69" s="84"/>
      <c r="K69" s="84"/>
      <c r="L69" s="84"/>
      <c r="M69" s="84"/>
      <c r="N69" s="36" t="str">
        <f>HYPERLINK("#N"&amp;ROW(N74),"_x0005_`BDCOD|X00031_x0007_`POSS|"&amp;ROW(N71)&amp;"_x0007_`POSE|"&amp;ROW(N74)&amp;"_x0007_`")</f>
        <v>_x0005_`BDCOD|X00031_x0007_`POSS|71_x0007_`POSE|74_x0007_`</v>
      </c>
    </row>
    <row r="70" spans="1:26" ht="28.7" customHeight="1" x14ac:dyDescent="0.3">
      <c r="A70" s="43" t="s">
        <v>372</v>
      </c>
      <c r="B70" s="43" t="s">
        <v>369</v>
      </c>
      <c r="C70" s="85"/>
      <c r="D70" s="87" t="s">
        <v>344</v>
      </c>
      <c r="E70" s="85"/>
      <c r="F70" s="85"/>
      <c r="G70" s="85"/>
      <c r="H70" s="85"/>
      <c r="I70" s="85"/>
      <c r="J70" s="85"/>
      <c r="K70" s="85"/>
      <c r="L70" s="85"/>
      <c r="M70" s="87" t="s">
        <v>373</v>
      </c>
      <c r="O70" s="6" t="s">
        <v>371</v>
      </c>
    </row>
    <row r="71" spans="1:26" ht="28.7" customHeight="1" x14ac:dyDescent="0.3">
      <c r="A71" s="9" t="s">
        <v>706</v>
      </c>
      <c r="B71" s="9"/>
      <c r="C71" s="86">
        <v>0.26790000000000003</v>
      </c>
      <c r="D71" s="33" t="s">
        <v>685</v>
      </c>
      <c r="E71" s="62">
        <f t="shared" ref="E71:F74" si="9">I71+G71+K71</f>
        <v>86142</v>
      </c>
      <c r="F71" s="88">
        <f t="shared" si="9"/>
        <v>23077.4</v>
      </c>
      <c r="G71" s="59">
        <v>0</v>
      </c>
      <c r="H71" s="88">
        <f>IF(C71=0,0,ROUNDDOWN(G71*C71,1))</f>
        <v>0</v>
      </c>
      <c r="I71" s="59">
        <v>0</v>
      </c>
      <c r="J71" s="89">
        <f>IF(C71=0,0,ROUNDDOWN(I71*C71,1))</f>
        <v>0</v>
      </c>
      <c r="K71" s="90">
        <f>경비목록표!E12</f>
        <v>86142</v>
      </c>
      <c r="L71" s="92">
        <f>IF(C71=0,0,ROUNDDOWN(K71*C71,1))</f>
        <v>23077.4</v>
      </c>
      <c r="M71" s="24" t="s">
        <v>2191</v>
      </c>
      <c r="N71" s="16" t="s">
        <v>2189</v>
      </c>
      <c r="O71" s="6" t="s">
        <v>2190</v>
      </c>
      <c r="P71" s="6" t="s">
        <v>1128</v>
      </c>
      <c r="Z71" s="19" t="str">
        <f ca="1">HYPERLINK("#"&amp;경비목록표!G2&amp;"!A"&amp;ROW(경비목록표!A12),"경비    9 →")</f>
        <v>경비    9 →</v>
      </c>
    </row>
    <row r="72" spans="1:26" ht="28.7" customHeight="1" x14ac:dyDescent="0.3">
      <c r="A72" s="9" t="s">
        <v>665</v>
      </c>
      <c r="B72" s="9"/>
      <c r="C72" s="86">
        <v>1</v>
      </c>
      <c r="D72" s="33" t="s">
        <v>647</v>
      </c>
      <c r="E72" s="62">
        <f t="shared" si="9"/>
        <v>55700</v>
      </c>
      <c r="F72" s="89">
        <f t="shared" si="9"/>
        <v>55700</v>
      </c>
      <c r="G72" s="90">
        <f>환율및기초자료!G6</f>
        <v>55700</v>
      </c>
      <c r="H72" s="91">
        <f>IF(C72=0,0,ROUNDDOWN(G72*C72,1))</f>
        <v>55700</v>
      </c>
      <c r="I72" s="59">
        <v>0</v>
      </c>
      <c r="J72" s="88">
        <f>IF(C72=0,0,ROUNDDOWN(I72*C72,1))</f>
        <v>0</v>
      </c>
      <c r="K72" s="59">
        <v>0</v>
      </c>
      <c r="L72" s="89">
        <f>IF(C72=0,0,ROUNDDOWN(K72*C72,1))</f>
        <v>0</v>
      </c>
      <c r="M72" s="24" t="s">
        <v>2167</v>
      </c>
      <c r="N72" s="16" t="s">
        <v>2165</v>
      </c>
      <c r="O72" s="6" t="s">
        <v>2166</v>
      </c>
      <c r="P72" s="6" t="s">
        <v>1128</v>
      </c>
      <c r="Z72" s="19" t="str">
        <f ca="1">HYPERLINK("#"&amp;환율및기초자료!I2&amp;"!A"&amp;ROW(환율및기초자료!A6),"노무    7 →")</f>
        <v>노무    7 →</v>
      </c>
    </row>
    <row r="73" spans="1:26" ht="28.7" customHeight="1" x14ac:dyDescent="0.3">
      <c r="A73" s="9" t="s">
        <v>435</v>
      </c>
      <c r="B73" s="9" t="s">
        <v>436</v>
      </c>
      <c r="C73" s="86">
        <v>15.9</v>
      </c>
      <c r="D73" s="33" t="s">
        <v>431</v>
      </c>
      <c r="E73" s="62">
        <f t="shared" si="9"/>
        <v>1272</v>
      </c>
      <c r="F73" s="88">
        <f t="shared" si="9"/>
        <v>20224.8</v>
      </c>
      <c r="G73" s="59">
        <v>0</v>
      </c>
      <c r="H73" s="89">
        <f>IF(C73=0,0,ROUNDDOWN(G73*C73,1))</f>
        <v>0</v>
      </c>
      <c r="I73" s="90">
        <f>재료비목록표!E5</f>
        <v>1272</v>
      </c>
      <c r="J73" s="91">
        <f>IF(C73=0,0,ROUNDDOWN(I73*C73,1))</f>
        <v>20224.8</v>
      </c>
      <c r="K73" s="59">
        <v>0</v>
      </c>
      <c r="L73" s="89">
        <f>IF(C73=0,0,ROUNDDOWN(K73*C73,1))</f>
        <v>0</v>
      </c>
      <c r="M73" s="24" t="s">
        <v>2170</v>
      </c>
      <c r="N73" s="16" t="s">
        <v>2168</v>
      </c>
      <c r="O73" s="6" t="s">
        <v>2169</v>
      </c>
      <c r="P73" s="6" t="s">
        <v>1128</v>
      </c>
      <c r="Z73" s="19" t="str">
        <f ca="1">HYPERLINK("#"&amp;재료비목록표!G2&amp;"!A"&amp;ROW(재료비목록표!A5),"자재    2 →")</f>
        <v>자재    2 →</v>
      </c>
    </row>
    <row r="74" spans="1:26" ht="28.7" customHeight="1" x14ac:dyDescent="0.3">
      <c r="A74" s="9" t="s">
        <v>484</v>
      </c>
      <c r="B74" s="9" t="s">
        <v>485</v>
      </c>
      <c r="C74" s="86">
        <v>38</v>
      </c>
      <c r="D74" s="33" t="s">
        <v>480</v>
      </c>
      <c r="E74" s="62">
        <f t="shared" si="9"/>
        <v>20224.8</v>
      </c>
      <c r="F74" s="88">
        <f t="shared" si="9"/>
        <v>7685.4</v>
      </c>
      <c r="G74" s="59">
        <v>0</v>
      </c>
      <c r="H74" s="89">
        <f>IF(C74=0,0,ROUNDDOWN(G74*C74/100,1))</f>
        <v>0</v>
      </c>
      <c r="I74" s="90">
        <f>J73</f>
        <v>20224.8</v>
      </c>
      <c r="J74" s="91">
        <f>IF(C74=0,0,ROUNDDOWN(I74*C74/100,1))</f>
        <v>7685.4</v>
      </c>
      <c r="K74" s="59">
        <v>0</v>
      </c>
      <c r="L74" s="89">
        <f>IF(C74=0,0,ROUNDDOWN(K74*C74/100,1))</f>
        <v>0</v>
      </c>
      <c r="M74" s="24" t="s">
        <v>2173</v>
      </c>
      <c r="N74" s="16" t="s">
        <v>2171</v>
      </c>
      <c r="O74" s="6" t="s">
        <v>2172</v>
      </c>
      <c r="P74" s="6" t="s">
        <v>1128</v>
      </c>
      <c r="Z74" s="19" t="str">
        <f ca="1">HYPERLINK("#"&amp;재료비목록표!G2&amp;"!A"&amp;ROW(재료비목록표!A14),"자재   11 →")</f>
        <v>자재   11 →</v>
      </c>
    </row>
    <row r="75" spans="1:26" ht="28.7" customHeight="1" x14ac:dyDescent="0.3">
      <c r="A75" s="24" t="s">
        <v>6</v>
      </c>
      <c r="B75" s="58"/>
      <c r="C75" s="58"/>
      <c r="D75" s="58"/>
      <c r="E75" s="58"/>
      <c r="F75" s="55">
        <f>J75+H75+L75</f>
        <v>106687</v>
      </c>
      <c r="G75" s="58"/>
      <c r="H75" s="55">
        <f>ROUNDDOWN(SUMIF(P71:P74,O75,H71:H74),0)</f>
        <v>55700</v>
      </c>
      <c r="I75" s="58"/>
      <c r="J75" s="55">
        <f>ROUNDDOWN(SUMIF(P71:P74,O75,J71:J74),0)</f>
        <v>27910</v>
      </c>
      <c r="K75" s="58"/>
      <c r="L75" s="55">
        <f>ROUNDDOWN(SUMIF(P71:P74,O75,L71:L74),0)</f>
        <v>23077</v>
      </c>
      <c r="M75" s="58"/>
      <c r="O75" s="6" t="s">
        <v>1128</v>
      </c>
    </row>
    <row r="76" spans="1:26" ht="28.7" customHeight="1" x14ac:dyDescent="0.3">
      <c r="A76" s="83" t="s">
        <v>61</v>
      </c>
      <c r="B76" s="83"/>
      <c r="C76" s="84"/>
      <c r="D76" s="84"/>
      <c r="E76" s="84"/>
      <c r="F76" s="84"/>
      <c r="G76" s="84"/>
      <c r="H76" s="84"/>
      <c r="I76" s="84"/>
      <c r="J76" s="84"/>
      <c r="K76" s="84"/>
      <c r="L76" s="84"/>
      <c r="M76" s="84"/>
      <c r="N76" s="36" t="str">
        <f>HYPERLINK("#N"&amp;ROW(N78),"_x0005_`BDCOD|X00032_x0007_`POSS|"&amp;ROW(N78)&amp;"_x0007_`POSE|"&amp;ROW(N78)&amp;"_x0007_`")</f>
        <v>_x0005_`BDCOD|X00032_x0007_`POSS|78_x0007_`POSE|78_x0007_`</v>
      </c>
    </row>
    <row r="77" spans="1:26" ht="28.7" customHeight="1" x14ac:dyDescent="0.3">
      <c r="A77" s="43" t="s">
        <v>375</v>
      </c>
      <c r="B77" s="43" t="s">
        <v>376</v>
      </c>
      <c r="C77" s="85"/>
      <c r="D77" s="87" t="s">
        <v>344</v>
      </c>
      <c r="E77" s="85"/>
      <c r="F77" s="85"/>
      <c r="G77" s="85"/>
      <c r="H77" s="85"/>
      <c r="I77" s="85"/>
      <c r="J77" s="85"/>
      <c r="K77" s="85"/>
      <c r="L77" s="85"/>
      <c r="M77" s="87" t="s">
        <v>377</v>
      </c>
      <c r="O77" s="6" t="s">
        <v>374</v>
      </c>
    </row>
    <row r="78" spans="1:26" ht="28.7" customHeight="1" x14ac:dyDescent="0.3">
      <c r="A78" s="9" t="s">
        <v>375</v>
      </c>
      <c r="B78" s="9" t="s">
        <v>376</v>
      </c>
      <c r="C78" s="86">
        <v>0.26840000000000003</v>
      </c>
      <c r="D78" s="33" t="s">
        <v>685</v>
      </c>
      <c r="E78" s="62">
        <f>I78+G78+K78</f>
        <v>1546</v>
      </c>
      <c r="F78" s="88">
        <f>J78+H78+L78</f>
        <v>414.9</v>
      </c>
      <c r="G78" s="59">
        <v>0</v>
      </c>
      <c r="H78" s="88">
        <f>IF(C78=0,0,ROUNDDOWN(G78*C78,1))</f>
        <v>0</v>
      </c>
      <c r="I78" s="59">
        <v>0</v>
      </c>
      <c r="J78" s="89">
        <f>IF(C78=0,0,ROUNDDOWN(I78*C78,1))</f>
        <v>0</v>
      </c>
      <c r="K78" s="90">
        <f>경비목록표!E13</f>
        <v>1546</v>
      </c>
      <c r="L78" s="92">
        <f>IF(C78=0,0,ROUNDDOWN(K78*C78,1))</f>
        <v>414.9</v>
      </c>
      <c r="M78" s="24" t="s">
        <v>2200</v>
      </c>
      <c r="N78" s="16" t="s">
        <v>2198</v>
      </c>
      <c r="O78" s="6" t="s">
        <v>2199</v>
      </c>
      <c r="P78" s="6" t="s">
        <v>1128</v>
      </c>
      <c r="Z78" s="19" t="str">
        <f ca="1">HYPERLINK("#"&amp;경비목록표!G2&amp;"!A"&amp;ROW(경비목록표!A13),"경비   10 →")</f>
        <v>경비   10 →</v>
      </c>
    </row>
    <row r="79" spans="1:26" ht="28.7" customHeight="1" x14ac:dyDescent="0.3">
      <c r="A79" s="24" t="s">
        <v>6</v>
      </c>
      <c r="B79" s="58"/>
      <c r="C79" s="58"/>
      <c r="D79" s="58"/>
      <c r="E79" s="58"/>
      <c r="F79" s="55">
        <f>J79+H79+L79</f>
        <v>414</v>
      </c>
      <c r="G79" s="58"/>
      <c r="H79" s="55">
        <f>ROUNDDOWN(SUMIF(P78:P78,O79,H78:H78),0)</f>
        <v>0</v>
      </c>
      <c r="I79" s="58"/>
      <c r="J79" s="55">
        <f>ROUNDDOWN(SUMIF(P78:P78,O79,J78:J78),0)</f>
        <v>0</v>
      </c>
      <c r="K79" s="58"/>
      <c r="L79" s="55">
        <f>ROUNDDOWN(SUMIF(P78:P78,O79,L78:L78),0)</f>
        <v>414</v>
      </c>
      <c r="M79" s="58"/>
      <c r="O79" s="6" t="s">
        <v>1128</v>
      </c>
    </row>
    <row r="80" spans="1:26" ht="28.7" customHeight="1" x14ac:dyDescent="0.3">
      <c r="A80" s="83" t="s">
        <v>65</v>
      </c>
      <c r="B80" s="83"/>
      <c r="C80" s="84"/>
      <c r="D80" s="84"/>
      <c r="E80" s="84"/>
      <c r="F80" s="84"/>
      <c r="G80" s="84"/>
      <c r="H80" s="84"/>
      <c r="I80" s="84"/>
      <c r="J80" s="84"/>
      <c r="K80" s="84"/>
      <c r="L80" s="84"/>
      <c r="M80" s="84"/>
      <c r="N80" s="36" t="str">
        <f>HYPERLINK("#N"&amp;ROW(N85),"_x0005_`BDCOD|X00044_x0007_`POSS|"&amp;ROW(N82)&amp;"_x0007_`POSE|"&amp;ROW(N85)&amp;"_x0007_`")</f>
        <v>_x0005_`BDCOD|X00044_x0007_`POSS|82_x0007_`POSE|85_x0007_`</v>
      </c>
    </row>
    <row r="81" spans="1:26" ht="28.7" customHeight="1" x14ac:dyDescent="0.3">
      <c r="A81" s="43" t="s">
        <v>379</v>
      </c>
      <c r="B81" s="43" t="s">
        <v>380</v>
      </c>
      <c r="C81" s="85"/>
      <c r="D81" s="87" t="s">
        <v>344</v>
      </c>
      <c r="E81" s="85"/>
      <c r="F81" s="85"/>
      <c r="G81" s="85"/>
      <c r="H81" s="85"/>
      <c r="I81" s="85"/>
      <c r="J81" s="85"/>
      <c r="K81" s="85"/>
      <c r="L81" s="85"/>
      <c r="M81" s="87" t="s">
        <v>381</v>
      </c>
      <c r="O81" s="6" t="s">
        <v>378</v>
      </c>
    </row>
    <row r="82" spans="1:26" ht="28.7" customHeight="1" x14ac:dyDescent="0.3">
      <c r="A82" s="9" t="s">
        <v>379</v>
      </c>
      <c r="B82" s="9" t="s">
        <v>380</v>
      </c>
      <c r="C82" s="86">
        <v>0.25979999999999998</v>
      </c>
      <c r="D82" s="33" t="s">
        <v>685</v>
      </c>
      <c r="E82" s="62">
        <f t="shared" ref="E82:F85" si="10">I82+G82+K82</f>
        <v>38469</v>
      </c>
      <c r="F82" s="88">
        <f t="shared" si="10"/>
        <v>9994.2000000000007</v>
      </c>
      <c r="G82" s="59">
        <v>0</v>
      </c>
      <c r="H82" s="88">
        <f>IF(C82=0,0,ROUNDDOWN(G82*C82,1))</f>
        <v>0</v>
      </c>
      <c r="I82" s="59">
        <v>0</v>
      </c>
      <c r="J82" s="89">
        <f>IF(C82=0,0,ROUNDDOWN(I82*C82,1))</f>
        <v>0</v>
      </c>
      <c r="K82" s="90">
        <f>경비목록표!E18</f>
        <v>38469</v>
      </c>
      <c r="L82" s="92">
        <f>IF(C82=0,0,ROUNDDOWN(K82*C82,1))</f>
        <v>9994.2000000000007</v>
      </c>
      <c r="M82" s="24" t="s">
        <v>2203</v>
      </c>
      <c r="N82" s="16" t="s">
        <v>2201</v>
      </c>
      <c r="O82" s="6" t="s">
        <v>2202</v>
      </c>
      <c r="P82" s="6" t="s">
        <v>1128</v>
      </c>
      <c r="Z82" s="19" t="str">
        <f ca="1">HYPERLINK("#"&amp;경비목록표!G2&amp;"!A"&amp;ROW(경비목록표!A18),"경비   15 →")</f>
        <v>경비   15 →</v>
      </c>
    </row>
    <row r="83" spans="1:26" ht="28.7" customHeight="1" x14ac:dyDescent="0.3">
      <c r="A83" s="9" t="s">
        <v>668</v>
      </c>
      <c r="B83" s="9"/>
      <c r="C83" s="86">
        <v>1</v>
      </c>
      <c r="D83" s="33" t="s">
        <v>647</v>
      </c>
      <c r="E83" s="62">
        <f t="shared" si="10"/>
        <v>47231</v>
      </c>
      <c r="F83" s="89">
        <f t="shared" si="10"/>
        <v>47231</v>
      </c>
      <c r="G83" s="90">
        <f>환율및기초자료!G7</f>
        <v>47231</v>
      </c>
      <c r="H83" s="91">
        <f>IF(C83=0,0,ROUNDDOWN(G83*C83,1))</f>
        <v>47231</v>
      </c>
      <c r="I83" s="59">
        <v>0</v>
      </c>
      <c r="J83" s="88">
        <f>IF(C83=0,0,ROUNDDOWN(I83*C83,1))</f>
        <v>0</v>
      </c>
      <c r="K83" s="59">
        <v>0</v>
      </c>
      <c r="L83" s="89">
        <f>IF(C83=0,0,ROUNDDOWN(K83*C83,1))</f>
        <v>0</v>
      </c>
      <c r="M83" s="24" t="s">
        <v>2197</v>
      </c>
      <c r="N83" s="16" t="s">
        <v>2195</v>
      </c>
      <c r="O83" s="6" t="s">
        <v>2196</v>
      </c>
      <c r="P83" s="6" t="s">
        <v>1128</v>
      </c>
      <c r="Z83" s="19" t="str">
        <f ca="1">HYPERLINK("#"&amp;환율및기초자료!I2&amp;"!A"&amp;ROW(환율및기초자료!A7),"노무    8 →")</f>
        <v>노무    8 →</v>
      </c>
    </row>
    <row r="84" spans="1:26" ht="28.7" customHeight="1" x14ac:dyDescent="0.3">
      <c r="A84" s="9" t="s">
        <v>435</v>
      </c>
      <c r="B84" s="9" t="s">
        <v>436</v>
      </c>
      <c r="C84" s="86">
        <v>5.0999999999999996</v>
      </c>
      <c r="D84" s="33" t="s">
        <v>431</v>
      </c>
      <c r="E84" s="62">
        <f t="shared" si="10"/>
        <v>1272</v>
      </c>
      <c r="F84" s="88">
        <f t="shared" si="10"/>
        <v>6487.2</v>
      </c>
      <c r="G84" s="59">
        <v>0</v>
      </c>
      <c r="H84" s="89">
        <f>IF(C84=0,0,ROUNDDOWN(G84*C84,1))</f>
        <v>0</v>
      </c>
      <c r="I84" s="90">
        <f>재료비목록표!E5</f>
        <v>1272</v>
      </c>
      <c r="J84" s="91">
        <f>IF(C84=0,0,ROUNDDOWN(I84*C84,1))</f>
        <v>6487.2</v>
      </c>
      <c r="K84" s="59">
        <v>0</v>
      </c>
      <c r="L84" s="89">
        <f>IF(C84=0,0,ROUNDDOWN(K84*C84,1))</f>
        <v>0</v>
      </c>
      <c r="M84" s="24" t="s">
        <v>2170</v>
      </c>
      <c r="N84" s="16" t="s">
        <v>2168</v>
      </c>
      <c r="O84" s="6" t="s">
        <v>2169</v>
      </c>
      <c r="P84" s="6" t="s">
        <v>1128</v>
      </c>
      <c r="Z84" s="19" t="str">
        <f ca="1">HYPERLINK("#"&amp;재료비목록표!G2&amp;"!A"&amp;ROW(재료비목록표!A5),"자재    2 →")</f>
        <v>자재    2 →</v>
      </c>
    </row>
    <row r="85" spans="1:26" ht="28.7" customHeight="1" x14ac:dyDescent="0.3">
      <c r="A85" s="9" t="s">
        <v>484</v>
      </c>
      <c r="B85" s="9" t="s">
        <v>485</v>
      </c>
      <c r="C85" s="86">
        <v>20</v>
      </c>
      <c r="D85" s="33" t="s">
        <v>480</v>
      </c>
      <c r="E85" s="62">
        <f t="shared" si="10"/>
        <v>6487.2</v>
      </c>
      <c r="F85" s="88">
        <f t="shared" si="10"/>
        <v>1297.4000000000001</v>
      </c>
      <c r="G85" s="59">
        <v>0</v>
      </c>
      <c r="H85" s="89">
        <f>IF(C85=0,0,ROUNDDOWN(G85*C85/100,1))</f>
        <v>0</v>
      </c>
      <c r="I85" s="90">
        <f>J84</f>
        <v>6487.2</v>
      </c>
      <c r="J85" s="91">
        <f>IF(C85=0,0,ROUNDDOWN(I85*C85/100,1))</f>
        <v>1297.4000000000001</v>
      </c>
      <c r="K85" s="59">
        <v>0</v>
      </c>
      <c r="L85" s="89">
        <f>IF(C85=0,0,ROUNDDOWN(K85*C85/100,1))</f>
        <v>0</v>
      </c>
      <c r="M85" s="24" t="s">
        <v>2173</v>
      </c>
      <c r="N85" s="16" t="s">
        <v>2171</v>
      </c>
      <c r="O85" s="6" t="s">
        <v>2172</v>
      </c>
      <c r="P85" s="6" t="s">
        <v>1128</v>
      </c>
      <c r="Z85" s="19" t="str">
        <f ca="1">HYPERLINK("#"&amp;재료비목록표!G2&amp;"!A"&amp;ROW(재료비목록표!A14),"자재   11 →")</f>
        <v>자재   11 →</v>
      </c>
    </row>
    <row r="86" spans="1:26" ht="28.7" customHeight="1" x14ac:dyDescent="0.3">
      <c r="A86" s="24" t="s">
        <v>6</v>
      </c>
      <c r="B86" s="58"/>
      <c r="C86" s="58"/>
      <c r="D86" s="58"/>
      <c r="E86" s="58"/>
      <c r="F86" s="55">
        <f>J86+H86+L86</f>
        <v>65009</v>
      </c>
      <c r="G86" s="58"/>
      <c r="H86" s="55">
        <f>ROUNDDOWN(SUMIF(P82:P85,O86,H82:H85),0)</f>
        <v>47231</v>
      </c>
      <c r="I86" s="58"/>
      <c r="J86" s="55">
        <f>ROUNDDOWN(SUMIF(P82:P85,O86,J82:J85),0)</f>
        <v>7784</v>
      </c>
      <c r="K86" s="58"/>
      <c r="L86" s="55">
        <f>ROUNDDOWN(SUMIF(P82:P85,O86,L82:L85),0)</f>
        <v>9994</v>
      </c>
      <c r="M86" s="58"/>
      <c r="O86" s="6" t="s">
        <v>1128</v>
      </c>
    </row>
    <row r="87" spans="1:26" ht="28.7" customHeight="1" x14ac:dyDescent="0.3">
      <c r="A87" s="83" t="s">
        <v>70</v>
      </c>
      <c r="B87" s="83"/>
      <c r="C87" s="84"/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36" t="str">
        <f>HYPERLINK("#N"&amp;ROW(N92),"_x0005_`BDCOD|X00046_x0007_`POSS|"&amp;ROW(N89)&amp;"_x0007_`POSE|"&amp;ROW(N92)&amp;"_x0007_`")</f>
        <v>_x0005_`BDCOD|X00046_x0007_`POSS|89_x0007_`POSE|92_x0007_`</v>
      </c>
    </row>
    <row r="88" spans="1:26" ht="28.7" customHeight="1" x14ac:dyDescent="0.3">
      <c r="A88" s="43" t="s">
        <v>383</v>
      </c>
      <c r="B88" s="43" t="s">
        <v>384</v>
      </c>
      <c r="C88" s="85"/>
      <c r="D88" s="87" t="s">
        <v>344</v>
      </c>
      <c r="E88" s="85"/>
      <c r="F88" s="85"/>
      <c r="G88" s="85"/>
      <c r="H88" s="85"/>
      <c r="I88" s="85"/>
      <c r="J88" s="85"/>
      <c r="K88" s="85"/>
      <c r="L88" s="85"/>
      <c r="M88" s="87" t="s">
        <v>385</v>
      </c>
      <c r="O88" s="6" t="s">
        <v>382</v>
      </c>
    </row>
    <row r="89" spans="1:26" ht="28.7" customHeight="1" x14ac:dyDescent="0.3">
      <c r="A89" s="9" t="s">
        <v>383</v>
      </c>
      <c r="B89" s="9" t="s">
        <v>384</v>
      </c>
      <c r="C89" s="86">
        <v>0.2576</v>
      </c>
      <c r="D89" s="33" t="s">
        <v>685</v>
      </c>
      <c r="E89" s="62">
        <f t="shared" ref="E89:F92" si="11">I89+G89+K89</f>
        <v>63483</v>
      </c>
      <c r="F89" s="88">
        <f t="shared" si="11"/>
        <v>16353.2</v>
      </c>
      <c r="G89" s="59">
        <v>0</v>
      </c>
      <c r="H89" s="88">
        <f>IF(C89=0,0,ROUNDDOWN(G89*C89,1))</f>
        <v>0</v>
      </c>
      <c r="I89" s="59">
        <v>0</v>
      </c>
      <c r="J89" s="89">
        <f>IF(C89=0,0,ROUNDDOWN(I89*C89,1))</f>
        <v>0</v>
      </c>
      <c r="K89" s="90">
        <f>경비목록표!E15</f>
        <v>63483</v>
      </c>
      <c r="L89" s="92">
        <f>IF(C89=0,0,ROUNDDOWN(K89*C89,1))</f>
        <v>16353.2</v>
      </c>
      <c r="M89" s="24" t="s">
        <v>2206</v>
      </c>
      <c r="N89" s="16" t="s">
        <v>2204</v>
      </c>
      <c r="O89" s="6" t="s">
        <v>2205</v>
      </c>
      <c r="P89" s="6" t="s">
        <v>1128</v>
      </c>
      <c r="Z89" s="19" t="str">
        <f ca="1">HYPERLINK("#"&amp;경비목록표!G2&amp;"!A"&amp;ROW(경비목록표!A15),"경비   12 →")</f>
        <v>경비   12 →</v>
      </c>
    </row>
    <row r="90" spans="1:26" ht="28.7" customHeight="1" x14ac:dyDescent="0.3">
      <c r="A90" s="9" t="s">
        <v>665</v>
      </c>
      <c r="B90" s="9"/>
      <c r="C90" s="86">
        <v>1</v>
      </c>
      <c r="D90" s="33" t="s">
        <v>647</v>
      </c>
      <c r="E90" s="62">
        <f t="shared" si="11"/>
        <v>55700</v>
      </c>
      <c r="F90" s="89">
        <f t="shared" si="11"/>
        <v>55700</v>
      </c>
      <c r="G90" s="90">
        <f>환율및기초자료!G6</f>
        <v>55700</v>
      </c>
      <c r="H90" s="91">
        <f>IF(C90=0,0,ROUNDDOWN(G90*C90,1))</f>
        <v>55700</v>
      </c>
      <c r="I90" s="59">
        <v>0</v>
      </c>
      <c r="J90" s="88">
        <f>IF(C90=0,0,ROUNDDOWN(I90*C90,1))</f>
        <v>0</v>
      </c>
      <c r="K90" s="59">
        <v>0</v>
      </c>
      <c r="L90" s="89">
        <f>IF(C90=0,0,ROUNDDOWN(K90*C90,1))</f>
        <v>0</v>
      </c>
      <c r="M90" s="24" t="s">
        <v>2167</v>
      </c>
      <c r="N90" s="16" t="s">
        <v>2165</v>
      </c>
      <c r="O90" s="6" t="s">
        <v>2166</v>
      </c>
      <c r="P90" s="6" t="s">
        <v>1128</v>
      </c>
      <c r="Z90" s="19" t="str">
        <f ca="1">HYPERLINK("#"&amp;환율및기초자료!I2&amp;"!A"&amp;ROW(환율및기초자료!A6),"노무    7 →")</f>
        <v>노무    7 →</v>
      </c>
    </row>
    <row r="91" spans="1:26" ht="28.7" customHeight="1" x14ac:dyDescent="0.3">
      <c r="A91" s="9" t="s">
        <v>435</v>
      </c>
      <c r="B91" s="9" t="s">
        <v>436</v>
      </c>
      <c r="C91" s="86">
        <v>16.5</v>
      </c>
      <c r="D91" s="33" t="s">
        <v>431</v>
      </c>
      <c r="E91" s="62">
        <f t="shared" si="11"/>
        <v>1272</v>
      </c>
      <c r="F91" s="88">
        <f t="shared" si="11"/>
        <v>20988</v>
      </c>
      <c r="G91" s="59">
        <v>0</v>
      </c>
      <c r="H91" s="89">
        <f>IF(C91=0,0,ROUNDDOWN(G91*C91,1))</f>
        <v>0</v>
      </c>
      <c r="I91" s="90">
        <f>재료비목록표!E5</f>
        <v>1272</v>
      </c>
      <c r="J91" s="91">
        <f>IF(C91=0,0,ROUNDDOWN(I91*C91,1))</f>
        <v>20988</v>
      </c>
      <c r="K91" s="59">
        <v>0</v>
      </c>
      <c r="L91" s="89">
        <f>IF(C91=0,0,ROUNDDOWN(K91*C91,1))</f>
        <v>0</v>
      </c>
      <c r="M91" s="24" t="s">
        <v>2170</v>
      </c>
      <c r="N91" s="16" t="s">
        <v>2168</v>
      </c>
      <c r="O91" s="6" t="s">
        <v>2169</v>
      </c>
      <c r="P91" s="6" t="s">
        <v>1128</v>
      </c>
      <c r="Z91" s="19" t="str">
        <f ca="1">HYPERLINK("#"&amp;재료비목록표!G2&amp;"!A"&amp;ROW(재료비목록표!A5),"자재    2 →")</f>
        <v>자재    2 →</v>
      </c>
    </row>
    <row r="92" spans="1:26" ht="28.7" customHeight="1" x14ac:dyDescent="0.3">
      <c r="A92" s="9" t="s">
        <v>484</v>
      </c>
      <c r="B92" s="9" t="s">
        <v>485</v>
      </c>
      <c r="C92" s="86">
        <v>39</v>
      </c>
      <c r="D92" s="33" t="s">
        <v>480</v>
      </c>
      <c r="E92" s="62">
        <f t="shared" si="11"/>
        <v>20988</v>
      </c>
      <c r="F92" s="88">
        <f t="shared" si="11"/>
        <v>8185.3</v>
      </c>
      <c r="G92" s="59">
        <v>0</v>
      </c>
      <c r="H92" s="89">
        <f>IF(C92=0,0,ROUNDDOWN(G92*C92/100,1))</f>
        <v>0</v>
      </c>
      <c r="I92" s="90">
        <f>J91</f>
        <v>20988</v>
      </c>
      <c r="J92" s="91">
        <f>IF(C92=0,0,ROUNDDOWN(I92*C92/100,1))</f>
        <v>8185.3</v>
      </c>
      <c r="K92" s="59">
        <v>0</v>
      </c>
      <c r="L92" s="89">
        <f>IF(C92=0,0,ROUNDDOWN(K92*C92/100,1))</f>
        <v>0</v>
      </c>
      <c r="M92" s="24" t="s">
        <v>2173</v>
      </c>
      <c r="N92" s="16" t="s">
        <v>2171</v>
      </c>
      <c r="O92" s="6" t="s">
        <v>2172</v>
      </c>
      <c r="P92" s="6" t="s">
        <v>1128</v>
      </c>
      <c r="Z92" s="19" t="str">
        <f ca="1">HYPERLINK("#"&amp;재료비목록표!G2&amp;"!A"&amp;ROW(재료비목록표!A14),"자재   11 →")</f>
        <v>자재   11 →</v>
      </c>
    </row>
    <row r="93" spans="1:26" ht="28.7" customHeight="1" x14ac:dyDescent="0.3">
      <c r="A93" s="24" t="s">
        <v>6</v>
      </c>
      <c r="B93" s="58"/>
      <c r="C93" s="58"/>
      <c r="D93" s="58"/>
      <c r="E93" s="58"/>
      <c r="F93" s="55">
        <f>J93+H93+L93</f>
        <v>101226</v>
      </c>
      <c r="G93" s="58"/>
      <c r="H93" s="55">
        <f>ROUNDDOWN(SUMIF(P89:P92,O93,H89:H92),0)</f>
        <v>55700</v>
      </c>
      <c r="I93" s="58"/>
      <c r="J93" s="55">
        <f>ROUNDDOWN(SUMIF(P89:P92,O93,J89:J92),0)</f>
        <v>29173</v>
      </c>
      <c r="K93" s="58"/>
      <c r="L93" s="55">
        <f>ROUNDDOWN(SUMIF(P89:P92,O93,L89:L92),0)</f>
        <v>16353</v>
      </c>
      <c r="M93" s="58"/>
      <c r="O93" s="6" t="s">
        <v>1128</v>
      </c>
    </row>
    <row r="94" spans="1:26" ht="28.7" customHeight="1" x14ac:dyDescent="0.3">
      <c r="A94" s="83" t="s">
        <v>74</v>
      </c>
      <c r="B94" s="83"/>
      <c r="C94" s="84"/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36" t="str">
        <f>HYPERLINK("#N"&amp;ROW(N99),"_x0005_`BDCOD|X00048_x0007_`POSS|"&amp;ROW(N96)&amp;"_x0007_`POSE|"&amp;ROW(N99)&amp;"_x0007_`")</f>
        <v>_x0005_`BDCOD|X00048_x0007_`POSS|96_x0007_`POSE|99_x0007_`</v>
      </c>
    </row>
    <row r="95" spans="1:26" ht="28.7" customHeight="1" x14ac:dyDescent="0.3">
      <c r="A95" s="43" t="s">
        <v>387</v>
      </c>
      <c r="B95" s="43"/>
      <c r="C95" s="85"/>
      <c r="D95" s="87" t="s">
        <v>344</v>
      </c>
      <c r="E95" s="85"/>
      <c r="F95" s="85"/>
      <c r="G95" s="85"/>
      <c r="H95" s="85"/>
      <c r="I95" s="85"/>
      <c r="J95" s="85"/>
      <c r="K95" s="85"/>
      <c r="L95" s="85"/>
      <c r="M95" s="87" t="s">
        <v>388</v>
      </c>
      <c r="O95" s="6" t="s">
        <v>386</v>
      </c>
    </row>
    <row r="96" spans="1:26" ht="28.7" customHeight="1" x14ac:dyDescent="0.3">
      <c r="A96" s="9" t="s">
        <v>387</v>
      </c>
      <c r="B96" s="9"/>
      <c r="C96" s="86">
        <v>0.3039</v>
      </c>
      <c r="D96" s="33" t="s">
        <v>685</v>
      </c>
      <c r="E96" s="62">
        <f t="shared" ref="E96:F99" si="12">I96+G96+K96</f>
        <v>5409</v>
      </c>
      <c r="F96" s="88">
        <f t="shared" si="12"/>
        <v>1643.7</v>
      </c>
      <c r="G96" s="59">
        <v>0</v>
      </c>
      <c r="H96" s="88">
        <f>IF(C96=0,0,ROUNDDOWN(G96*C96,1))</f>
        <v>0</v>
      </c>
      <c r="I96" s="59">
        <v>0</v>
      </c>
      <c r="J96" s="89">
        <f>IF(C96=0,0,ROUNDDOWN(I96*C96,1))</f>
        <v>0</v>
      </c>
      <c r="K96" s="90">
        <f>경비목록표!E16</f>
        <v>5409</v>
      </c>
      <c r="L96" s="92">
        <f>IF(C96=0,0,ROUNDDOWN(K96*C96,1))</f>
        <v>1643.7</v>
      </c>
      <c r="M96" s="24" t="s">
        <v>2209</v>
      </c>
      <c r="N96" s="16" t="s">
        <v>2207</v>
      </c>
      <c r="O96" s="6" t="s">
        <v>2208</v>
      </c>
      <c r="P96" s="6" t="s">
        <v>1128</v>
      </c>
      <c r="Z96" s="19" t="str">
        <f ca="1">HYPERLINK("#"&amp;경비목록표!G2&amp;"!A"&amp;ROW(경비목록표!A16),"경비   13 →")</f>
        <v>경비   13 →</v>
      </c>
    </row>
    <row r="97" spans="1:26" ht="28.7" customHeight="1" x14ac:dyDescent="0.3">
      <c r="A97" s="9" t="s">
        <v>671</v>
      </c>
      <c r="B97" s="9"/>
      <c r="C97" s="86">
        <v>1</v>
      </c>
      <c r="D97" s="33" t="s">
        <v>647</v>
      </c>
      <c r="E97" s="62">
        <f t="shared" si="12"/>
        <v>33571</v>
      </c>
      <c r="F97" s="89">
        <f t="shared" si="12"/>
        <v>33571</v>
      </c>
      <c r="G97" s="90">
        <f>환율및기초자료!G8</f>
        <v>33571</v>
      </c>
      <c r="H97" s="91">
        <f>IF(C97=0,0,ROUNDDOWN(G97*C97,1))</f>
        <v>33571</v>
      </c>
      <c r="I97" s="59">
        <v>0</v>
      </c>
      <c r="J97" s="88">
        <f>IF(C97=0,0,ROUNDDOWN(I97*C97,1))</f>
        <v>0</v>
      </c>
      <c r="K97" s="59">
        <v>0</v>
      </c>
      <c r="L97" s="89">
        <f>IF(C97=0,0,ROUNDDOWN(K97*C97,1))</f>
        <v>0</v>
      </c>
      <c r="M97" s="24" t="s">
        <v>2212</v>
      </c>
      <c r="N97" s="16" t="s">
        <v>2210</v>
      </c>
      <c r="O97" s="6" t="s">
        <v>2211</v>
      </c>
      <c r="P97" s="6" t="s">
        <v>1128</v>
      </c>
      <c r="Z97" s="19" t="str">
        <f ca="1">HYPERLINK("#"&amp;환율및기초자료!I2&amp;"!A"&amp;ROW(환율및기초자료!A8),"노무    9 →")</f>
        <v>노무    9 →</v>
      </c>
    </row>
    <row r="98" spans="1:26" ht="28.7" customHeight="1" x14ac:dyDescent="0.3">
      <c r="A98" s="9" t="s">
        <v>430</v>
      </c>
      <c r="B98" s="9" t="s">
        <v>281</v>
      </c>
      <c r="C98" s="86">
        <v>3.9</v>
      </c>
      <c r="D98" s="33" t="s">
        <v>431</v>
      </c>
      <c r="E98" s="62">
        <f t="shared" si="12"/>
        <v>1369</v>
      </c>
      <c r="F98" s="88">
        <f t="shared" si="12"/>
        <v>5339.1</v>
      </c>
      <c r="G98" s="59">
        <v>0</v>
      </c>
      <c r="H98" s="89">
        <f>IF(C98=0,0,ROUNDDOWN(G98*C98,1))</f>
        <v>0</v>
      </c>
      <c r="I98" s="90">
        <f>재료비목록표!E4</f>
        <v>1369</v>
      </c>
      <c r="J98" s="91">
        <f>IF(C98=0,0,ROUNDDOWN(I98*C98,1))</f>
        <v>5339.1</v>
      </c>
      <c r="K98" s="59">
        <v>0</v>
      </c>
      <c r="L98" s="89">
        <f>IF(C98=0,0,ROUNDDOWN(K98*C98,1))</f>
        <v>0</v>
      </c>
      <c r="M98" s="24" t="s">
        <v>2215</v>
      </c>
      <c r="N98" s="16" t="s">
        <v>2213</v>
      </c>
      <c r="O98" s="6" t="s">
        <v>2214</v>
      </c>
      <c r="P98" s="6" t="s">
        <v>1128</v>
      </c>
      <c r="Z98" s="19" t="str">
        <f ca="1">HYPERLINK("#"&amp;재료비목록표!G2&amp;"!A"&amp;ROW(재료비목록표!A4),"자재    1 →")</f>
        <v>자재    1 →</v>
      </c>
    </row>
    <row r="99" spans="1:26" ht="28.7" customHeight="1" x14ac:dyDescent="0.3">
      <c r="A99" s="9" t="s">
        <v>494</v>
      </c>
      <c r="B99" s="9" t="s">
        <v>485</v>
      </c>
      <c r="C99" s="86">
        <v>2</v>
      </c>
      <c r="D99" s="33" t="s">
        <v>480</v>
      </c>
      <c r="E99" s="62">
        <f t="shared" si="12"/>
        <v>5339.1</v>
      </c>
      <c r="F99" s="88">
        <f t="shared" si="12"/>
        <v>106.7</v>
      </c>
      <c r="G99" s="59">
        <v>0</v>
      </c>
      <c r="H99" s="89">
        <f>IF(C99=0,0,ROUNDDOWN(G99*C99/100,1))</f>
        <v>0</v>
      </c>
      <c r="I99" s="90">
        <f>J98</f>
        <v>5339.1</v>
      </c>
      <c r="J99" s="91">
        <f>IF(C99=0,0,ROUNDDOWN(I99*C99/100,1))</f>
        <v>106.7</v>
      </c>
      <c r="K99" s="59">
        <v>0</v>
      </c>
      <c r="L99" s="89">
        <f>IF(C99=0,0,ROUNDDOWN(K99*C99/100,1))</f>
        <v>0</v>
      </c>
      <c r="M99" s="24" t="s">
        <v>2218</v>
      </c>
      <c r="N99" s="16" t="s">
        <v>2216</v>
      </c>
      <c r="O99" s="6" t="s">
        <v>2217</v>
      </c>
      <c r="P99" s="6" t="s">
        <v>1128</v>
      </c>
      <c r="Z99" s="19" t="str">
        <f ca="1">HYPERLINK("#"&amp;재료비목록표!G2&amp;"!A"&amp;ROW(재료비목록표!A16),"자재   13 →")</f>
        <v>자재   13 →</v>
      </c>
    </row>
    <row r="100" spans="1:26" ht="28.7" customHeight="1" x14ac:dyDescent="0.3">
      <c r="A100" s="24" t="s">
        <v>6</v>
      </c>
      <c r="B100" s="58"/>
      <c r="C100" s="58"/>
      <c r="D100" s="58"/>
      <c r="E100" s="58"/>
      <c r="F100" s="55">
        <f>J100+H100+L100</f>
        <v>40659</v>
      </c>
      <c r="G100" s="58"/>
      <c r="H100" s="55">
        <f>ROUNDDOWN(SUMIF(P96:P99,O100,H96:H99),0)</f>
        <v>33571</v>
      </c>
      <c r="I100" s="58"/>
      <c r="J100" s="55">
        <f>ROUNDDOWN(SUMIF(P96:P99,O100,J96:J99),0)</f>
        <v>5445</v>
      </c>
      <c r="K100" s="58"/>
      <c r="L100" s="55">
        <f>ROUNDDOWN(SUMIF(P96:P99,O100,L96:L99),0)</f>
        <v>1643</v>
      </c>
      <c r="M100" s="58"/>
      <c r="O100" s="6" t="s">
        <v>1128</v>
      </c>
    </row>
    <row r="101" spans="1:26" ht="28.7" customHeight="1" x14ac:dyDescent="0.3">
      <c r="A101" s="83" t="s">
        <v>79</v>
      </c>
      <c r="B101" s="83"/>
      <c r="C101" s="84"/>
      <c r="D101" s="84"/>
      <c r="E101" s="84"/>
      <c r="F101" s="84"/>
      <c r="G101" s="84"/>
      <c r="H101" s="84"/>
      <c r="I101" s="84"/>
      <c r="J101" s="84"/>
      <c r="K101" s="84"/>
      <c r="L101" s="84"/>
      <c r="M101" s="84"/>
      <c r="N101" s="36" t="str">
        <f>HYPERLINK("#N"&amp;ROW(N106),"_x0005_`BDCOD|X00055_x0007_`POSS|"&amp;ROW(N103)&amp;"_x0007_`POSE|"&amp;ROW(N106)&amp;"_x0007_`")</f>
        <v>_x0005_`BDCOD|X00055_x0007_`POSS|103_x0007_`POSE|106_x0007_`</v>
      </c>
    </row>
    <row r="102" spans="1:26" ht="28.7" customHeight="1" x14ac:dyDescent="0.3">
      <c r="A102" s="43" t="s">
        <v>390</v>
      </c>
      <c r="B102" s="43" t="s">
        <v>391</v>
      </c>
      <c r="C102" s="85"/>
      <c r="D102" s="87" t="s">
        <v>344</v>
      </c>
      <c r="E102" s="85"/>
      <c r="F102" s="85"/>
      <c r="G102" s="85"/>
      <c r="H102" s="85"/>
      <c r="I102" s="85"/>
      <c r="J102" s="85"/>
      <c r="K102" s="85"/>
      <c r="L102" s="85"/>
      <c r="M102" s="87" t="s">
        <v>392</v>
      </c>
      <c r="O102" s="6" t="s">
        <v>389</v>
      </c>
    </row>
    <row r="103" spans="1:26" ht="28.7" customHeight="1" x14ac:dyDescent="0.3">
      <c r="A103" s="9" t="s">
        <v>719</v>
      </c>
      <c r="B103" s="9" t="s">
        <v>720</v>
      </c>
      <c r="C103" s="86">
        <v>0.15479999999999999</v>
      </c>
      <c r="D103" s="33" t="s">
        <v>685</v>
      </c>
      <c r="E103" s="62">
        <f t="shared" ref="E103:F106" si="13">I103+G103+K103</f>
        <v>150666</v>
      </c>
      <c r="F103" s="88">
        <f t="shared" si="13"/>
        <v>23323</v>
      </c>
      <c r="G103" s="59">
        <v>0</v>
      </c>
      <c r="H103" s="88">
        <f>IF(C103=0,0,ROUNDDOWN(G103*C103,1))</f>
        <v>0</v>
      </c>
      <c r="I103" s="59">
        <v>0</v>
      </c>
      <c r="J103" s="89">
        <f>IF(C103=0,0,ROUNDDOWN(I103*C103,1))</f>
        <v>0</v>
      </c>
      <c r="K103" s="90">
        <f>경비목록표!E17</f>
        <v>150666</v>
      </c>
      <c r="L103" s="92">
        <f>IF(C103=0,0,ROUNDDOWN(K103*C103,1))</f>
        <v>23323</v>
      </c>
      <c r="M103" s="24" t="s">
        <v>2221</v>
      </c>
      <c r="N103" s="16" t="s">
        <v>2219</v>
      </c>
      <c r="O103" s="6" t="s">
        <v>2220</v>
      </c>
      <c r="P103" s="6" t="s">
        <v>1128</v>
      </c>
      <c r="Z103" s="19" t="str">
        <f ca="1">HYPERLINK("#"&amp;경비목록표!G2&amp;"!A"&amp;ROW(경비목록표!A17),"경비   14 →")</f>
        <v>경비   14 →</v>
      </c>
    </row>
    <row r="104" spans="1:26" ht="28.7" customHeight="1" x14ac:dyDescent="0.3">
      <c r="A104" s="9" t="s">
        <v>665</v>
      </c>
      <c r="B104" s="9"/>
      <c r="C104" s="86">
        <v>1</v>
      </c>
      <c r="D104" s="33" t="s">
        <v>647</v>
      </c>
      <c r="E104" s="62">
        <f t="shared" si="13"/>
        <v>55700</v>
      </c>
      <c r="F104" s="89">
        <f t="shared" si="13"/>
        <v>55700</v>
      </c>
      <c r="G104" s="90">
        <f>환율및기초자료!G6</f>
        <v>55700</v>
      </c>
      <c r="H104" s="91">
        <f>IF(C104=0,0,ROUNDDOWN(G104*C104,1))</f>
        <v>55700</v>
      </c>
      <c r="I104" s="59">
        <v>0</v>
      </c>
      <c r="J104" s="88">
        <f>IF(C104=0,0,ROUNDDOWN(I104*C104,1))</f>
        <v>0</v>
      </c>
      <c r="K104" s="59">
        <v>0</v>
      </c>
      <c r="L104" s="89">
        <f>IF(C104=0,0,ROUNDDOWN(K104*C104,1))</f>
        <v>0</v>
      </c>
      <c r="M104" s="24" t="s">
        <v>2167</v>
      </c>
      <c r="N104" s="16" t="s">
        <v>2165</v>
      </c>
      <c r="O104" s="6" t="s">
        <v>2166</v>
      </c>
      <c r="P104" s="6" t="s">
        <v>1128</v>
      </c>
      <c r="Z104" s="19" t="str">
        <f ca="1">HYPERLINK("#"&amp;환율및기초자료!I2&amp;"!A"&amp;ROW(환율및기초자료!A6),"노무    7 →")</f>
        <v>노무    7 →</v>
      </c>
    </row>
    <row r="105" spans="1:26" ht="28.7" customHeight="1" x14ac:dyDescent="0.3">
      <c r="A105" s="9" t="s">
        <v>435</v>
      </c>
      <c r="B105" s="9" t="s">
        <v>436</v>
      </c>
      <c r="C105" s="86">
        <v>18.600000000000001</v>
      </c>
      <c r="D105" s="33" t="s">
        <v>431</v>
      </c>
      <c r="E105" s="62">
        <f t="shared" si="13"/>
        <v>1272</v>
      </c>
      <c r="F105" s="88">
        <f t="shared" si="13"/>
        <v>23659.200000000001</v>
      </c>
      <c r="G105" s="59">
        <v>0</v>
      </c>
      <c r="H105" s="89">
        <f>IF(C105=0,0,ROUNDDOWN(G105*C105,1))</f>
        <v>0</v>
      </c>
      <c r="I105" s="90">
        <f>재료비목록표!E5</f>
        <v>1272</v>
      </c>
      <c r="J105" s="91">
        <f>IF(C105=0,0,ROUNDDOWN(I105*C105,1))</f>
        <v>23659.200000000001</v>
      </c>
      <c r="K105" s="59">
        <v>0</v>
      </c>
      <c r="L105" s="89">
        <f>IF(C105=0,0,ROUNDDOWN(K105*C105,1))</f>
        <v>0</v>
      </c>
      <c r="M105" s="24" t="s">
        <v>2170</v>
      </c>
      <c r="N105" s="16" t="s">
        <v>2168</v>
      </c>
      <c r="O105" s="6" t="s">
        <v>2169</v>
      </c>
      <c r="P105" s="6" t="s">
        <v>1128</v>
      </c>
      <c r="Z105" s="19" t="str">
        <f ca="1">HYPERLINK("#"&amp;재료비목록표!G2&amp;"!A"&amp;ROW(재료비목록표!A5),"자재    2 →")</f>
        <v>자재    2 →</v>
      </c>
    </row>
    <row r="106" spans="1:26" ht="28.7" customHeight="1" x14ac:dyDescent="0.3">
      <c r="A106" s="9" t="s">
        <v>478</v>
      </c>
      <c r="B106" s="9" t="s">
        <v>479</v>
      </c>
      <c r="C106" s="86">
        <v>23</v>
      </c>
      <c r="D106" s="33" t="s">
        <v>480</v>
      </c>
      <c r="E106" s="62">
        <f t="shared" si="13"/>
        <v>23659.200000000001</v>
      </c>
      <c r="F106" s="88">
        <f t="shared" si="13"/>
        <v>5441.6</v>
      </c>
      <c r="G106" s="59">
        <v>0</v>
      </c>
      <c r="H106" s="88">
        <f>IF(C106=0,0,ROUNDDOWN(G106*C106/100,1))</f>
        <v>0</v>
      </c>
      <c r="I106" s="59">
        <v>23659.200000000001</v>
      </c>
      <c r="J106" s="88">
        <f>IF(C106=0,0,ROUNDDOWN(I106*C106/100,1))</f>
        <v>5441.6</v>
      </c>
      <c r="K106" s="59">
        <v>0</v>
      </c>
      <c r="L106" s="89">
        <f>IF(C106=0,0,ROUNDDOWN(K106*C106/100,1))</f>
        <v>0</v>
      </c>
      <c r="M106" s="24" t="s">
        <v>2224</v>
      </c>
      <c r="N106" s="16" t="s">
        <v>2222</v>
      </c>
      <c r="O106" s="6" t="s">
        <v>2223</v>
      </c>
      <c r="P106" s="6" t="s">
        <v>1128</v>
      </c>
      <c r="Z106" s="19" t="str">
        <f ca="1">HYPERLINK("#"&amp;재료비목록표!G2&amp;"!A"&amp;ROW(재료비목록표!A13),"자재   10 →")</f>
        <v>자재   10 →</v>
      </c>
    </row>
    <row r="107" spans="1:26" ht="28.7" customHeight="1" x14ac:dyDescent="0.3">
      <c r="A107" s="24" t="s">
        <v>6</v>
      </c>
      <c r="B107" s="58"/>
      <c r="C107" s="58"/>
      <c r="D107" s="58"/>
      <c r="E107" s="58"/>
      <c r="F107" s="55">
        <f>J107+H107+L107</f>
        <v>108123</v>
      </c>
      <c r="G107" s="58"/>
      <c r="H107" s="55">
        <f>ROUNDDOWN(SUMIF(P103:P106,O107,H103:H106),0)</f>
        <v>55700</v>
      </c>
      <c r="I107" s="58"/>
      <c r="J107" s="55">
        <f>ROUNDDOWN(SUMIF(P103:P106,O107,J103:J106),0)</f>
        <v>29100</v>
      </c>
      <c r="K107" s="58"/>
      <c r="L107" s="55">
        <f>ROUNDDOWN(SUMIF(P103:P106,O107,L103:L106),0)</f>
        <v>23323</v>
      </c>
      <c r="M107" s="58"/>
      <c r="O107" s="6" t="s">
        <v>1128</v>
      </c>
    </row>
    <row r="108" spans="1:26" ht="28.7" customHeight="1" x14ac:dyDescent="0.3">
      <c r="A108" s="83" t="s">
        <v>84</v>
      </c>
      <c r="B108" s="83"/>
      <c r="C108" s="84"/>
      <c r="D108" s="84"/>
      <c r="E108" s="84"/>
      <c r="F108" s="84"/>
      <c r="G108" s="84"/>
      <c r="H108" s="84"/>
      <c r="I108" s="84"/>
      <c r="J108" s="84"/>
      <c r="K108" s="84"/>
      <c r="L108" s="84"/>
      <c r="M108" s="84"/>
      <c r="N108" s="36" t="str">
        <f>HYPERLINK("#N"&amp;ROW(N113),"_x0005_`BDCOD|X00074_x0007_`POSS|"&amp;ROW(N110)&amp;"_x0007_`POSE|"&amp;ROW(N113)&amp;"_x0007_`")</f>
        <v>_x0005_`BDCOD|X00074_x0007_`POSS|110_x0007_`POSE|113_x0007_`</v>
      </c>
    </row>
    <row r="109" spans="1:26" ht="28.7" customHeight="1" x14ac:dyDescent="0.3">
      <c r="A109" s="43" t="s">
        <v>394</v>
      </c>
      <c r="B109" s="43"/>
      <c r="C109" s="85"/>
      <c r="D109" s="87" t="s">
        <v>344</v>
      </c>
      <c r="E109" s="85"/>
      <c r="F109" s="85"/>
      <c r="G109" s="85"/>
      <c r="H109" s="85"/>
      <c r="I109" s="85"/>
      <c r="J109" s="85"/>
      <c r="K109" s="85"/>
      <c r="L109" s="85"/>
      <c r="M109" s="87" t="s">
        <v>395</v>
      </c>
      <c r="O109" s="6" t="s">
        <v>393</v>
      </c>
    </row>
    <row r="110" spans="1:26" ht="28.7" customHeight="1" x14ac:dyDescent="0.3">
      <c r="A110" s="9" t="s">
        <v>733</v>
      </c>
      <c r="B110" s="9"/>
      <c r="C110" s="86">
        <v>0.29670000000000002</v>
      </c>
      <c r="D110" s="33" t="s">
        <v>685</v>
      </c>
      <c r="E110" s="62">
        <f t="shared" ref="E110:F113" si="14">I110+G110+K110</f>
        <v>20793</v>
      </c>
      <c r="F110" s="88">
        <f t="shared" si="14"/>
        <v>6169.2</v>
      </c>
      <c r="G110" s="59">
        <v>0</v>
      </c>
      <c r="H110" s="88">
        <f>IF(C110=0,0,ROUNDDOWN(G110*C110,1))</f>
        <v>0</v>
      </c>
      <c r="I110" s="59">
        <v>0</v>
      </c>
      <c r="J110" s="89">
        <f>IF(C110=0,0,ROUNDDOWN(I110*C110,1))</f>
        <v>0</v>
      </c>
      <c r="K110" s="90">
        <f>경비목록표!E21</f>
        <v>20793</v>
      </c>
      <c r="L110" s="92">
        <f>IF(C110=0,0,ROUNDDOWN(K110*C110,1))</f>
        <v>6169.2</v>
      </c>
      <c r="M110" s="24" t="s">
        <v>2227</v>
      </c>
      <c r="N110" s="16" t="s">
        <v>2225</v>
      </c>
      <c r="O110" s="6" t="s">
        <v>2226</v>
      </c>
      <c r="P110" s="6" t="s">
        <v>1128</v>
      </c>
      <c r="Z110" s="19" t="str">
        <f ca="1">HYPERLINK("#"&amp;경비목록표!G2&amp;"!A"&amp;ROW(경비목록표!A21),"경비   18 →")</f>
        <v>경비   18 →</v>
      </c>
    </row>
    <row r="111" spans="1:26" ht="28.7" customHeight="1" x14ac:dyDescent="0.3">
      <c r="A111" s="9" t="s">
        <v>668</v>
      </c>
      <c r="B111" s="9"/>
      <c r="C111" s="86">
        <v>1</v>
      </c>
      <c r="D111" s="33" t="s">
        <v>647</v>
      </c>
      <c r="E111" s="62">
        <f t="shared" si="14"/>
        <v>47231</v>
      </c>
      <c r="F111" s="89">
        <f t="shared" si="14"/>
        <v>47231</v>
      </c>
      <c r="G111" s="90">
        <f>환율및기초자료!G7</f>
        <v>47231</v>
      </c>
      <c r="H111" s="91">
        <f>IF(C111=0,0,ROUNDDOWN(G111*C111,1))</f>
        <v>47231</v>
      </c>
      <c r="I111" s="59">
        <v>0</v>
      </c>
      <c r="J111" s="88">
        <f>IF(C111=0,0,ROUNDDOWN(I111*C111,1))</f>
        <v>0</v>
      </c>
      <c r="K111" s="59">
        <v>0</v>
      </c>
      <c r="L111" s="89">
        <f>IF(C111=0,0,ROUNDDOWN(K111*C111,1))</f>
        <v>0</v>
      </c>
      <c r="M111" s="24" t="s">
        <v>2197</v>
      </c>
      <c r="N111" s="16" t="s">
        <v>2195</v>
      </c>
      <c r="O111" s="6" t="s">
        <v>2196</v>
      </c>
      <c r="P111" s="6" t="s">
        <v>1128</v>
      </c>
      <c r="Z111" s="19" t="str">
        <f ca="1">HYPERLINK("#"&amp;환율및기초자료!I2&amp;"!A"&amp;ROW(환율및기초자료!A7),"노무    8 →")</f>
        <v>노무    8 →</v>
      </c>
    </row>
    <row r="112" spans="1:26" ht="28.7" customHeight="1" x14ac:dyDescent="0.3">
      <c r="A112" s="9" t="s">
        <v>435</v>
      </c>
      <c r="B112" s="9" t="s">
        <v>436</v>
      </c>
      <c r="C112" s="86">
        <v>2.9</v>
      </c>
      <c r="D112" s="33" t="s">
        <v>431</v>
      </c>
      <c r="E112" s="62">
        <f t="shared" si="14"/>
        <v>1272</v>
      </c>
      <c r="F112" s="88">
        <f t="shared" si="14"/>
        <v>3688.8</v>
      </c>
      <c r="G112" s="59">
        <v>0</v>
      </c>
      <c r="H112" s="89">
        <f>IF(C112=0,0,ROUNDDOWN(G112*C112,1))</f>
        <v>0</v>
      </c>
      <c r="I112" s="90">
        <f>재료비목록표!E5</f>
        <v>1272</v>
      </c>
      <c r="J112" s="91">
        <f>IF(C112=0,0,ROUNDDOWN(I112*C112,1))</f>
        <v>3688.8</v>
      </c>
      <c r="K112" s="59">
        <v>0</v>
      </c>
      <c r="L112" s="89">
        <f>IF(C112=0,0,ROUNDDOWN(K112*C112,1))</f>
        <v>0</v>
      </c>
      <c r="M112" s="24" t="s">
        <v>2170</v>
      </c>
      <c r="N112" s="16" t="s">
        <v>2168</v>
      </c>
      <c r="O112" s="6" t="s">
        <v>2169</v>
      </c>
      <c r="P112" s="6" t="s">
        <v>1128</v>
      </c>
      <c r="Z112" s="19" t="str">
        <f ca="1">HYPERLINK("#"&amp;재료비목록표!G2&amp;"!A"&amp;ROW(재료비목록표!A5),"자재    2 →")</f>
        <v>자재    2 →</v>
      </c>
    </row>
    <row r="113" spans="1:26" ht="28.7" customHeight="1" x14ac:dyDescent="0.3">
      <c r="A113" s="9" t="s">
        <v>484</v>
      </c>
      <c r="B113" s="9" t="s">
        <v>485</v>
      </c>
      <c r="C113" s="86">
        <v>38</v>
      </c>
      <c r="D113" s="33" t="s">
        <v>480</v>
      </c>
      <c r="E113" s="62">
        <f t="shared" si="14"/>
        <v>3688.8</v>
      </c>
      <c r="F113" s="88">
        <f t="shared" si="14"/>
        <v>1401.7</v>
      </c>
      <c r="G113" s="59">
        <v>0</v>
      </c>
      <c r="H113" s="89">
        <f>IF(C113=0,0,ROUNDDOWN(G113*C113/100,1))</f>
        <v>0</v>
      </c>
      <c r="I113" s="90">
        <f>J112</f>
        <v>3688.8</v>
      </c>
      <c r="J113" s="91">
        <f>IF(C113=0,0,ROUNDDOWN(I113*C113/100,1))</f>
        <v>1401.7</v>
      </c>
      <c r="K113" s="59">
        <v>0</v>
      </c>
      <c r="L113" s="89">
        <f>IF(C113=0,0,ROUNDDOWN(K113*C113/100,1))</f>
        <v>0</v>
      </c>
      <c r="M113" s="24" t="s">
        <v>2173</v>
      </c>
      <c r="N113" s="16" t="s">
        <v>2171</v>
      </c>
      <c r="O113" s="6" t="s">
        <v>2172</v>
      </c>
      <c r="P113" s="6" t="s">
        <v>1128</v>
      </c>
      <c r="Z113" s="19" t="str">
        <f ca="1">HYPERLINK("#"&amp;재료비목록표!G2&amp;"!A"&amp;ROW(재료비목록표!A14),"자재   11 →")</f>
        <v>자재   11 →</v>
      </c>
    </row>
    <row r="114" spans="1:26" ht="28.7" customHeight="1" x14ac:dyDescent="0.3">
      <c r="A114" s="24" t="s">
        <v>6</v>
      </c>
      <c r="B114" s="58"/>
      <c r="C114" s="58"/>
      <c r="D114" s="58"/>
      <c r="E114" s="58"/>
      <c r="F114" s="55">
        <f>J114+H114+L114</f>
        <v>58490</v>
      </c>
      <c r="G114" s="58"/>
      <c r="H114" s="55">
        <f>ROUNDDOWN(SUMIF(P110:P113,O114,H110:H113),0)</f>
        <v>47231</v>
      </c>
      <c r="I114" s="58"/>
      <c r="J114" s="55">
        <f>ROUNDDOWN(SUMIF(P110:P113,O114,J110:J113),0)</f>
        <v>5090</v>
      </c>
      <c r="K114" s="58"/>
      <c r="L114" s="55">
        <f>ROUNDDOWN(SUMIF(P110:P113,O114,L110:L113),0)</f>
        <v>6169</v>
      </c>
      <c r="M114" s="58"/>
      <c r="O114" s="6" t="s">
        <v>1128</v>
      </c>
    </row>
    <row r="115" spans="1:26" ht="28.7" customHeight="1" x14ac:dyDescent="0.3">
      <c r="A115" s="83" t="s">
        <v>88</v>
      </c>
      <c r="B115" s="83"/>
      <c r="C115" s="84"/>
      <c r="D115" s="84"/>
      <c r="E115" s="84"/>
      <c r="F115" s="84"/>
      <c r="G115" s="84"/>
      <c r="H115" s="84"/>
      <c r="I115" s="84"/>
      <c r="J115" s="84"/>
      <c r="K115" s="84"/>
      <c r="L115" s="84"/>
      <c r="M115" s="84"/>
      <c r="N115" s="36" t="str">
        <f>HYPERLINK("#N"&amp;ROW(N120),"_x0005_`BDCOD|X00084_x0007_`POSS|"&amp;ROW(N117)&amp;"_x0007_`POSE|"&amp;ROW(N120)&amp;"_x0007_`")</f>
        <v>_x0005_`BDCOD|X00084_x0007_`POSS|117_x0007_`POSE|120_x0007_`</v>
      </c>
    </row>
    <row r="116" spans="1:26" ht="28.7" customHeight="1" x14ac:dyDescent="0.3">
      <c r="A116" s="43" t="s">
        <v>342</v>
      </c>
      <c r="B116" s="43" t="s">
        <v>397</v>
      </c>
      <c r="C116" s="85"/>
      <c r="D116" s="87" t="s">
        <v>344</v>
      </c>
      <c r="E116" s="85"/>
      <c r="F116" s="85"/>
      <c r="G116" s="85"/>
      <c r="H116" s="85"/>
      <c r="I116" s="85"/>
      <c r="J116" s="85"/>
      <c r="K116" s="85"/>
      <c r="L116" s="85"/>
      <c r="M116" s="87" t="s">
        <v>398</v>
      </c>
      <c r="O116" s="6" t="s">
        <v>396</v>
      </c>
    </row>
    <row r="117" spans="1:26" ht="28.7" customHeight="1" x14ac:dyDescent="0.3">
      <c r="A117" s="9" t="s">
        <v>684</v>
      </c>
      <c r="B117" s="9"/>
      <c r="C117" s="86">
        <v>0.2077</v>
      </c>
      <c r="D117" s="33" t="s">
        <v>685</v>
      </c>
      <c r="E117" s="62">
        <f t="shared" ref="E117:F120" si="15">I117+G117+K117</f>
        <v>184499</v>
      </c>
      <c r="F117" s="88">
        <f t="shared" si="15"/>
        <v>38320.400000000001</v>
      </c>
      <c r="G117" s="59">
        <v>0</v>
      </c>
      <c r="H117" s="88">
        <f>IF(C117=0,0,ROUNDDOWN(G117*C117,1))</f>
        <v>0</v>
      </c>
      <c r="I117" s="59">
        <v>0</v>
      </c>
      <c r="J117" s="89">
        <f>IF(C117=0,0,ROUNDDOWN(I117*C117,1))</f>
        <v>0</v>
      </c>
      <c r="K117" s="90">
        <f>경비목록표!E4</f>
        <v>184499</v>
      </c>
      <c r="L117" s="92">
        <f>IF(C117=0,0,ROUNDDOWN(K117*C117,1))</f>
        <v>38320.400000000001</v>
      </c>
      <c r="M117" s="24" t="s">
        <v>2164</v>
      </c>
      <c r="N117" s="16" t="s">
        <v>2162</v>
      </c>
      <c r="O117" s="6" t="s">
        <v>2163</v>
      </c>
      <c r="P117" s="6" t="s">
        <v>1128</v>
      </c>
      <c r="Z117" s="19" t="str">
        <f ca="1">HYPERLINK("#"&amp;경비목록표!G2&amp;"!A"&amp;ROW(경비목록표!A4),"경비    1 →")</f>
        <v>경비    1 →</v>
      </c>
    </row>
    <row r="118" spans="1:26" ht="28.7" customHeight="1" x14ac:dyDescent="0.3">
      <c r="A118" s="9" t="s">
        <v>665</v>
      </c>
      <c r="B118" s="9"/>
      <c r="C118" s="86">
        <v>1</v>
      </c>
      <c r="D118" s="33" t="s">
        <v>647</v>
      </c>
      <c r="E118" s="62">
        <f t="shared" si="15"/>
        <v>55700</v>
      </c>
      <c r="F118" s="89">
        <f t="shared" si="15"/>
        <v>55700</v>
      </c>
      <c r="G118" s="90">
        <f>환율및기초자료!G6</f>
        <v>55700</v>
      </c>
      <c r="H118" s="91">
        <f>IF(C118=0,0,ROUNDDOWN(G118*C118,1))</f>
        <v>55700</v>
      </c>
      <c r="I118" s="59">
        <v>0</v>
      </c>
      <c r="J118" s="88">
        <f>IF(C118=0,0,ROUNDDOWN(I118*C118,1))</f>
        <v>0</v>
      </c>
      <c r="K118" s="59">
        <v>0</v>
      </c>
      <c r="L118" s="89">
        <f>IF(C118=0,0,ROUNDDOWN(K118*C118,1))</f>
        <v>0</v>
      </c>
      <c r="M118" s="24" t="s">
        <v>2167</v>
      </c>
      <c r="N118" s="16" t="s">
        <v>2165</v>
      </c>
      <c r="O118" s="6" t="s">
        <v>2166</v>
      </c>
      <c r="P118" s="6" t="s">
        <v>1128</v>
      </c>
      <c r="Z118" s="19" t="str">
        <f ca="1">HYPERLINK("#"&amp;환율및기초자료!I2&amp;"!A"&amp;ROW(환율및기초자료!A6),"노무    7 →")</f>
        <v>노무    7 →</v>
      </c>
    </row>
    <row r="119" spans="1:26" ht="28.7" customHeight="1" x14ac:dyDescent="0.3">
      <c r="A119" s="9" t="s">
        <v>435</v>
      </c>
      <c r="B119" s="9" t="s">
        <v>436</v>
      </c>
      <c r="C119" s="86">
        <v>25</v>
      </c>
      <c r="D119" s="33" t="s">
        <v>431</v>
      </c>
      <c r="E119" s="62">
        <f t="shared" si="15"/>
        <v>1272</v>
      </c>
      <c r="F119" s="88">
        <f t="shared" si="15"/>
        <v>31800</v>
      </c>
      <c r="G119" s="59">
        <v>0</v>
      </c>
      <c r="H119" s="89">
        <f>IF(C119=0,0,ROUNDDOWN(G119*C119,1))</f>
        <v>0</v>
      </c>
      <c r="I119" s="90">
        <f>재료비목록표!E5</f>
        <v>1272</v>
      </c>
      <c r="J119" s="91">
        <f>IF(C119=0,0,ROUNDDOWN(I119*C119,1))</f>
        <v>31800</v>
      </c>
      <c r="K119" s="59">
        <v>0</v>
      </c>
      <c r="L119" s="89">
        <f>IF(C119=0,0,ROUNDDOWN(K119*C119,1))</f>
        <v>0</v>
      </c>
      <c r="M119" s="24" t="s">
        <v>2170</v>
      </c>
      <c r="N119" s="16" t="s">
        <v>2168</v>
      </c>
      <c r="O119" s="6" t="s">
        <v>2169</v>
      </c>
      <c r="P119" s="6" t="s">
        <v>1128</v>
      </c>
      <c r="Z119" s="19" t="str">
        <f ca="1">HYPERLINK("#"&amp;재료비목록표!G2&amp;"!A"&amp;ROW(재료비목록표!A5),"자재    2 →")</f>
        <v>자재    2 →</v>
      </c>
    </row>
    <row r="120" spans="1:26" ht="28.7" customHeight="1" x14ac:dyDescent="0.3">
      <c r="A120" s="9" t="s">
        <v>484</v>
      </c>
      <c r="B120" s="9" t="s">
        <v>485</v>
      </c>
      <c r="C120" s="86">
        <v>16</v>
      </c>
      <c r="D120" s="33" t="s">
        <v>480</v>
      </c>
      <c r="E120" s="62">
        <f t="shared" si="15"/>
        <v>31800</v>
      </c>
      <c r="F120" s="88">
        <f t="shared" si="15"/>
        <v>5088</v>
      </c>
      <c r="G120" s="59">
        <v>0</v>
      </c>
      <c r="H120" s="89">
        <f>IF(C120=0,0,ROUNDDOWN(G120*C120/100,1))</f>
        <v>0</v>
      </c>
      <c r="I120" s="90">
        <f>J119</f>
        <v>31800</v>
      </c>
      <c r="J120" s="91">
        <f>IF(C120=0,0,ROUNDDOWN(I120*C120/100,1))</f>
        <v>5088</v>
      </c>
      <c r="K120" s="59">
        <v>0</v>
      </c>
      <c r="L120" s="89">
        <f>IF(C120=0,0,ROUNDDOWN(K120*C120/100,1))</f>
        <v>0</v>
      </c>
      <c r="M120" s="24" t="s">
        <v>2173</v>
      </c>
      <c r="N120" s="16" t="s">
        <v>2171</v>
      </c>
      <c r="O120" s="6" t="s">
        <v>2172</v>
      </c>
      <c r="P120" s="6" t="s">
        <v>1128</v>
      </c>
      <c r="Z120" s="19" t="str">
        <f ca="1">HYPERLINK("#"&amp;재료비목록표!G2&amp;"!A"&amp;ROW(재료비목록표!A14),"자재   11 →")</f>
        <v>자재   11 →</v>
      </c>
    </row>
    <row r="121" spans="1:26" ht="28.7" customHeight="1" x14ac:dyDescent="0.3">
      <c r="A121" s="24" t="s">
        <v>6</v>
      </c>
      <c r="B121" s="58"/>
      <c r="C121" s="58"/>
      <c r="D121" s="58"/>
      <c r="E121" s="58"/>
      <c r="F121" s="55">
        <f>J121+H121+L121</f>
        <v>130908</v>
      </c>
      <c r="G121" s="58"/>
      <c r="H121" s="55">
        <f>ROUNDDOWN(SUMIF(P117:P120,O121,H117:H120),0)</f>
        <v>55700</v>
      </c>
      <c r="I121" s="58"/>
      <c r="J121" s="55">
        <f>ROUNDDOWN(SUMIF(P117:P120,O121,J117:J120),0)</f>
        <v>36888</v>
      </c>
      <c r="K121" s="58"/>
      <c r="L121" s="55">
        <f>ROUNDDOWN(SUMIF(P117:P120,O121,L117:L120),0)</f>
        <v>38320</v>
      </c>
      <c r="M121" s="58"/>
      <c r="O121" s="6" t="s">
        <v>1128</v>
      </c>
    </row>
    <row r="122" spans="1:26" ht="28.7" customHeight="1" x14ac:dyDescent="0.3">
      <c r="A122" s="83" t="s">
        <v>93</v>
      </c>
      <c r="B122" s="83"/>
      <c r="C122" s="84"/>
      <c r="D122" s="84"/>
      <c r="E122" s="84"/>
      <c r="F122" s="84"/>
      <c r="G122" s="84"/>
      <c r="H122" s="84"/>
      <c r="I122" s="84"/>
      <c r="J122" s="84"/>
      <c r="K122" s="84"/>
      <c r="L122" s="84"/>
      <c r="M122" s="84"/>
      <c r="N122" s="36" t="str">
        <f>HYPERLINK("#N"&amp;ROW(N124),"_x0005_`BDCOD|X00086_x0007_`POSS|"&amp;ROW(N124)&amp;"_x0007_`POSE|"&amp;ROW(N124)&amp;"_x0007_`")</f>
        <v>_x0005_`BDCOD|X00086_x0007_`POSS|124_x0007_`POSE|124_x0007_`</v>
      </c>
    </row>
    <row r="123" spans="1:26" ht="28.7" customHeight="1" x14ac:dyDescent="0.3">
      <c r="A123" s="43" t="s">
        <v>375</v>
      </c>
      <c r="B123" s="43" t="s">
        <v>400</v>
      </c>
      <c r="C123" s="85"/>
      <c r="D123" s="87" t="s">
        <v>344</v>
      </c>
      <c r="E123" s="85"/>
      <c r="F123" s="85"/>
      <c r="G123" s="85"/>
      <c r="H123" s="85"/>
      <c r="I123" s="85"/>
      <c r="J123" s="85"/>
      <c r="K123" s="85"/>
      <c r="L123" s="85"/>
      <c r="M123" s="87" t="s">
        <v>401</v>
      </c>
      <c r="O123" s="6" t="s">
        <v>399</v>
      </c>
    </row>
    <row r="124" spans="1:26" ht="28.7" customHeight="1" x14ac:dyDescent="0.3">
      <c r="A124" s="9" t="s">
        <v>375</v>
      </c>
      <c r="B124" s="9" t="s">
        <v>400</v>
      </c>
      <c r="C124" s="86">
        <v>0.26840000000000003</v>
      </c>
      <c r="D124" s="33" t="s">
        <v>685</v>
      </c>
      <c r="E124" s="62">
        <f>I124+G124+K124</f>
        <v>1794</v>
      </c>
      <c r="F124" s="88">
        <f>J124+H124+L124</f>
        <v>481.5</v>
      </c>
      <c r="G124" s="59">
        <v>0</v>
      </c>
      <c r="H124" s="88">
        <f>IF(C124=0,0,ROUNDDOWN(G124*C124,1))</f>
        <v>0</v>
      </c>
      <c r="I124" s="59">
        <v>0</v>
      </c>
      <c r="J124" s="89">
        <f>IF(C124=0,0,ROUNDDOWN(I124*C124,1))</f>
        <v>0</v>
      </c>
      <c r="K124" s="90">
        <f>경비목록표!E24</f>
        <v>1794</v>
      </c>
      <c r="L124" s="92">
        <f>IF(C124=0,0,ROUNDDOWN(K124*C124,1))</f>
        <v>481.5</v>
      </c>
      <c r="M124" s="24" t="s">
        <v>2229</v>
      </c>
      <c r="N124" s="16" t="s">
        <v>2228</v>
      </c>
      <c r="O124" s="6" t="s">
        <v>1736</v>
      </c>
      <c r="P124" s="6" t="s">
        <v>1128</v>
      </c>
      <c r="Z124" s="19" t="str">
        <f ca="1">HYPERLINK("#"&amp;경비목록표!G2&amp;"!A"&amp;ROW(경비목록표!A24),"경비   21 →")</f>
        <v>경비   21 →</v>
      </c>
    </row>
    <row r="125" spans="1:26" ht="28.7" customHeight="1" x14ac:dyDescent="0.3">
      <c r="A125" s="24" t="s">
        <v>6</v>
      </c>
      <c r="B125" s="58"/>
      <c r="C125" s="58"/>
      <c r="D125" s="58"/>
      <c r="E125" s="58"/>
      <c r="F125" s="55">
        <f>J125+H125+L125</f>
        <v>481</v>
      </c>
      <c r="G125" s="58"/>
      <c r="H125" s="55">
        <f>ROUNDDOWN(SUMIF(P124:P124,O125,H124:H124),0)</f>
        <v>0</v>
      </c>
      <c r="I125" s="58"/>
      <c r="J125" s="55">
        <f>ROUNDDOWN(SUMIF(P124:P124,O125,J124:J124),0)</f>
        <v>0</v>
      </c>
      <c r="K125" s="58"/>
      <c r="L125" s="55">
        <f>ROUNDDOWN(SUMIF(P124:P124,O125,L124:L124),0)</f>
        <v>481</v>
      </c>
      <c r="M125" s="58"/>
      <c r="O125" s="6" t="s">
        <v>1128</v>
      </c>
    </row>
    <row r="126" spans="1:26" ht="28.7" customHeight="1" x14ac:dyDescent="0.3">
      <c r="A126" s="83" t="s">
        <v>98</v>
      </c>
      <c r="B126" s="83"/>
      <c r="C126" s="84"/>
      <c r="D126" s="84"/>
      <c r="E126" s="84"/>
      <c r="F126" s="84"/>
      <c r="G126" s="84"/>
      <c r="H126" s="84"/>
      <c r="I126" s="84"/>
      <c r="J126" s="84"/>
      <c r="K126" s="84"/>
      <c r="L126" s="84"/>
      <c r="M126" s="84"/>
      <c r="N126" s="36" t="str">
        <f>HYPERLINK("#N"&amp;ROW(N131),"_x0005_`BDCOD|X00087_x0007_`POSS|"&amp;ROW(N128)&amp;"_x0007_`POSE|"&amp;ROW(N131)&amp;"_x0007_`")</f>
        <v>_x0005_`BDCOD|X00087_x0007_`POSS|128_x0007_`POSE|131_x0007_`</v>
      </c>
    </row>
    <row r="127" spans="1:26" ht="28.7" customHeight="1" x14ac:dyDescent="0.3">
      <c r="A127" s="43" t="s">
        <v>403</v>
      </c>
      <c r="B127" s="43"/>
      <c r="C127" s="85"/>
      <c r="D127" s="87" t="s">
        <v>344</v>
      </c>
      <c r="E127" s="85"/>
      <c r="F127" s="85"/>
      <c r="G127" s="85"/>
      <c r="H127" s="85"/>
      <c r="I127" s="85"/>
      <c r="J127" s="85"/>
      <c r="K127" s="85"/>
      <c r="L127" s="85"/>
      <c r="M127" s="87" t="s">
        <v>404</v>
      </c>
      <c r="O127" s="6" t="s">
        <v>402</v>
      </c>
    </row>
    <row r="128" spans="1:26" ht="28.7" customHeight="1" x14ac:dyDescent="0.3">
      <c r="A128" s="9" t="s">
        <v>740</v>
      </c>
      <c r="B128" s="9"/>
      <c r="C128" s="86">
        <v>0.22289999999999999</v>
      </c>
      <c r="D128" s="33" t="s">
        <v>685</v>
      </c>
      <c r="E128" s="62">
        <f t="shared" ref="E128:F131" si="16">I128+G128+K128</f>
        <v>140899</v>
      </c>
      <c r="F128" s="88">
        <f t="shared" si="16"/>
        <v>31406.3</v>
      </c>
      <c r="G128" s="59">
        <v>0</v>
      </c>
      <c r="H128" s="88">
        <f>IF(C128=0,0,ROUNDDOWN(G128*C128,1))</f>
        <v>0</v>
      </c>
      <c r="I128" s="59">
        <v>0</v>
      </c>
      <c r="J128" s="89">
        <f>IF(C128=0,0,ROUNDDOWN(I128*C128,1))</f>
        <v>0</v>
      </c>
      <c r="K128" s="90">
        <f>경비목록표!E23</f>
        <v>140899</v>
      </c>
      <c r="L128" s="92">
        <f>IF(C128=0,0,ROUNDDOWN(K128*C128,1))</f>
        <v>31406.3</v>
      </c>
      <c r="M128" s="24" t="s">
        <v>2232</v>
      </c>
      <c r="N128" s="16" t="s">
        <v>2230</v>
      </c>
      <c r="O128" s="6" t="s">
        <v>2231</v>
      </c>
      <c r="P128" s="6" t="s">
        <v>1128</v>
      </c>
      <c r="Z128" s="19" t="str">
        <f ca="1">HYPERLINK("#"&amp;경비목록표!G2&amp;"!A"&amp;ROW(경비목록표!A23),"경비   20 →")</f>
        <v>경비   20 →</v>
      </c>
    </row>
    <row r="129" spans="1:26" ht="28.7" customHeight="1" x14ac:dyDescent="0.3">
      <c r="A129" s="9" t="s">
        <v>665</v>
      </c>
      <c r="B129" s="9"/>
      <c r="C129" s="86">
        <v>1</v>
      </c>
      <c r="D129" s="33" t="s">
        <v>647</v>
      </c>
      <c r="E129" s="62">
        <f t="shared" si="16"/>
        <v>55700</v>
      </c>
      <c r="F129" s="89">
        <f t="shared" si="16"/>
        <v>55700</v>
      </c>
      <c r="G129" s="90">
        <f>환율및기초자료!G6</f>
        <v>55700</v>
      </c>
      <c r="H129" s="91">
        <f>IF(C129=0,0,ROUNDDOWN(G129*C129,1))</f>
        <v>55700</v>
      </c>
      <c r="I129" s="59">
        <v>0</v>
      </c>
      <c r="J129" s="88">
        <f>IF(C129=0,0,ROUNDDOWN(I129*C129,1))</f>
        <v>0</v>
      </c>
      <c r="K129" s="59">
        <v>0</v>
      </c>
      <c r="L129" s="89">
        <f>IF(C129=0,0,ROUNDDOWN(K129*C129,1))</f>
        <v>0</v>
      </c>
      <c r="M129" s="24" t="s">
        <v>2167</v>
      </c>
      <c r="N129" s="16" t="s">
        <v>2165</v>
      </c>
      <c r="O129" s="6" t="s">
        <v>2166</v>
      </c>
      <c r="P129" s="6" t="s">
        <v>1128</v>
      </c>
      <c r="Z129" s="19" t="str">
        <f ca="1">HYPERLINK("#"&amp;환율및기초자료!I2&amp;"!A"&amp;ROW(환율및기초자료!A6),"노무    7 →")</f>
        <v>노무    7 →</v>
      </c>
    </row>
    <row r="130" spans="1:26" ht="28.7" customHeight="1" x14ac:dyDescent="0.3">
      <c r="A130" s="9" t="s">
        <v>435</v>
      </c>
      <c r="B130" s="9" t="s">
        <v>436</v>
      </c>
      <c r="C130" s="86">
        <v>23</v>
      </c>
      <c r="D130" s="33" t="s">
        <v>431</v>
      </c>
      <c r="E130" s="62">
        <f t="shared" si="16"/>
        <v>1272</v>
      </c>
      <c r="F130" s="88">
        <f t="shared" si="16"/>
        <v>29256</v>
      </c>
      <c r="G130" s="59">
        <v>0</v>
      </c>
      <c r="H130" s="89">
        <f>IF(C130=0,0,ROUNDDOWN(G130*C130,1))</f>
        <v>0</v>
      </c>
      <c r="I130" s="90">
        <f>재료비목록표!E5</f>
        <v>1272</v>
      </c>
      <c r="J130" s="91">
        <f>IF(C130=0,0,ROUNDDOWN(I130*C130,1))</f>
        <v>29256</v>
      </c>
      <c r="K130" s="59">
        <v>0</v>
      </c>
      <c r="L130" s="89">
        <f>IF(C130=0,0,ROUNDDOWN(K130*C130,1))</f>
        <v>0</v>
      </c>
      <c r="M130" s="24" t="s">
        <v>2170</v>
      </c>
      <c r="N130" s="16" t="s">
        <v>2168</v>
      </c>
      <c r="O130" s="6" t="s">
        <v>2169</v>
      </c>
      <c r="P130" s="6" t="s">
        <v>1128</v>
      </c>
      <c r="Z130" s="19" t="str">
        <f ca="1">HYPERLINK("#"&amp;재료비목록표!G2&amp;"!A"&amp;ROW(재료비목록표!A5),"자재    2 →")</f>
        <v>자재    2 →</v>
      </c>
    </row>
    <row r="131" spans="1:26" ht="28.7" customHeight="1" x14ac:dyDescent="0.3">
      <c r="A131" s="9" t="s">
        <v>484</v>
      </c>
      <c r="B131" s="9" t="s">
        <v>485</v>
      </c>
      <c r="C131" s="86">
        <v>38</v>
      </c>
      <c r="D131" s="33" t="s">
        <v>480</v>
      </c>
      <c r="E131" s="62">
        <f t="shared" si="16"/>
        <v>29256</v>
      </c>
      <c r="F131" s="88">
        <f t="shared" si="16"/>
        <v>11117.2</v>
      </c>
      <c r="G131" s="59">
        <v>0</v>
      </c>
      <c r="H131" s="89">
        <f>IF(C131=0,0,ROUNDDOWN(G131*C131/100,1))</f>
        <v>0</v>
      </c>
      <c r="I131" s="90">
        <f>J130</f>
        <v>29256</v>
      </c>
      <c r="J131" s="91">
        <f>IF(C131=0,0,ROUNDDOWN(I131*C131/100,1))</f>
        <v>11117.2</v>
      </c>
      <c r="K131" s="59">
        <v>0</v>
      </c>
      <c r="L131" s="89">
        <f>IF(C131=0,0,ROUNDDOWN(K131*C131/100,1))</f>
        <v>0</v>
      </c>
      <c r="M131" s="24" t="s">
        <v>2173</v>
      </c>
      <c r="N131" s="16" t="s">
        <v>2171</v>
      </c>
      <c r="O131" s="6" t="s">
        <v>2172</v>
      </c>
      <c r="P131" s="6" t="s">
        <v>1128</v>
      </c>
      <c r="Z131" s="19" t="str">
        <f ca="1">HYPERLINK("#"&amp;재료비목록표!G2&amp;"!A"&amp;ROW(재료비목록표!A14),"자재   11 →")</f>
        <v>자재   11 →</v>
      </c>
    </row>
    <row r="132" spans="1:26" ht="28.7" customHeight="1" x14ac:dyDescent="0.3">
      <c r="A132" s="24" t="s">
        <v>6</v>
      </c>
      <c r="B132" s="58"/>
      <c r="C132" s="58"/>
      <c r="D132" s="58"/>
      <c r="E132" s="58"/>
      <c r="F132" s="55">
        <f>J132+H132+L132</f>
        <v>127479</v>
      </c>
      <c r="G132" s="58"/>
      <c r="H132" s="55">
        <f>ROUNDDOWN(SUMIF(P128:P131,O132,H128:H131),0)</f>
        <v>55700</v>
      </c>
      <c r="I132" s="58"/>
      <c r="J132" s="55">
        <f>ROUNDDOWN(SUMIF(P128:P131,O132,J128:J131),0)</f>
        <v>40373</v>
      </c>
      <c r="K132" s="58"/>
      <c r="L132" s="55">
        <f>ROUNDDOWN(SUMIF(P128:P131,O132,L128:L131),0)</f>
        <v>31406</v>
      </c>
      <c r="M132" s="58"/>
      <c r="O132" s="6" t="s">
        <v>1128</v>
      </c>
    </row>
    <row r="133" spans="1:26" ht="28.7" customHeight="1" x14ac:dyDescent="0.3">
      <c r="A133" s="83" t="s">
        <v>102</v>
      </c>
      <c r="B133" s="83"/>
      <c r="C133" s="84"/>
      <c r="D133" s="84"/>
      <c r="E133" s="84"/>
      <c r="F133" s="84"/>
      <c r="G133" s="84"/>
      <c r="H133" s="84"/>
      <c r="I133" s="84"/>
      <c r="J133" s="84"/>
      <c r="K133" s="84"/>
      <c r="L133" s="84"/>
      <c r="M133" s="84"/>
      <c r="N133" s="36" t="str">
        <f>HYPERLINK("#N"&amp;ROW(N139),"_x0005_`BDCOD|X00089_x0007_`POSS|"&amp;ROW(N135)&amp;"_x0007_`POSE|"&amp;ROW(N139)&amp;"_x0007_`")</f>
        <v>_x0005_`BDCOD|X00089_x0007_`POSS|135_x0007_`POSE|139_x0007_`</v>
      </c>
    </row>
    <row r="134" spans="1:26" ht="28.7" customHeight="1" x14ac:dyDescent="0.3">
      <c r="A134" s="43" t="s">
        <v>406</v>
      </c>
      <c r="B134" s="43"/>
      <c r="C134" s="85"/>
      <c r="D134" s="87" t="s">
        <v>344</v>
      </c>
      <c r="E134" s="85"/>
      <c r="F134" s="85"/>
      <c r="G134" s="85"/>
      <c r="H134" s="85"/>
      <c r="I134" s="85"/>
      <c r="J134" s="85"/>
      <c r="K134" s="85"/>
      <c r="L134" s="85"/>
      <c r="M134" s="87" t="s">
        <v>407</v>
      </c>
      <c r="O134" s="6" t="s">
        <v>405</v>
      </c>
    </row>
    <row r="135" spans="1:26" ht="28.7" customHeight="1" x14ac:dyDescent="0.3">
      <c r="A135" s="9" t="s">
        <v>736</v>
      </c>
      <c r="B135" s="9" t="s">
        <v>737</v>
      </c>
      <c r="C135" s="86">
        <v>0.22789999999999999</v>
      </c>
      <c r="D135" s="33" t="s">
        <v>685</v>
      </c>
      <c r="E135" s="62">
        <f t="shared" ref="E135:F139" si="17">I135+G135+K135</f>
        <v>112684</v>
      </c>
      <c r="F135" s="88">
        <f t="shared" si="17"/>
        <v>25680.6</v>
      </c>
      <c r="G135" s="59">
        <v>0</v>
      </c>
      <c r="H135" s="88">
        <f>IF(C135=0,0,ROUNDDOWN(G135*C135,1))</f>
        <v>0</v>
      </c>
      <c r="I135" s="59">
        <v>0</v>
      </c>
      <c r="J135" s="89">
        <f>IF(C135=0,0,ROUNDDOWN(I135*C135,1))</f>
        <v>0</v>
      </c>
      <c r="K135" s="90">
        <f>경비목록표!E22</f>
        <v>112684</v>
      </c>
      <c r="L135" s="92">
        <f>IF(C135=0,0,ROUNDDOWN(K135*C135,1))</f>
        <v>25680.6</v>
      </c>
      <c r="M135" s="24" t="s">
        <v>2235</v>
      </c>
      <c r="N135" s="16" t="s">
        <v>2233</v>
      </c>
      <c r="O135" s="6" t="s">
        <v>2234</v>
      </c>
      <c r="P135" s="6" t="s">
        <v>1128</v>
      </c>
      <c r="Z135" s="19" t="str">
        <f ca="1">HYPERLINK("#"&amp;경비목록표!G2&amp;"!A"&amp;ROW(경비목록표!A22),"경비   19 →")</f>
        <v>경비   19 →</v>
      </c>
    </row>
    <row r="136" spans="1:26" ht="28.7" customHeight="1" x14ac:dyDescent="0.3">
      <c r="A136" s="9" t="s">
        <v>730</v>
      </c>
      <c r="B136" s="9" t="s">
        <v>201</v>
      </c>
      <c r="C136" s="86">
        <v>0.74350000000000005</v>
      </c>
      <c r="D136" s="33" t="s">
        <v>685</v>
      </c>
      <c r="E136" s="62">
        <f t="shared" si="17"/>
        <v>7381</v>
      </c>
      <c r="F136" s="88">
        <f t="shared" si="17"/>
        <v>5487.7</v>
      </c>
      <c r="G136" s="59">
        <v>0</v>
      </c>
      <c r="H136" s="88">
        <f>IF(C136=0,0,ROUNDDOWN(G136*C136,1))</f>
        <v>0</v>
      </c>
      <c r="I136" s="59">
        <v>0</v>
      </c>
      <c r="J136" s="89">
        <f>IF(C136=0,0,ROUNDDOWN(I136*C136,1))</f>
        <v>0</v>
      </c>
      <c r="K136" s="90">
        <f>경비목록표!E20</f>
        <v>7381</v>
      </c>
      <c r="L136" s="92">
        <f>IF(C136=0,0,ROUNDDOWN(K136*C136,1))</f>
        <v>5487.7</v>
      </c>
      <c r="M136" s="24" t="s">
        <v>2238</v>
      </c>
      <c r="N136" s="16" t="s">
        <v>2236</v>
      </c>
      <c r="O136" s="6" t="s">
        <v>2237</v>
      </c>
      <c r="P136" s="6" t="s">
        <v>1128</v>
      </c>
      <c r="Z136" s="19" t="str">
        <f ca="1">HYPERLINK("#"&amp;경비목록표!G2&amp;"!A"&amp;ROW(경비목록표!A20),"경비   17 →")</f>
        <v>경비   17 →</v>
      </c>
    </row>
    <row r="137" spans="1:26" ht="28.7" customHeight="1" x14ac:dyDescent="0.3">
      <c r="A137" s="9" t="s">
        <v>665</v>
      </c>
      <c r="B137" s="9"/>
      <c r="C137" s="86">
        <v>1</v>
      </c>
      <c r="D137" s="33" t="s">
        <v>647</v>
      </c>
      <c r="E137" s="62">
        <f t="shared" si="17"/>
        <v>55700</v>
      </c>
      <c r="F137" s="89">
        <f t="shared" si="17"/>
        <v>55700</v>
      </c>
      <c r="G137" s="90">
        <f>환율및기초자료!G6</f>
        <v>55700</v>
      </c>
      <c r="H137" s="91">
        <f>IF(C137=0,0,ROUNDDOWN(G137*C137,1))</f>
        <v>55700</v>
      </c>
      <c r="I137" s="59">
        <v>0</v>
      </c>
      <c r="J137" s="88">
        <f>IF(C137=0,0,ROUNDDOWN(I137*C137,1))</f>
        <v>0</v>
      </c>
      <c r="K137" s="59">
        <v>0</v>
      </c>
      <c r="L137" s="89">
        <f>IF(C137=0,0,ROUNDDOWN(K137*C137,1))</f>
        <v>0</v>
      </c>
      <c r="M137" s="24" t="s">
        <v>2167</v>
      </c>
      <c r="N137" s="16" t="s">
        <v>2165</v>
      </c>
      <c r="O137" s="6" t="s">
        <v>2166</v>
      </c>
      <c r="P137" s="6" t="s">
        <v>1128</v>
      </c>
      <c r="Z137" s="19" t="str">
        <f ca="1">HYPERLINK("#"&amp;환율및기초자료!I2&amp;"!A"&amp;ROW(환율및기초자료!A6),"노무    7 →")</f>
        <v>노무    7 →</v>
      </c>
    </row>
    <row r="138" spans="1:26" ht="28.7" customHeight="1" x14ac:dyDescent="0.3">
      <c r="A138" s="9" t="s">
        <v>435</v>
      </c>
      <c r="B138" s="9" t="s">
        <v>436</v>
      </c>
      <c r="C138" s="86">
        <v>11.6</v>
      </c>
      <c r="D138" s="33" t="s">
        <v>431</v>
      </c>
      <c r="E138" s="62">
        <f t="shared" si="17"/>
        <v>1272</v>
      </c>
      <c r="F138" s="88">
        <f t="shared" si="17"/>
        <v>14755.2</v>
      </c>
      <c r="G138" s="59">
        <v>0</v>
      </c>
      <c r="H138" s="89">
        <f>IF(C138=0,0,ROUNDDOWN(G138*C138,1))</f>
        <v>0</v>
      </c>
      <c r="I138" s="90">
        <f>재료비목록표!E5</f>
        <v>1272</v>
      </c>
      <c r="J138" s="91">
        <f>IF(C138=0,0,ROUNDDOWN(I138*C138,1))</f>
        <v>14755.2</v>
      </c>
      <c r="K138" s="59">
        <v>0</v>
      </c>
      <c r="L138" s="89">
        <f>IF(C138=0,0,ROUNDDOWN(K138*C138,1))</f>
        <v>0</v>
      </c>
      <c r="M138" s="24" t="s">
        <v>2170</v>
      </c>
      <c r="N138" s="16" t="s">
        <v>2168</v>
      </c>
      <c r="O138" s="6" t="s">
        <v>2169</v>
      </c>
      <c r="P138" s="6" t="s">
        <v>1128</v>
      </c>
      <c r="Z138" s="19" t="str">
        <f ca="1">HYPERLINK("#"&amp;재료비목록표!G2&amp;"!A"&amp;ROW(재료비목록표!A5),"자재    2 →")</f>
        <v>자재    2 →</v>
      </c>
    </row>
    <row r="139" spans="1:26" ht="28.7" customHeight="1" x14ac:dyDescent="0.3">
      <c r="A139" s="9" t="s">
        <v>484</v>
      </c>
      <c r="B139" s="9" t="s">
        <v>485</v>
      </c>
      <c r="C139" s="86">
        <v>24</v>
      </c>
      <c r="D139" s="33" t="s">
        <v>480</v>
      </c>
      <c r="E139" s="62">
        <f t="shared" si="17"/>
        <v>14755.2</v>
      </c>
      <c r="F139" s="88">
        <f t="shared" si="17"/>
        <v>3541.2</v>
      </c>
      <c r="G139" s="59">
        <v>0</v>
      </c>
      <c r="H139" s="89">
        <f>IF(C139=0,0,ROUNDDOWN(G139*C139/100,1))</f>
        <v>0</v>
      </c>
      <c r="I139" s="90">
        <f>J138</f>
        <v>14755.2</v>
      </c>
      <c r="J139" s="91">
        <f>IF(C139=0,0,ROUNDDOWN(I139*C139/100,1))</f>
        <v>3541.2</v>
      </c>
      <c r="K139" s="59">
        <v>0</v>
      </c>
      <c r="L139" s="89">
        <f>IF(C139=0,0,ROUNDDOWN(K139*C139/100,1))</f>
        <v>0</v>
      </c>
      <c r="M139" s="24" t="s">
        <v>2173</v>
      </c>
      <c r="N139" s="16" t="s">
        <v>2171</v>
      </c>
      <c r="O139" s="6" t="s">
        <v>2172</v>
      </c>
      <c r="P139" s="6" t="s">
        <v>1128</v>
      </c>
      <c r="Z139" s="19" t="str">
        <f ca="1">HYPERLINK("#"&amp;재료비목록표!G2&amp;"!A"&amp;ROW(재료비목록표!A14),"자재   11 →")</f>
        <v>자재   11 →</v>
      </c>
    </row>
    <row r="140" spans="1:26" ht="28.7" customHeight="1" x14ac:dyDescent="0.3">
      <c r="A140" s="24" t="s">
        <v>6</v>
      </c>
      <c r="B140" s="58"/>
      <c r="C140" s="58"/>
      <c r="D140" s="58"/>
      <c r="E140" s="58"/>
      <c r="F140" s="55">
        <f>J140+H140+L140</f>
        <v>105164</v>
      </c>
      <c r="G140" s="58"/>
      <c r="H140" s="55">
        <f>ROUNDDOWN(SUMIF(P135:P139,O140,H135:H139),0)</f>
        <v>55700</v>
      </c>
      <c r="I140" s="58"/>
      <c r="J140" s="55">
        <f>ROUNDDOWN(SUMIF(P135:P139,O140,J135:J139),0)</f>
        <v>18296</v>
      </c>
      <c r="K140" s="58"/>
      <c r="L140" s="55">
        <f>ROUNDDOWN(SUMIF(P135:P139,O140,L135:L139),0)</f>
        <v>31168</v>
      </c>
      <c r="M140" s="58"/>
      <c r="O140" s="6" t="s">
        <v>1128</v>
      </c>
    </row>
    <row r="141" spans="1:26" ht="28.7" customHeight="1" x14ac:dyDescent="0.3">
      <c r="A141" s="83" t="s">
        <v>106</v>
      </c>
      <c r="B141" s="83"/>
      <c r="C141" s="84"/>
      <c r="D141" s="84"/>
      <c r="E141" s="84"/>
      <c r="F141" s="84"/>
      <c r="G141" s="84"/>
      <c r="H141" s="84"/>
      <c r="I141" s="84"/>
      <c r="J141" s="84"/>
      <c r="K141" s="84"/>
      <c r="L141" s="84"/>
      <c r="M141" s="84"/>
      <c r="N141" s="36" t="str">
        <f>HYPERLINK("#N"&amp;ROW(N146),"_x0005_`BDCOD|X00092_x0007_`POSS|"&amp;ROW(N143)&amp;"_x0007_`POSE|"&amp;ROW(N146)&amp;"_x0007_`")</f>
        <v>_x0005_`BDCOD|X00092_x0007_`POSS|143_x0007_`POSE|146_x0007_`</v>
      </c>
    </row>
    <row r="142" spans="1:26" ht="28.7" customHeight="1" x14ac:dyDescent="0.3">
      <c r="A142" s="43" t="s">
        <v>409</v>
      </c>
      <c r="B142" s="43"/>
      <c r="C142" s="85"/>
      <c r="D142" s="87" t="s">
        <v>344</v>
      </c>
      <c r="E142" s="85"/>
      <c r="F142" s="85"/>
      <c r="G142" s="85"/>
      <c r="H142" s="85"/>
      <c r="I142" s="85"/>
      <c r="J142" s="85"/>
      <c r="K142" s="85"/>
      <c r="L142" s="85"/>
      <c r="M142" s="87" t="s">
        <v>410</v>
      </c>
      <c r="O142" s="6" t="s">
        <v>408</v>
      </c>
    </row>
    <row r="143" spans="1:26" ht="28.7" customHeight="1" x14ac:dyDescent="0.3">
      <c r="A143" s="9" t="s">
        <v>700</v>
      </c>
      <c r="B143" s="9"/>
      <c r="C143" s="86">
        <v>0.3533</v>
      </c>
      <c r="D143" s="33" t="s">
        <v>685</v>
      </c>
      <c r="E143" s="62">
        <f t="shared" ref="E143:F146" si="18">I143+G143+K143</f>
        <v>24274</v>
      </c>
      <c r="F143" s="88">
        <f t="shared" si="18"/>
        <v>8576</v>
      </c>
      <c r="G143" s="59">
        <v>0</v>
      </c>
      <c r="H143" s="88">
        <f>IF(C143=0,0,ROUNDDOWN(G143*C143,1))</f>
        <v>0</v>
      </c>
      <c r="I143" s="59">
        <v>0</v>
      </c>
      <c r="J143" s="89">
        <f>IF(C143=0,0,ROUNDDOWN(I143*C143,1))</f>
        <v>0</v>
      </c>
      <c r="K143" s="90">
        <f>경비목록표!E10</f>
        <v>24274</v>
      </c>
      <c r="L143" s="92">
        <f>IF(C143=0,0,ROUNDDOWN(K143*C143,1))</f>
        <v>8576</v>
      </c>
      <c r="M143" s="24" t="s">
        <v>2241</v>
      </c>
      <c r="N143" s="16" t="s">
        <v>2239</v>
      </c>
      <c r="O143" s="6" t="s">
        <v>2240</v>
      </c>
      <c r="P143" s="6" t="s">
        <v>1128</v>
      </c>
      <c r="Z143" s="19" t="str">
        <f ca="1">HYPERLINK("#"&amp;경비목록표!G2&amp;"!A"&amp;ROW(경비목록표!A10),"경비    7 →")</f>
        <v>경비    7 →</v>
      </c>
    </row>
    <row r="144" spans="1:26" ht="28.7" customHeight="1" x14ac:dyDescent="0.3">
      <c r="A144" s="9" t="s">
        <v>668</v>
      </c>
      <c r="B144" s="9"/>
      <c r="C144" s="86">
        <v>1</v>
      </c>
      <c r="D144" s="33" t="s">
        <v>647</v>
      </c>
      <c r="E144" s="62">
        <f t="shared" si="18"/>
        <v>47231</v>
      </c>
      <c r="F144" s="89">
        <f t="shared" si="18"/>
        <v>47231</v>
      </c>
      <c r="G144" s="90">
        <f>환율및기초자료!G7</f>
        <v>47231</v>
      </c>
      <c r="H144" s="91">
        <f>IF(C144=0,0,ROUNDDOWN(G144*C144,1))</f>
        <v>47231</v>
      </c>
      <c r="I144" s="59">
        <v>0</v>
      </c>
      <c r="J144" s="88">
        <f>IF(C144=0,0,ROUNDDOWN(I144*C144,1))</f>
        <v>0</v>
      </c>
      <c r="K144" s="59">
        <v>0</v>
      </c>
      <c r="L144" s="89">
        <f>IF(C144=0,0,ROUNDDOWN(K144*C144,1))</f>
        <v>0</v>
      </c>
      <c r="M144" s="24" t="s">
        <v>2197</v>
      </c>
      <c r="N144" s="16" t="s">
        <v>2195</v>
      </c>
      <c r="O144" s="6" t="s">
        <v>2196</v>
      </c>
      <c r="P144" s="6" t="s">
        <v>1128</v>
      </c>
      <c r="Z144" s="19" t="str">
        <f ca="1">HYPERLINK("#"&amp;환율및기초자료!I2&amp;"!A"&amp;ROW(환율및기초자료!A7),"노무    8 →")</f>
        <v>노무    8 →</v>
      </c>
    </row>
    <row r="145" spans="1:26" ht="28.7" customHeight="1" x14ac:dyDescent="0.3">
      <c r="A145" s="9" t="s">
        <v>435</v>
      </c>
      <c r="B145" s="9" t="s">
        <v>436</v>
      </c>
      <c r="C145" s="86">
        <v>5</v>
      </c>
      <c r="D145" s="33" t="s">
        <v>431</v>
      </c>
      <c r="E145" s="62">
        <f t="shared" si="18"/>
        <v>1272</v>
      </c>
      <c r="F145" s="88">
        <f t="shared" si="18"/>
        <v>6360</v>
      </c>
      <c r="G145" s="59">
        <v>0</v>
      </c>
      <c r="H145" s="89">
        <f>IF(C145=0,0,ROUNDDOWN(G145*C145,1))</f>
        <v>0</v>
      </c>
      <c r="I145" s="90">
        <f>재료비목록표!E5</f>
        <v>1272</v>
      </c>
      <c r="J145" s="91">
        <f>IF(C145=0,0,ROUNDDOWN(I145*C145,1))</f>
        <v>6360</v>
      </c>
      <c r="K145" s="59">
        <v>0</v>
      </c>
      <c r="L145" s="89">
        <f>IF(C145=0,0,ROUNDDOWN(K145*C145,1))</f>
        <v>0</v>
      </c>
      <c r="M145" s="24" t="s">
        <v>2170</v>
      </c>
      <c r="N145" s="16" t="s">
        <v>2168</v>
      </c>
      <c r="O145" s="6" t="s">
        <v>2169</v>
      </c>
      <c r="P145" s="6" t="s">
        <v>1128</v>
      </c>
      <c r="Z145" s="19" t="str">
        <f ca="1">HYPERLINK("#"&amp;재료비목록표!G2&amp;"!A"&amp;ROW(재료비목록표!A5),"자재    2 →")</f>
        <v>자재    2 →</v>
      </c>
    </row>
    <row r="146" spans="1:26" ht="28.7" customHeight="1" x14ac:dyDescent="0.3">
      <c r="A146" s="9" t="s">
        <v>484</v>
      </c>
      <c r="B146" s="9" t="s">
        <v>485</v>
      </c>
      <c r="C146" s="86">
        <v>38</v>
      </c>
      <c r="D146" s="33" t="s">
        <v>480</v>
      </c>
      <c r="E146" s="62">
        <f t="shared" si="18"/>
        <v>6360</v>
      </c>
      <c r="F146" s="88">
        <f t="shared" si="18"/>
        <v>2416.8000000000002</v>
      </c>
      <c r="G146" s="59">
        <v>0</v>
      </c>
      <c r="H146" s="89">
        <f>IF(C146=0,0,ROUNDDOWN(G146*C146/100,1))</f>
        <v>0</v>
      </c>
      <c r="I146" s="90">
        <f>J145</f>
        <v>6360</v>
      </c>
      <c r="J146" s="91">
        <f>IF(C146=0,0,ROUNDDOWN(I146*C146/100,1))</f>
        <v>2416.8000000000002</v>
      </c>
      <c r="K146" s="59">
        <v>0</v>
      </c>
      <c r="L146" s="89">
        <f>IF(C146=0,0,ROUNDDOWN(K146*C146/100,1))</f>
        <v>0</v>
      </c>
      <c r="M146" s="24" t="s">
        <v>2173</v>
      </c>
      <c r="N146" s="16" t="s">
        <v>2171</v>
      </c>
      <c r="O146" s="6" t="s">
        <v>2172</v>
      </c>
      <c r="P146" s="6" t="s">
        <v>1128</v>
      </c>
      <c r="Z146" s="19" t="str">
        <f ca="1">HYPERLINK("#"&amp;재료비목록표!G2&amp;"!A"&amp;ROW(재료비목록표!A14),"자재   11 →")</f>
        <v>자재   11 →</v>
      </c>
    </row>
    <row r="147" spans="1:26" ht="28.7" customHeight="1" x14ac:dyDescent="0.3">
      <c r="A147" s="24" t="s">
        <v>6</v>
      </c>
      <c r="B147" s="58"/>
      <c r="C147" s="58"/>
      <c r="D147" s="58"/>
      <c r="E147" s="58"/>
      <c r="F147" s="55">
        <f>J147+H147+L147</f>
        <v>64583</v>
      </c>
      <c r="G147" s="58"/>
      <c r="H147" s="55">
        <f>ROUNDDOWN(SUMIF(P143:P146,O147,H143:H146),0)</f>
        <v>47231</v>
      </c>
      <c r="I147" s="58"/>
      <c r="J147" s="55">
        <f>ROUNDDOWN(SUMIF(P143:P146,O147,J143:J146),0)</f>
        <v>8776</v>
      </c>
      <c r="K147" s="58"/>
      <c r="L147" s="55">
        <f>ROUNDDOWN(SUMIF(P143:P146,O147,L143:L146),0)</f>
        <v>8576</v>
      </c>
      <c r="M147" s="58"/>
      <c r="O147" s="6" t="s">
        <v>1128</v>
      </c>
    </row>
    <row r="148" spans="1:26" ht="28.7" customHeight="1" x14ac:dyDescent="0.3">
      <c r="A148" s="83" t="s">
        <v>111</v>
      </c>
      <c r="B148" s="83"/>
      <c r="C148" s="84"/>
      <c r="D148" s="84"/>
      <c r="E148" s="84"/>
      <c r="F148" s="84"/>
      <c r="G148" s="84"/>
      <c r="H148" s="84"/>
      <c r="I148" s="84"/>
      <c r="J148" s="84"/>
      <c r="K148" s="84"/>
      <c r="L148" s="84"/>
      <c r="M148" s="84"/>
      <c r="N148" s="36" t="str">
        <f>HYPERLINK("#N"&amp;ROW(N154),"_x0005_`BDCOD|X00099_x0007_`POSS|"&amp;ROW(N150)&amp;"_x0007_`POSE|"&amp;ROW(N154)&amp;"_x0007_`")</f>
        <v>_x0005_`BDCOD|X00099_x0007_`POSS|150_x0007_`POSE|154_x0007_`</v>
      </c>
    </row>
    <row r="149" spans="1:26" ht="28.7" customHeight="1" x14ac:dyDescent="0.3">
      <c r="A149" s="43" t="s">
        <v>412</v>
      </c>
      <c r="B149" s="43" t="s">
        <v>413</v>
      </c>
      <c r="C149" s="85"/>
      <c r="D149" s="87" t="s">
        <v>344</v>
      </c>
      <c r="E149" s="85"/>
      <c r="F149" s="85"/>
      <c r="G149" s="85"/>
      <c r="H149" s="85"/>
      <c r="I149" s="85"/>
      <c r="J149" s="85"/>
      <c r="K149" s="85"/>
      <c r="L149" s="85"/>
      <c r="M149" s="87" t="s">
        <v>414</v>
      </c>
      <c r="O149" s="6" t="s">
        <v>411</v>
      </c>
    </row>
    <row r="150" spans="1:26" ht="28.7" customHeight="1" x14ac:dyDescent="0.3">
      <c r="A150" s="9" t="s">
        <v>353</v>
      </c>
      <c r="B150" s="9" t="s">
        <v>688</v>
      </c>
      <c r="C150" s="86">
        <v>0.20849999999999999</v>
      </c>
      <c r="D150" s="33" t="s">
        <v>685</v>
      </c>
      <c r="E150" s="62">
        <f t="shared" ref="E150:F154" si="19">I150+G150+K150</f>
        <v>110926</v>
      </c>
      <c r="F150" s="88">
        <f t="shared" si="19"/>
        <v>23128</v>
      </c>
      <c r="G150" s="59">
        <v>0</v>
      </c>
      <c r="H150" s="88">
        <f>IF(C150=0,0,ROUNDDOWN(G150*C150,1))</f>
        <v>0</v>
      </c>
      <c r="I150" s="59">
        <v>0</v>
      </c>
      <c r="J150" s="89">
        <f>IF(C150=0,0,ROUNDDOWN(I150*C150,1))</f>
        <v>0</v>
      </c>
      <c r="K150" s="90">
        <f>경비목록표!E7</f>
        <v>110926</v>
      </c>
      <c r="L150" s="92">
        <f>IF(C150=0,0,ROUNDDOWN(K150*C150,1))</f>
        <v>23128</v>
      </c>
      <c r="M150" s="24" t="s">
        <v>2182</v>
      </c>
      <c r="N150" s="16" t="s">
        <v>2180</v>
      </c>
      <c r="O150" s="6" t="s">
        <v>2181</v>
      </c>
      <c r="P150" s="6" t="s">
        <v>1128</v>
      </c>
      <c r="Z150" s="19" t="str">
        <f ca="1">HYPERLINK("#"&amp;경비목록표!G2&amp;"!A"&amp;ROW(경비목록표!A7),"경비    4 →")</f>
        <v>경비    4 →</v>
      </c>
    </row>
    <row r="151" spans="1:26" ht="28.7" customHeight="1" x14ac:dyDescent="0.3">
      <c r="A151" s="9" t="s">
        <v>711</v>
      </c>
      <c r="B151" s="9" t="s">
        <v>712</v>
      </c>
      <c r="C151" s="86">
        <v>0.31929999999999997</v>
      </c>
      <c r="D151" s="33" t="s">
        <v>685</v>
      </c>
      <c r="E151" s="62">
        <f t="shared" si="19"/>
        <v>11046</v>
      </c>
      <c r="F151" s="88">
        <f t="shared" si="19"/>
        <v>3526.9</v>
      </c>
      <c r="G151" s="59">
        <v>0</v>
      </c>
      <c r="H151" s="88">
        <f>IF(C151=0,0,ROUNDDOWN(G151*C151,1))</f>
        <v>0</v>
      </c>
      <c r="I151" s="59">
        <v>0</v>
      </c>
      <c r="J151" s="89">
        <f>IF(C151=0,0,ROUNDDOWN(I151*C151,1))</f>
        <v>0</v>
      </c>
      <c r="K151" s="90">
        <f>경비목록표!E14</f>
        <v>11046</v>
      </c>
      <c r="L151" s="92">
        <f>IF(C151=0,0,ROUNDDOWN(K151*C151,1))</f>
        <v>3526.9</v>
      </c>
      <c r="M151" s="24" t="s">
        <v>2244</v>
      </c>
      <c r="N151" s="16" t="s">
        <v>2242</v>
      </c>
      <c r="O151" s="6" t="s">
        <v>2243</v>
      </c>
      <c r="P151" s="6" t="s">
        <v>1128</v>
      </c>
      <c r="Z151" s="19" t="str">
        <f ca="1">HYPERLINK("#"&amp;경비목록표!G2&amp;"!A"&amp;ROW(경비목록표!A14),"경비   11 →")</f>
        <v>경비   11 →</v>
      </c>
    </row>
    <row r="152" spans="1:26" ht="28.7" customHeight="1" x14ac:dyDescent="0.3">
      <c r="A152" s="9" t="s">
        <v>665</v>
      </c>
      <c r="B152" s="9"/>
      <c r="C152" s="86">
        <v>1</v>
      </c>
      <c r="D152" s="33" t="s">
        <v>647</v>
      </c>
      <c r="E152" s="62">
        <f t="shared" si="19"/>
        <v>55700</v>
      </c>
      <c r="F152" s="89">
        <f t="shared" si="19"/>
        <v>55700</v>
      </c>
      <c r="G152" s="90">
        <f>환율및기초자료!G6</f>
        <v>55700</v>
      </c>
      <c r="H152" s="91">
        <f>IF(C152=0,0,ROUNDDOWN(G152*C152,1))</f>
        <v>55700</v>
      </c>
      <c r="I152" s="59">
        <v>0</v>
      </c>
      <c r="J152" s="88">
        <f>IF(C152=0,0,ROUNDDOWN(I152*C152,1))</f>
        <v>0</v>
      </c>
      <c r="K152" s="59">
        <v>0</v>
      </c>
      <c r="L152" s="89">
        <f>IF(C152=0,0,ROUNDDOWN(K152*C152,1))</f>
        <v>0</v>
      </c>
      <c r="M152" s="24" t="s">
        <v>2167</v>
      </c>
      <c r="N152" s="16" t="s">
        <v>2165</v>
      </c>
      <c r="O152" s="6" t="s">
        <v>2166</v>
      </c>
      <c r="P152" s="6" t="s">
        <v>1128</v>
      </c>
      <c r="Z152" s="19" t="str">
        <f ca="1">HYPERLINK("#"&amp;환율및기초자료!I2&amp;"!A"&amp;ROW(환율및기초자료!A6),"노무    7 →")</f>
        <v>노무    7 →</v>
      </c>
    </row>
    <row r="153" spans="1:26" ht="28.7" customHeight="1" x14ac:dyDescent="0.3">
      <c r="A153" s="9" t="s">
        <v>435</v>
      </c>
      <c r="B153" s="9" t="s">
        <v>436</v>
      </c>
      <c r="C153" s="86">
        <v>11.6</v>
      </c>
      <c r="D153" s="33" t="s">
        <v>431</v>
      </c>
      <c r="E153" s="62">
        <f t="shared" si="19"/>
        <v>1272</v>
      </c>
      <c r="F153" s="88">
        <f t="shared" si="19"/>
        <v>14755.2</v>
      </c>
      <c r="G153" s="59">
        <v>0</v>
      </c>
      <c r="H153" s="89">
        <f>IF(C153=0,0,ROUNDDOWN(G153*C153,1))</f>
        <v>0</v>
      </c>
      <c r="I153" s="90">
        <f>재료비목록표!E5</f>
        <v>1272</v>
      </c>
      <c r="J153" s="91">
        <f>IF(C153=0,0,ROUNDDOWN(I153*C153,1))</f>
        <v>14755.2</v>
      </c>
      <c r="K153" s="59">
        <v>0</v>
      </c>
      <c r="L153" s="89">
        <f>IF(C153=0,0,ROUNDDOWN(K153*C153,1))</f>
        <v>0</v>
      </c>
      <c r="M153" s="24" t="s">
        <v>2170</v>
      </c>
      <c r="N153" s="16" t="s">
        <v>2168</v>
      </c>
      <c r="O153" s="6" t="s">
        <v>2169</v>
      </c>
      <c r="P153" s="6" t="s">
        <v>1128</v>
      </c>
      <c r="Z153" s="19" t="str">
        <f ca="1">HYPERLINK("#"&amp;재료비목록표!G2&amp;"!A"&amp;ROW(재료비목록표!A5),"자재    2 →")</f>
        <v>자재    2 →</v>
      </c>
    </row>
    <row r="154" spans="1:26" ht="28.7" customHeight="1" x14ac:dyDescent="0.3">
      <c r="A154" s="9" t="s">
        <v>484</v>
      </c>
      <c r="B154" s="9" t="s">
        <v>485</v>
      </c>
      <c r="C154" s="86">
        <v>22</v>
      </c>
      <c r="D154" s="33" t="s">
        <v>480</v>
      </c>
      <c r="E154" s="62">
        <f t="shared" si="19"/>
        <v>14755.2</v>
      </c>
      <c r="F154" s="88">
        <f t="shared" si="19"/>
        <v>3246.1</v>
      </c>
      <c r="G154" s="59">
        <v>0</v>
      </c>
      <c r="H154" s="89">
        <f>IF(C154=0,0,ROUNDDOWN(G154*C154/100,1))</f>
        <v>0</v>
      </c>
      <c r="I154" s="90">
        <f>J153</f>
        <v>14755.2</v>
      </c>
      <c r="J154" s="91">
        <f>IF(C154=0,0,ROUNDDOWN(I154*C154/100,1))</f>
        <v>3246.1</v>
      </c>
      <c r="K154" s="59">
        <v>0</v>
      </c>
      <c r="L154" s="89">
        <f>IF(C154=0,0,ROUNDDOWN(K154*C154/100,1))</f>
        <v>0</v>
      </c>
      <c r="M154" s="24" t="s">
        <v>2173</v>
      </c>
      <c r="N154" s="16" t="s">
        <v>2171</v>
      </c>
      <c r="O154" s="6" t="s">
        <v>2172</v>
      </c>
      <c r="P154" s="6" t="s">
        <v>1128</v>
      </c>
      <c r="Z154" s="19" t="str">
        <f ca="1">HYPERLINK("#"&amp;재료비목록표!G2&amp;"!A"&amp;ROW(재료비목록표!A14),"자재   11 →")</f>
        <v>자재   11 →</v>
      </c>
    </row>
    <row r="155" spans="1:26" ht="28.7" customHeight="1" x14ac:dyDescent="0.3">
      <c r="A155" s="24" t="s">
        <v>6</v>
      </c>
      <c r="B155" s="58"/>
      <c r="C155" s="58"/>
      <c r="D155" s="58"/>
      <c r="E155" s="58"/>
      <c r="F155" s="55">
        <f>J155+H155+L155</f>
        <v>100355</v>
      </c>
      <c r="G155" s="58"/>
      <c r="H155" s="55">
        <f>ROUNDDOWN(SUMIF(P150:P154,O155,H150:H154),0)</f>
        <v>55700</v>
      </c>
      <c r="I155" s="58"/>
      <c r="J155" s="55">
        <f>ROUNDDOWN(SUMIF(P150:P154,O155,J150:J154),0)</f>
        <v>18001</v>
      </c>
      <c r="K155" s="58"/>
      <c r="L155" s="55">
        <f>ROUNDDOWN(SUMIF(P150:P154,O155,L150:L154),0)</f>
        <v>26654</v>
      </c>
      <c r="M155" s="58"/>
      <c r="O155" s="6" t="s">
        <v>1128</v>
      </c>
    </row>
    <row r="156" spans="1:26" ht="28.7" customHeight="1" x14ac:dyDescent="0.3">
      <c r="A156" s="83" t="s">
        <v>116</v>
      </c>
      <c r="B156" s="83"/>
      <c r="C156" s="84"/>
      <c r="D156" s="84"/>
      <c r="E156" s="84"/>
      <c r="F156" s="84"/>
      <c r="G156" s="84"/>
      <c r="H156" s="84"/>
      <c r="I156" s="84"/>
      <c r="J156" s="84"/>
      <c r="K156" s="84"/>
      <c r="L156" s="84"/>
      <c r="M156" s="84"/>
      <c r="N156" s="36" t="str">
        <f>HYPERLINK("#N"&amp;ROW(N161),"_x0005_`BDCOD|X00101_x0007_`POSS|"&amp;ROW(N158)&amp;"_x0007_`POSE|"&amp;ROW(N161)&amp;"_x0007_`")</f>
        <v>_x0005_`BDCOD|X00101_x0007_`POSS|158_x0007_`POSE|161_x0007_`</v>
      </c>
    </row>
    <row r="157" spans="1:26" ht="28.7" customHeight="1" x14ac:dyDescent="0.3">
      <c r="A157" s="43" t="s">
        <v>356</v>
      </c>
      <c r="B157" s="43" t="s">
        <v>416</v>
      </c>
      <c r="C157" s="85"/>
      <c r="D157" s="87" t="s">
        <v>344</v>
      </c>
      <c r="E157" s="85"/>
      <c r="F157" s="85"/>
      <c r="G157" s="85"/>
      <c r="H157" s="85"/>
      <c r="I157" s="85"/>
      <c r="J157" s="85"/>
      <c r="K157" s="85"/>
      <c r="L157" s="85"/>
      <c r="M157" s="87" t="s">
        <v>417</v>
      </c>
      <c r="O157" s="6" t="s">
        <v>415</v>
      </c>
    </row>
    <row r="158" spans="1:26" ht="28.7" customHeight="1" x14ac:dyDescent="0.3">
      <c r="A158" s="9" t="s">
        <v>356</v>
      </c>
      <c r="B158" s="9" t="s">
        <v>688</v>
      </c>
      <c r="C158" s="86">
        <v>0.24049999999999999</v>
      </c>
      <c r="D158" s="33" t="s">
        <v>685</v>
      </c>
      <c r="E158" s="62">
        <f t="shared" ref="E158:F161" si="20">I158+G158+K158</f>
        <v>133819</v>
      </c>
      <c r="F158" s="88">
        <f t="shared" si="20"/>
        <v>32183.4</v>
      </c>
      <c r="G158" s="59">
        <v>0</v>
      </c>
      <c r="H158" s="88">
        <f>IF(C158=0,0,ROUNDDOWN(G158*C158,1))</f>
        <v>0</v>
      </c>
      <c r="I158" s="59">
        <v>0</v>
      </c>
      <c r="J158" s="89">
        <f>IF(C158=0,0,ROUNDDOWN(I158*C158,1))</f>
        <v>0</v>
      </c>
      <c r="K158" s="90">
        <f>경비목록표!E8</f>
        <v>133819</v>
      </c>
      <c r="L158" s="92">
        <f>IF(C158=0,0,ROUNDDOWN(K158*C158,1))</f>
        <v>32183.4</v>
      </c>
      <c r="M158" s="24" t="s">
        <v>2185</v>
      </c>
      <c r="N158" s="16" t="s">
        <v>2183</v>
      </c>
      <c r="O158" s="6" t="s">
        <v>2184</v>
      </c>
      <c r="P158" s="6" t="s">
        <v>1128</v>
      </c>
      <c r="Z158" s="19" t="str">
        <f ca="1">HYPERLINK("#"&amp;경비목록표!G2&amp;"!A"&amp;ROW(경비목록표!A8),"경비    5 →")</f>
        <v>경비    5 →</v>
      </c>
    </row>
    <row r="159" spans="1:26" ht="28.7" customHeight="1" x14ac:dyDescent="0.3">
      <c r="A159" s="9" t="s">
        <v>665</v>
      </c>
      <c r="B159" s="9"/>
      <c r="C159" s="86">
        <v>1</v>
      </c>
      <c r="D159" s="33" t="s">
        <v>647</v>
      </c>
      <c r="E159" s="62">
        <f t="shared" si="20"/>
        <v>55700</v>
      </c>
      <c r="F159" s="89">
        <f t="shared" si="20"/>
        <v>55700</v>
      </c>
      <c r="G159" s="90">
        <f>환율및기초자료!G6</f>
        <v>55700</v>
      </c>
      <c r="H159" s="91">
        <f>IF(C159=0,0,ROUNDDOWN(G159*C159,1))</f>
        <v>55700</v>
      </c>
      <c r="I159" s="59">
        <v>0</v>
      </c>
      <c r="J159" s="88">
        <f>IF(C159=0,0,ROUNDDOWN(I159*C159,1))</f>
        <v>0</v>
      </c>
      <c r="K159" s="59">
        <v>0</v>
      </c>
      <c r="L159" s="89">
        <f>IF(C159=0,0,ROUNDDOWN(K159*C159,1))</f>
        <v>0</v>
      </c>
      <c r="M159" s="24" t="s">
        <v>2167</v>
      </c>
      <c r="N159" s="16" t="s">
        <v>2165</v>
      </c>
      <c r="O159" s="6" t="s">
        <v>2166</v>
      </c>
      <c r="P159" s="6" t="s">
        <v>1128</v>
      </c>
      <c r="Z159" s="19" t="str">
        <f ca="1">HYPERLINK("#"&amp;환율및기초자료!I2&amp;"!A"&amp;ROW(환율및기초자료!A6),"노무    7 →")</f>
        <v>노무    7 →</v>
      </c>
    </row>
    <row r="160" spans="1:26" ht="28.7" customHeight="1" x14ac:dyDescent="0.3">
      <c r="A160" s="9" t="s">
        <v>435</v>
      </c>
      <c r="B160" s="9" t="s">
        <v>436</v>
      </c>
      <c r="C160" s="86">
        <v>19.5</v>
      </c>
      <c r="D160" s="33" t="s">
        <v>431</v>
      </c>
      <c r="E160" s="62">
        <f t="shared" si="20"/>
        <v>1272</v>
      </c>
      <c r="F160" s="88">
        <f t="shared" si="20"/>
        <v>24804</v>
      </c>
      <c r="G160" s="59">
        <v>0</v>
      </c>
      <c r="H160" s="89">
        <f>IF(C160=0,0,ROUNDDOWN(G160*C160,1))</f>
        <v>0</v>
      </c>
      <c r="I160" s="90">
        <f>재료비목록표!E5</f>
        <v>1272</v>
      </c>
      <c r="J160" s="91">
        <f>IF(C160=0,0,ROUNDDOWN(I160*C160,1))</f>
        <v>24804</v>
      </c>
      <c r="K160" s="59">
        <v>0</v>
      </c>
      <c r="L160" s="89">
        <f>IF(C160=0,0,ROUNDDOWN(K160*C160,1))</f>
        <v>0</v>
      </c>
      <c r="M160" s="24" t="s">
        <v>2170</v>
      </c>
      <c r="N160" s="16" t="s">
        <v>2168</v>
      </c>
      <c r="O160" s="6" t="s">
        <v>2169</v>
      </c>
      <c r="P160" s="6" t="s">
        <v>1128</v>
      </c>
      <c r="Z160" s="19" t="str">
        <f ca="1">HYPERLINK("#"&amp;재료비목록표!G2&amp;"!A"&amp;ROW(재료비목록표!A5),"자재    2 →")</f>
        <v>자재    2 →</v>
      </c>
    </row>
    <row r="161" spans="1:26" ht="28.7" customHeight="1" x14ac:dyDescent="0.3">
      <c r="A161" s="9" t="s">
        <v>484</v>
      </c>
      <c r="B161" s="9" t="s">
        <v>485</v>
      </c>
      <c r="C161" s="86">
        <v>22</v>
      </c>
      <c r="D161" s="33" t="s">
        <v>480</v>
      </c>
      <c r="E161" s="62">
        <f t="shared" si="20"/>
        <v>24804</v>
      </c>
      <c r="F161" s="88">
        <f t="shared" si="20"/>
        <v>5456.8</v>
      </c>
      <c r="G161" s="59">
        <v>0</v>
      </c>
      <c r="H161" s="89">
        <f>IF(C161=0,0,ROUNDDOWN(G161*C161/100,1))</f>
        <v>0</v>
      </c>
      <c r="I161" s="90">
        <f>J160</f>
        <v>24804</v>
      </c>
      <c r="J161" s="91">
        <f>IF(C161=0,0,ROUNDDOWN(I161*C161/100,1))</f>
        <v>5456.8</v>
      </c>
      <c r="K161" s="59">
        <v>0</v>
      </c>
      <c r="L161" s="89">
        <f>IF(C161=0,0,ROUNDDOWN(K161*C161/100,1))</f>
        <v>0</v>
      </c>
      <c r="M161" s="24" t="s">
        <v>2173</v>
      </c>
      <c r="N161" s="16" t="s">
        <v>2171</v>
      </c>
      <c r="O161" s="6" t="s">
        <v>2172</v>
      </c>
      <c r="P161" s="6" t="s">
        <v>1128</v>
      </c>
      <c r="Z161" s="19" t="str">
        <f ca="1">HYPERLINK("#"&amp;재료비목록표!G2&amp;"!A"&amp;ROW(재료비목록표!A14),"자재   11 →")</f>
        <v>자재   11 →</v>
      </c>
    </row>
    <row r="162" spans="1:26" ht="28.7" customHeight="1" x14ac:dyDescent="0.3">
      <c r="A162" s="24" t="s">
        <v>6</v>
      </c>
      <c r="B162" s="58"/>
      <c r="C162" s="58"/>
      <c r="D162" s="58"/>
      <c r="E162" s="58"/>
      <c r="F162" s="55">
        <f>J162+H162+L162</f>
        <v>118143</v>
      </c>
      <c r="G162" s="58"/>
      <c r="H162" s="55">
        <f>ROUNDDOWN(SUMIF(P158:P161,O162,H158:H161),0)</f>
        <v>55700</v>
      </c>
      <c r="I162" s="58"/>
      <c r="J162" s="55">
        <f>ROUNDDOWN(SUMIF(P158:P161,O162,J158:J161),0)</f>
        <v>30260</v>
      </c>
      <c r="K162" s="58"/>
      <c r="L162" s="55">
        <f>ROUNDDOWN(SUMIF(P158:P161,O162,L158:L161),0)</f>
        <v>32183</v>
      </c>
      <c r="M162" s="58"/>
      <c r="O162" s="6" t="s">
        <v>1128</v>
      </c>
    </row>
    <row r="163" spans="1:26" ht="28.7" customHeight="1" x14ac:dyDescent="0.3">
      <c r="A163" s="83" t="s">
        <v>121</v>
      </c>
      <c r="B163" s="83"/>
      <c r="C163" s="84"/>
      <c r="D163" s="84"/>
      <c r="E163" s="84"/>
      <c r="F163" s="84"/>
      <c r="G163" s="84"/>
      <c r="H163" s="84"/>
      <c r="I163" s="84"/>
      <c r="J163" s="84"/>
      <c r="K163" s="84"/>
      <c r="L163" s="84"/>
      <c r="M163" s="84"/>
      <c r="N163" s="36" t="str">
        <f>HYPERLINK("#N"&amp;ROW(N168),"_x0005_`BDCOD|X00102_x0007_`POSS|"&amp;ROW(N165)&amp;"_x0007_`POSE|"&amp;ROW(N168)&amp;"_x0007_`")</f>
        <v>_x0005_`BDCOD|X00102_x0007_`POSS|165_x0007_`POSE|168_x0007_`</v>
      </c>
    </row>
    <row r="164" spans="1:26" ht="28.7" customHeight="1" x14ac:dyDescent="0.3">
      <c r="A164" s="43" t="s">
        <v>419</v>
      </c>
      <c r="B164" s="43" t="s">
        <v>420</v>
      </c>
      <c r="C164" s="85"/>
      <c r="D164" s="87" t="s">
        <v>344</v>
      </c>
      <c r="E164" s="85"/>
      <c r="F164" s="85"/>
      <c r="G164" s="85"/>
      <c r="H164" s="85"/>
      <c r="I164" s="85"/>
      <c r="J164" s="85"/>
      <c r="K164" s="85"/>
      <c r="L164" s="85"/>
      <c r="M164" s="87" t="s">
        <v>421</v>
      </c>
      <c r="O164" s="6" t="s">
        <v>418</v>
      </c>
    </row>
    <row r="165" spans="1:26" ht="28.7" customHeight="1" x14ac:dyDescent="0.3">
      <c r="A165" s="9" t="s">
        <v>703</v>
      </c>
      <c r="B165" s="9"/>
      <c r="C165" s="86">
        <v>0.22789999999999999</v>
      </c>
      <c r="D165" s="33" t="s">
        <v>685</v>
      </c>
      <c r="E165" s="62">
        <f t="shared" ref="E165:F168" si="21">I165+G165+K165</f>
        <v>49355</v>
      </c>
      <c r="F165" s="88">
        <f t="shared" si="21"/>
        <v>11248</v>
      </c>
      <c r="G165" s="59">
        <v>0</v>
      </c>
      <c r="H165" s="88">
        <f>IF(C165=0,0,ROUNDDOWN(G165*C165,1))</f>
        <v>0</v>
      </c>
      <c r="I165" s="59">
        <v>0</v>
      </c>
      <c r="J165" s="89">
        <f>IF(C165=0,0,ROUNDDOWN(I165*C165,1))</f>
        <v>0</v>
      </c>
      <c r="K165" s="90">
        <f>경비목록표!E11</f>
        <v>49355</v>
      </c>
      <c r="L165" s="92">
        <f>IF(C165=0,0,ROUNDDOWN(K165*C165,1))</f>
        <v>11248</v>
      </c>
      <c r="M165" s="24" t="s">
        <v>2194</v>
      </c>
      <c r="N165" s="16" t="s">
        <v>2192</v>
      </c>
      <c r="O165" s="6" t="s">
        <v>2193</v>
      </c>
      <c r="P165" s="6" t="s">
        <v>1128</v>
      </c>
      <c r="Z165" s="19" t="str">
        <f ca="1">HYPERLINK("#"&amp;경비목록표!G2&amp;"!A"&amp;ROW(경비목록표!A11),"경비    8 →")</f>
        <v>경비    8 →</v>
      </c>
    </row>
    <row r="166" spans="1:26" ht="28.7" customHeight="1" x14ac:dyDescent="0.3">
      <c r="A166" s="9" t="s">
        <v>668</v>
      </c>
      <c r="B166" s="9"/>
      <c r="C166" s="86">
        <v>1</v>
      </c>
      <c r="D166" s="33" t="s">
        <v>647</v>
      </c>
      <c r="E166" s="62">
        <f t="shared" si="21"/>
        <v>47231</v>
      </c>
      <c r="F166" s="89">
        <f t="shared" si="21"/>
        <v>47231</v>
      </c>
      <c r="G166" s="90">
        <f>환율및기초자료!G7</f>
        <v>47231</v>
      </c>
      <c r="H166" s="91">
        <f>IF(C166=0,0,ROUNDDOWN(G166*C166,1))</f>
        <v>47231</v>
      </c>
      <c r="I166" s="59">
        <v>0</v>
      </c>
      <c r="J166" s="88">
        <f>IF(C166=0,0,ROUNDDOWN(I166*C166,1))</f>
        <v>0</v>
      </c>
      <c r="K166" s="59">
        <v>0</v>
      </c>
      <c r="L166" s="89">
        <f>IF(C166=0,0,ROUNDDOWN(K166*C166,1))</f>
        <v>0</v>
      </c>
      <c r="M166" s="24" t="s">
        <v>2197</v>
      </c>
      <c r="N166" s="16" t="s">
        <v>2195</v>
      </c>
      <c r="O166" s="6" t="s">
        <v>2196</v>
      </c>
      <c r="P166" s="6" t="s">
        <v>1128</v>
      </c>
      <c r="Z166" s="19" t="str">
        <f ca="1">HYPERLINK("#"&amp;환율및기초자료!I2&amp;"!A"&amp;ROW(환율및기초자료!A7),"노무    8 →")</f>
        <v>노무    8 →</v>
      </c>
    </row>
    <row r="167" spans="1:26" ht="28.7" customHeight="1" x14ac:dyDescent="0.3">
      <c r="A167" s="9" t="s">
        <v>435</v>
      </c>
      <c r="B167" s="9" t="s">
        <v>613</v>
      </c>
      <c r="C167" s="86">
        <v>14.1</v>
      </c>
      <c r="D167" s="33" t="s">
        <v>431</v>
      </c>
      <c r="E167" s="62">
        <f t="shared" si="21"/>
        <v>1273</v>
      </c>
      <c r="F167" s="88">
        <f t="shared" si="21"/>
        <v>17949.3</v>
      </c>
      <c r="G167" s="59">
        <v>0</v>
      </c>
      <c r="H167" s="89">
        <f>IF(C167=0,0,ROUNDDOWN(G167*C167,1))</f>
        <v>0</v>
      </c>
      <c r="I167" s="90">
        <f>재료비목록표!E42</f>
        <v>1273</v>
      </c>
      <c r="J167" s="91">
        <f>IF(C167=0,0,ROUNDDOWN(I167*C167,1))</f>
        <v>17949.3</v>
      </c>
      <c r="K167" s="59">
        <v>0</v>
      </c>
      <c r="L167" s="89">
        <f>IF(C167=0,0,ROUNDDOWN(K167*C167,1))</f>
        <v>0</v>
      </c>
      <c r="M167" s="24" t="s">
        <v>2247</v>
      </c>
      <c r="N167" s="16" t="s">
        <v>2245</v>
      </c>
      <c r="O167" s="6" t="s">
        <v>2246</v>
      </c>
      <c r="P167" s="6" t="s">
        <v>1128</v>
      </c>
      <c r="Q167" s="6" t="s">
        <v>1247</v>
      </c>
      <c r="Z167" s="19" t="str">
        <f ca="1">HYPERLINK("#"&amp;재료비목록표!G2&amp;"!A"&amp;ROW(재료비목록표!A42),"자재   39 →")</f>
        <v>자재   39 →</v>
      </c>
    </row>
    <row r="168" spans="1:26" ht="28.7" customHeight="1" x14ac:dyDescent="0.3">
      <c r="A168" s="9" t="s">
        <v>484</v>
      </c>
      <c r="B168" s="9" t="s">
        <v>2248</v>
      </c>
      <c r="C168" s="86">
        <v>38</v>
      </c>
      <c r="D168" s="33" t="s">
        <v>480</v>
      </c>
      <c r="E168" s="62">
        <f t="shared" si="21"/>
        <v>17949.3</v>
      </c>
      <c r="F168" s="88">
        <f t="shared" si="21"/>
        <v>6820.7</v>
      </c>
      <c r="G168" s="12">
        <v>0</v>
      </c>
      <c r="H168" s="88">
        <f>IF(C168=0,0,ROUNDDOWN(G168*C168/100,1))</f>
        <v>0</v>
      </c>
      <c r="I168" s="114">
        <f>SUMIF(Q165:Q167,"1_01",J165:J167)</f>
        <v>17949.3</v>
      </c>
      <c r="J168" s="89">
        <f>IF(C168=0,0,ROUNDDOWN(I168*C168/100,1))</f>
        <v>6820.7</v>
      </c>
      <c r="K168" s="23">
        <v>0</v>
      </c>
      <c r="L168" s="89">
        <f>IF(C168=0,0,ROUNDDOWN(K168*C168/100,1))</f>
        <v>0</v>
      </c>
      <c r="M168" s="24"/>
      <c r="N168" s="16" t="s">
        <v>2249</v>
      </c>
      <c r="O168" s="6" t="s">
        <v>2250</v>
      </c>
      <c r="P168" s="6" t="s">
        <v>1128</v>
      </c>
    </row>
    <row r="169" spans="1:26" ht="28.7" customHeight="1" x14ac:dyDescent="0.3">
      <c r="A169" s="24" t="s">
        <v>6</v>
      </c>
      <c r="B169" s="58"/>
      <c r="C169" s="58"/>
      <c r="D169" s="58"/>
      <c r="E169" s="58"/>
      <c r="F169" s="55">
        <f>J169+H169+L169</f>
        <v>83249</v>
      </c>
      <c r="G169" s="58"/>
      <c r="H169" s="55">
        <f>ROUNDDOWN(SUMIF(P165:P168,O169,H165:H168),0)</f>
        <v>47231</v>
      </c>
      <c r="I169" s="58"/>
      <c r="J169" s="55">
        <f>ROUNDDOWN(SUMIF(P165:P168,O169,J165:J168),0)</f>
        <v>24770</v>
      </c>
      <c r="K169" s="58"/>
      <c r="L169" s="55">
        <f>ROUNDDOWN(SUMIF(P165:P168,O169,L165:L168),0)</f>
        <v>11248</v>
      </c>
      <c r="M169" s="58"/>
      <c r="O169" s="6" t="s">
        <v>1128</v>
      </c>
    </row>
    <row r="170" spans="1:26" ht="28.7" customHeight="1" x14ac:dyDescent="0.3">
      <c r="A170" s="83" t="s">
        <v>124</v>
      </c>
      <c r="B170" s="83"/>
      <c r="C170" s="84"/>
      <c r="D170" s="84"/>
      <c r="E170" s="84"/>
      <c r="F170" s="84"/>
      <c r="G170" s="84"/>
      <c r="H170" s="84"/>
      <c r="I170" s="84"/>
      <c r="J170" s="84"/>
      <c r="K170" s="84"/>
      <c r="L170" s="84"/>
      <c r="M170" s="84"/>
      <c r="N170" s="36" t="str">
        <f>HYPERLINK("#N"&amp;ROW(N176),"_x0005_`BDCOD|X00105_x0007_`POSS|"&amp;ROW(N172)&amp;"_x0007_`POSE|"&amp;ROW(N176)&amp;"_x0007_`")</f>
        <v>_x0005_`BDCOD|X00105_x0007_`POSS|172_x0007_`POSE|176_x0007_`</v>
      </c>
    </row>
    <row r="171" spans="1:26" ht="28.7" customHeight="1" x14ac:dyDescent="0.3">
      <c r="A171" s="43" t="s">
        <v>423</v>
      </c>
      <c r="B171" s="43" t="s">
        <v>424</v>
      </c>
      <c r="C171" s="85"/>
      <c r="D171" s="87" t="s">
        <v>344</v>
      </c>
      <c r="E171" s="85"/>
      <c r="F171" s="85"/>
      <c r="G171" s="85"/>
      <c r="H171" s="85"/>
      <c r="I171" s="85"/>
      <c r="J171" s="85"/>
      <c r="K171" s="85"/>
      <c r="L171" s="85"/>
      <c r="M171" s="87" t="s">
        <v>425</v>
      </c>
      <c r="O171" s="6" t="s">
        <v>422</v>
      </c>
    </row>
    <row r="172" spans="1:26" ht="28.7" customHeight="1" x14ac:dyDescent="0.3">
      <c r="A172" s="9" t="s">
        <v>423</v>
      </c>
      <c r="B172" s="9" t="s">
        <v>749</v>
      </c>
      <c r="C172" s="86">
        <v>0.22789999999999999</v>
      </c>
      <c r="D172" s="33" t="s">
        <v>685</v>
      </c>
      <c r="E172" s="62">
        <f t="shared" ref="E172:F176" si="22">I172+G172+K172</f>
        <v>112684</v>
      </c>
      <c r="F172" s="88">
        <f t="shared" si="22"/>
        <v>25680.6</v>
      </c>
      <c r="G172" s="59">
        <v>0</v>
      </c>
      <c r="H172" s="88">
        <f>IF(C172=0,0,ROUNDDOWN(G172*C172,1))</f>
        <v>0</v>
      </c>
      <c r="I172" s="59">
        <v>0</v>
      </c>
      <c r="J172" s="89">
        <f>IF(C172=0,0,ROUNDDOWN(I172*C172,1))</f>
        <v>0</v>
      </c>
      <c r="K172" s="90">
        <f>경비목록표!E26</f>
        <v>112684</v>
      </c>
      <c r="L172" s="92">
        <f>IF(C172=0,0,ROUNDDOWN(K172*C172,1))</f>
        <v>25680.6</v>
      </c>
      <c r="M172" s="24" t="s">
        <v>2253</v>
      </c>
      <c r="N172" s="16" t="s">
        <v>2251</v>
      </c>
      <c r="O172" s="6" t="s">
        <v>2252</v>
      </c>
      <c r="P172" s="6" t="s">
        <v>1128</v>
      </c>
      <c r="Z172" s="19" t="str">
        <f ca="1">HYPERLINK("#"&amp;경비목록표!G2&amp;"!A"&amp;ROW(경비목록표!A26),"경비   23 →")</f>
        <v>경비   23 →</v>
      </c>
    </row>
    <row r="173" spans="1:26" ht="28.7" customHeight="1" x14ac:dyDescent="0.3">
      <c r="A173" s="9" t="s">
        <v>665</v>
      </c>
      <c r="B173" s="9"/>
      <c r="C173" s="86">
        <v>1</v>
      </c>
      <c r="D173" s="33" t="s">
        <v>647</v>
      </c>
      <c r="E173" s="62">
        <f t="shared" si="22"/>
        <v>55700</v>
      </c>
      <c r="F173" s="89">
        <f t="shared" si="22"/>
        <v>55700</v>
      </c>
      <c r="G173" s="90">
        <f>환율및기초자료!G6</f>
        <v>55700</v>
      </c>
      <c r="H173" s="91">
        <f>IF(C173=0,0,ROUNDDOWN(G173*C173,1))</f>
        <v>55700</v>
      </c>
      <c r="I173" s="59">
        <v>0</v>
      </c>
      <c r="J173" s="88">
        <f>IF(C173=0,0,ROUNDDOWN(I173*C173,1))</f>
        <v>0</v>
      </c>
      <c r="K173" s="59">
        <v>0</v>
      </c>
      <c r="L173" s="89">
        <f>IF(C173=0,0,ROUNDDOWN(K173*C173,1))</f>
        <v>0</v>
      </c>
      <c r="M173" s="24" t="s">
        <v>2167</v>
      </c>
      <c r="N173" s="16" t="s">
        <v>2165</v>
      </c>
      <c r="O173" s="6" t="s">
        <v>2166</v>
      </c>
      <c r="P173" s="6" t="s">
        <v>1128</v>
      </c>
      <c r="Z173" s="19" t="str">
        <f ca="1">HYPERLINK("#"&amp;환율및기초자료!I2&amp;"!A"&amp;ROW(환율및기초자료!A6),"노무    7 →")</f>
        <v>노무    7 →</v>
      </c>
    </row>
    <row r="174" spans="1:26" ht="28.7" customHeight="1" x14ac:dyDescent="0.3">
      <c r="A174" s="9" t="s">
        <v>435</v>
      </c>
      <c r="B174" s="9" t="s">
        <v>613</v>
      </c>
      <c r="C174" s="86">
        <v>11.6</v>
      </c>
      <c r="D174" s="33" t="s">
        <v>431</v>
      </c>
      <c r="E174" s="62">
        <f t="shared" si="22"/>
        <v>1273</v>
      </c>
      <c r="F174" s="88">
        <f t="shared" si="22"/>
        <v>14766.8</v>
      </c>
      <c r="G174" s="59">
        <v>0</v>
      </c>
      <c r="H174" s="89">
        <f>IF(C174=0,0,ROUNDDOWN(G174*C174,1))</f>
        <v>0</v>
      </c>
      <c r="I174" s="90">
        <f>재료비목록표!E42</f>
        <v>1273</v>
      </c>
      <c r="J174" s="91">
        <f>IF(C174=0,0,ROUNDDOWN(I174*C174,1))</f>
        <v>14766.8</v>
      </c>
      <c r="K174" s="59">
        <v>0</v>
      </c>
      <c r="L174" s="89">
        <f>IF(C174=0,0,ROUNDDOWN(K174*C174,1))</f>
        <v>0</v>
      </c>
      <c r="M174" s="24" t="s">
        <v>2247</v>
      </c>
      <c r="N174" s="16" t="s">
        <v>2245</v>
      </c>
      <c r="O174" s="6" t="s">
        <v>2246</v>
      </c>
      <c r="P174" s="6" t="s">
        <v>1128</v>
      </c>
      <c r="Q174" s="6" t="s">
        <v>1247</v>
      </c>
      <c r="Z174" s="19" t="str">
        <f ca="1">HYPERLINK("#"&amp;재료비목록표!G2&amp;"!A"&amp;ROW(재료비목록표!A42),"자재   39 →")</f>
        <v>자재   39 →</v>
      </c>
    </row>
    <row r="175" spans="1:26" ht="28.7" customHeight="1" x14ac:dyDescent="0.3">
      <c r="A175" s="9" t="s">
        <v>484</v>
      </c>
      <c r="B175" s="9" t="s">
        <v>2248</v>
      </c>
      <c r="C175" s="86">
        <v>24</v>
      </c>
      <c r="D175" s="33" t="s">
        <v>480</v>
      </c>
      <c r="E175" s="62">
        <f t="shared" si="22"/>
        <v>14766.8</v>
      </c>
      <c r="F175" s="88">
        <f t="shared" si="22"/>
        <v>3544</v>
      </c>
      <c r="G175" s="12">
        <v>0</v>
      </c>
      <c r="H175" s="88">
        <f>IF(C175=0,0,ROUNDDOWN(G175*C175/100,1))</f>
        <v>0</v>
      </c>
      <c r="I175" s="114">
        <f>SUMIF(Q172:Q174,"1_01",J172:J174)</f>
        <v>14766.8</v>
      </c>
      <c r="J175" s="89">
        <f>IF(C175=0,0,ROUNDDOWN(I175*C175/100,1))</f>
        <v>3544</v>
      </c>
      <c r="K175" s="23">
        <v>0</v>
      </c>
      <c r="L175" s="89">
        <f>IF(C175=0,0,ROUNDDOWN(K175*C175/100,1))</f>
        <v>0</v>
      </c>
      <c r="M175" s="24"/>
      <c r="N175" s="16" t="s">
        <v>2249</v>
      </c>
      <c r="O175" s="6" t="s">
        <v>2250</v>
      </c>
      <c r="P175" s="6" t="s">
        <v>1128</v>
      </c>
    </row>
    <row r="176" spans="1:26" ht="28.7" customHeight="1" x14ac:dyDescent="0.3">
      <c r="A176" s="9" t="s">
        <v>745</v>
      </c>
      <c r="B176" s="9" t="s">
        <v>746</v>
      </c>
      <c r="C176" s="86">
        <v>0.74350000000000005</v>
      </c>
      <c r="D176" s="33" t="s">
        <v>685</v>
      </c>
      <c r="E176" s="62">
        <f t="shared" si="22"/>
        <v>7381</v>
      </c>
      <c r="F176" s="88">
        <f t="shared" si="22"/>
        <v>5487.7</v>
      </c>
      <c r="G176" s="59">
        <v>0</v>
      </c>
      <c r="H176" s="88">
        <f>IF(C176=0,0,ROUNDDOWN(G176*C176,1))</f>
        <v>0</v>
      </c>
      <c r="I176" s="59">
        <v>0</v>
      </c>
      <c r="J176" s="89">
        <f>IF(C176=0,0,ROUNDDOWN(I176*C176,1))</f>
        <v>0</v>
      </c>
      <c r="K176" s="90">
        <f>경비목록표!E25</f>
        <v>7381</v>
      </c>
      <c r="L176" s="92">
        <f>IF(C176=0,0,ROUNDDOWN(K176*C176,1))</f>
        <v>5487.7</v>
      </c>
      <c r="M176" s="24" t="s">
        <v>2256</v>
      </c>
      <c r="N176" s="16" t="s">
        <v>2254</v>
      </c>
      <c r="O176" s="6" t="s">
        <v>2255</v>
      </c>
      <c r="P176" s="6" t="s">
        <v>1128</v>
      </c>
      <c r="Z176" s="19" t="str">
        <f ca="1">HYPERLINK("#"&amp;경비목록표!G2&amp;"!A"&amp;ROW(경비목록표!A25),"경비   22 →")</f>
        <v>경비   22 →</v>
      </c>
    </row>
    <row r="177" spans="1:15" ht="28.7" customHeight="1" x14ac:dyDescent="0.3">
      <c r="A177" s="24" t="s">
        <v>6</v>
      </c>
      <c r="B177" s="58"/>
      <c r="C177" s="58"/>
      <c r="D177" s="58"/>
      <c r="E177" s="58"/>
      <c r="F177" s="55">
        <f>J177+H177+L177</f>
        <v>105178</v>
      </c>
      <c r="G177" s="58"/>
      <c r="H177" s="55">
        <f>ROUNDDOWN(SUMIF(P172:P176,O177,H172:H176),0)</f>
        <v>55700</v>
      </c>
      <c r="I177" s="58"/>
      <c r="J177" s="55">
        <f>ROUNDDOWN(SUMIF(P172:P176,O177,J172:J176),0)</f>
        <v>18310</v>
      </c>
      <c r="K177" s="58"/>
      <c r="L177" s="55">
        <f>ROUNDDOWN(SUMIF(P172:P176,O177,L172:L176),0)</f>
        <v>31168</v>
      </c>
      <c r="M177" s="58"/>
      <c r="O177" s="6" t="s">
        <v>1128</v>
      </c>
    </row>
  </sheetData>
  <mergeCells count="10">
    <mergeCell ref="A1:M1"/>
    <mergeCell ref="A3:A4"/>
    <mergeCell ref="B3:B4"/>
    <mergeCell ref="C3:C4"/>
    <mergeCell ref="D3:D4"/>
    <mergeCell ref="E3:F3"/>
    <mergeCell ref="G3:H3"/>
    <mergeCell ref="I3:J3"/>
    <mergeCell ref="K3:L3"/>
    <mergeCell ref="M3:M4"/>
  </mergeCells>
  <phoneticPr fontId="26" type="noConversion"/>
  <conditionalFormatting sqref="C5:M177">
    <cfRule type="expression" dxfId="1" priority="1" stopIfTrue="1">
      <formula>AND(C5&lt;&gt;0,INT(C5)=C5)</formula>
    </cfRule>
  </conditionalFormatting>
  <hyperlinks>
    <hyperlink ref="Z1" r:id="rId1" tooltip="설계예산시스템(STmate w24.04)으로 작성 하였으며,_x000a_엑셀 인쇄품질 600 dpi에 최적화 되어 있습니다._x000a_경영정보(주) http://www.stma.co.kr_x000a_Tel) 070-4350-0040_x000a_Fax) 0505-300-3948"/>
    <hyperlink ref="N1" r:id="rId2" tooltip="설계예산시스템(STmate w24.04)으로 작성 하였으며,_x000a_엑셀 인쇄품질 600 dpi에 최적화 되어 있습니다._x000a_경영정보(주) http://www.stma.co.kr_x000a_Tel) 070-4350-0040_x000a_Fax) 0505-300-3948"/>
  </hyperlinks>
  <printOptions horizontalCentered="1"/>
  <pageMargins left="0.78740157480314965" right="0.78740157480314965" top="0.59055118110236215" bottom="0.59055118110236215" header="0" footer="0.39370078740157477"/>
  <pageSetup paperSize="9" scale="73" fitToWidth="0" fitToHeight="0" orientation="landscape" r:id="rId3"/>
  <headerFooter alignWithMargins="0">
    <oddFooter xml:space="preserve">&amp;R&amp;"굴림체,"&amp;9 </oddFooter>
  </headerFooter>
  <legacy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9"/>
  <sheetViews>
    <sheetView workbookViewId="0">
      <pane ySplit="3" topLeftCell="A4" activePane="bottomLeft" state="frozenSplit"/>
      <selection pane="bottomLeft" activeCell="A4" sqref="A4"/>
    </sheetView>
  </sheetViews>
  <sheetFormatPr defaultColWidth="9.125" defaultRowHeight="16.5" x14ac:dyDescent="0.3"/>
  <cols>
    <col min="1" max="1" width="10" style="5" customWidth="1"/>
    <col min="2" max="3" width="24.25" style="5" customWidth="1"/>
    <col min="4" max="4" width="5.5" style="5" customWidth="1"/>
    <col min="5" max="5" width="13.75" style="5" customWidth="1"/>
    <col min="6" max="6" width="10" style="5" customWidth="1"/>
    <col min="7" max="7" width="9.125" style="15" hidden="1" customWidth="1"/>
    <col min="8" max="8" width="9.125" style="17" customWidth="1"/>
    <col min="9" max="16384" width="9.125" style="5"/>
  </cols>
  <sheetData>
    <row r="1" spans="1:8" ht="24.95" customHeight="1" x14ac:dyDescent="0.3">
      <c r="A1" s="145" t="s">
        <v>427</v>
      </c>
      <c r="B1" s="135"/>
      <c r="C1" s="135"/>
      <c r="D1" s="135"/>
      <c r="E1" s="135"/>
      <c r="F1" s="135"/>
      <c r="G1" s="4" t="s">
        <v>166</v>
      </c>
      <c r="H1" s="18" t="s">
        <v>166</v>
      </c>
    </row>
    <row r="2" spans="1:8" ht="21.75" customHeight="1" x14ac:dyDescent="0.3">
      <c r="A2" s="1" t="s">
        <v>1</v>
      </c>
      <c r="G2" s="21" t="str">
        <f ca="1">MID(CELL("filename",$A$1),FIND("]",CELL("filename",$A$1))+1,LEN(CELL("filename",$A$1)))</f>
        <v>재료비목록표</v>
      </c>
    </row>
    <row r="3" spans="1:8" ht="21.75" customHeight="1" x14ac:dyDescent="0.3">
      <c r="A3" s="7" t="s">
        <v>2</v>
      </c>
      <c r="B3" s="7" t="s">
        <v>3</v>
      </c>
      <c r="C3" s="7" t="s">
        <v>4</v>
      </c>
      <c r="D3" s="7" t="s">
        <v>5</v>
      </c>
      <c r="E3" s="7" t="s">
        <v>428</v>
      </c>
      <c r="F3" s="13" t="s">
        <v>10</v>
      </c>
      <c r="H3" s="19" t="str">
        <f>HYPERLINK("#'〓 목 차 〓'!B2","목차 →")</f>
        <v>목차 →</v>
      </c>
    </row>
    <row r="4" spans="1:8" ht="21.75" customHeight="1" x14ac:dyDescent="0.3">
      <c r="A4" s="8" t="s">
        <v>429</v>
      </c>
      <c r="B4" s="9" t="s">
        <v>430</v>
      </c>
      <c r="C4" s="9" t="s">
        <v>281</v>
      </c>
      <c r="D4" s="8" t="s">
        <v>431</v>
      </c>
      <c r="E4" s="35">
        <f>자재단가대비표!O5</f>
        <v>1369</v>
      </c>
      <c r="F4" s="24" t="s">
        <v>429</v>
      </c>
      <c r="G4" s="36" t="str">
        <f>"_x0007_`COD|M00001_x0005_`QTY1|1_x0005_`BQC|2024.02_x0005_`EQC|_x0005_`JDC|_x0005_`WQC|_x0005_`EDT|_x0005_`DET|"&amp;ROW(자재단가대비표!A5)&amp;"_x0005_`"</f>
        <v>_x0007_`COD|M00001_x0005_`QTY1|1_x0005_`BQC|2024.02_x0005_`EQC|_x0005_`JDC|_x0005_`WQC|_x0005_`EDT|_x0005_`DET|5_x0005_`</v>
      </c>
      <c r="H4" s="19" t="str">
        <f ca="1">HYPERLINK("#"&amp;자재단가대비표!R2&amp;"!A"&amp;ROW(자재단가대비표!A5),"자재    1 →")</f>
        <v>자재    1 →</v>
      </c>
    </row>
    <row r="5" spans="1:8" ht="21.75" customHeight="1" x14ac:dyDescent="0.3">
      <c r="A5" s="8" t="s">
        <v>434</v>
      </c>
      <c r="B5" s="9" t="s">
        <v>435</v>
      </c>
      <c r="C5" s="9" t="s">
        <v>436</v>
      </c>
      <c r="D5" s="8" t="s">
        <v>431</v>
      </c>
      <c r="E5" s="35">
        <f>자재단가대비표!O6</f>
        <v>1272</v>
      </c>
      <c r="F5" s="24" t="s">
        <v>434</v>
      </c>
      <c r="G5" s="36" t="str">
        <f>"_x0007_`COD|M00003_x0005_`QTY1|1_x0005_`BQC|2024.02_x0005_`EQC|_x0005_`JDC|_x0005_`WQC|_x0005_`EDT|_x0005_`DET|"&amp;ROW(자재단가대비표!A6)&amp;"_x0005_`"</f>
        <v>_x0007_`COD|M00003_x0005_`QTY1|1_x0005_`BQC|2024.02_x0005_`EQC|_x0005_`JDC|_x0005_`WQC|_x0005_`EDT|_x0005_`DET|6_x0005_`</v>
      </c>
      <c r="H5" s="19" t="str">
        <f ca="1">HYPERLINK("#"&amp;자재단가대비표!R2&amp;"!A"&amp;ROW(자재단가대비표!A6),"자재    2 →")</f>
        <v>자재    2 →</v>
      </c>
    </row>
    <row r="6" spans="1:8" ht="21.75" customHeight="1" x14ac:dyDescent="0.3">
      <c r="A6" s="8" t="s">
        <v>439</v>
      </c>
      <c r="B6" s="9" t="s">
        <v>440</v>
      </c>
      <c r="C6" s="9" t="s">
        <v>441</v>
      </c>
      <c r="D6" s="8" t="s">
        <v>442</v>
      </c>
      <c r="E6" s="35">
        <f>자재단가대비표!O7</f>
        <v>500661</v>
      </c>
      <c r="F6" s="24" t="s">
        <v>439</v>
      </c>
      <c r="G6" s="36" t="str">
        <f>"_x0007_`COD|M00004_x0005_`QTY1|1_x0005_`BQC|2024.01_x0005_`EQC|_x0005_`JDC|_x0005_`WQC|_x0005_`EDT|_x0005_`DET|"&amp;ROW(자재단가대비표!A7)&amp;"_x0005_`"</f>
        <v>_x0007_`COD|M00004_x0005_`QTY1|1_x0005_`BQC|2024.01_x0005_`EQC|_x0005_`JDC|_x0005_`WQC|_x0005_`EDT|_x0005_`DET|7_x0005_`</v>
      </c>
      <c r="H6" s="19" t="str">
        <f ca="1">HYPERLINK("#"&amp;자재단가대비표!R2&amp;"!A"&amp;ROW(자재단가대비표!A7),"자재    3 →")</f>
        <v>자재    3 →</v>
      </c>
    </row>
    <row r="7" spans="1:8" ht="21.75" customHeight="1" x14ac:dyDescent="0.3">
      <c r="A7" s="8" t="s">
        <v>445</v>
      </c>
      <c r="B7" s="9" t="s">
        <v>446</v>
      </c>
      <c r="C7" s="9" t="s">
        <v>447</v>
      </c>
      <c r="D7" s="8" t="s">
        <v>448</v>
      </c>
      <c r="E7" s="35">
        <f>자재단가대비표!O8</f>
        <v>1503</v>
      </c>
      <c r="F7" s="24" t="s">
        <v>445</v>
      </c>
      <c r="G7" s="36" t="str">
        <f>"_x0007_`COD|M00005_x0005_`QTY1|1_x0005_`BQC|2024.01_x0005_`EQC|_x0005_`JDC|_x0005_`WQC|_x0005_`EDT|_x0005_`DET|"&amp;ROW(자재단가대비표!A8)&amp;"_x0005_`"</f>
        <v>_x0007_`COD|M00005_x0005_`QTY1|1_x0005_`BQC|2024.01_x0005_`EQC|_x0005_`JDC|_x0005_`WQC|_x0005_`EDT|_x0005_`DET|8_x0005_`</v>
      </c>
      <c r="H7" s="19" t="str">
        <f ca="1">HYPERLINK("#"&amp;자재단가대비표!R2&amp;"!A"&amp;ROW(자재단가대비표!A8),"자재    4 →")</f>
        <v>자재    4 →</v>
      </c>
    </row>
    <row r="8" spans="1:8" ht="21.75" customHeight="1" x14ac:dyDescent="0.3">
      <c r="A8" s="8" t="s">
        <v>451</v>
      </c>
      <c r="B8" s="9" t="s">
        <v>452</v>
      </c>
      <c r="C8" s="9" t="s">
        <v>441</v>
      </c>
      <c r="D8" s="8" t="s">
        <v>442</v>
      </c>
      <c r="E8" s="35">
        <f>자재단가대비표!O9</f>
        <v>572185</v>
      </c>
      <c r="F8" s="24" t="s">
        <v>451</v>
      </c>
      <c r="G8" s="36" t="str">
        <f>"_x0007_`COD|M00007_x0005_`QTY1|1_x0005_`BQC|2024.01_x0005_`EQC|_x0005_`JDC|_x0005_`WQC|_x0005_`EDT|_x0005_`DET|"&amp;ROW(자재단가대비표!A9)&amp;"_x0005_`"</f>
        <v>_x0007_`COD|M00007_x0005_`QTY1|1_x0005_`BQC|2024.01_x0005_`EQC|_x0005_`JDC|_x0005_`WQC|_x0005_`EDT|_x0005_`DET|9_x0005_`</v>
      </c>
      <c r="H8" s="19" t="str">
        <f ca="1">HYPERLINK("#"&amp;자재단가대비표!R2&amp;"!A"&amp;ROW(자재단가대비표!A9),"자재    5 →")</f>
        <v>자재    5 →</v>
      </c>
    </row>
    <row r="9" spans="1:8" ht="21.75" customHeight="1" x14ac:dyDescent="0.3">
      <c r="A9" s="8" t="s">
        <v>455</v>
      </c>
      <c r="B9" s="9" t="s">
        <v>456</v>
      </c>
      <c r="C9" s="9" t="s">
        <v>457</v>
      </c>
      <c r="D9" s="8" t="s">
        <v>458</v>
      </c>
      <c r="E9" s="35">
        <f>자재단가대비표!O10</f>
        <v>3920</v>
      </c>
      <c r="F9" s="24" t="s">
        <v>455</v>
      </c>
      <c r="G9" s="36" t="str">
        <f>"_x0007_`COD|M00018_x0005_`QTY1|1_x0005_`BQC|2024.01_x0005_`EQC|_x0005_`JDC|_x0005_`WQC|_x0005_`EDT|_x0005_`DET|"&amp;ROW(자재단가대비표!A10)&amp;"_x0005_`"</f>
        <v>_x0007_`COD|M00018_x0005_`QTY1|1_x0005_`BQC|2024.01_x0005_`EQC|_x0005_`JDC|_x0005_`WQC|_x0005_`EDT|_x0005_`DET|10_x0005_`</v>
      </c>
      <c r="H9" s="19" t="str">
        <f ca="1">HYPERLINK("#"&amp;자재단가대비표!R2&amp;"!A"&amp;ROW(자재단가대비표!A10),"자재    6 →")</f>
        <v>자재    6 →</v>
      </c>
    </row>
    <row r="10" spans="1:8" ht="21.75" customHeight="1" x14ac:dyDescent="0.3">
      <c r="A10" s="8" t="s">
        <v>461</v>
      </c>
      <c r="B10" s="9" t="s">
        <v>462</v>
      </c>
      <c r="C10" s="9" t="s">
        <v>463</v>
      </c>
      <c r="D10" s="8" t="s">
        <v>448</v>
      </c>
      <c r="E10" s="35">
        <f>자재단가대비표!O11</f>
        <v>12712</v>
      </c>
      <c r="F10" s="24" t="s">
        <v>461</v>
      </c>
      <c r="G10" s="36" t="str">
        <f>"_x0007_`COD|M00034_x0005_`QTY1|1_x0005_`BQC|2024.01_x0005_`EQC|_x0005_`JDC|_x0005_`WQC|_x0005_`EDT|_x0005_`DET|"&amp;ROW(자재단가대비표!A11)&amp;"_x0005_`"</f>
        <v>_x0007_`COD|M00034_x0005_`QTY1|1_x0005_`BQC|2024.01_x0005_`EQC|_x0005_`JDC|_x0005_`WQC|_x0005_`EDT|_x0005_`DET|11_x0005_`</v>
      </c>
      <c r="H10" s="19" t="str">
        <f ca="1">HYPERLINK("#"&amp;자재단가대비표!R2&amp;"!A"&amp;ROW(자재단가대비표!A11),"자재    7 →")</f>
        <v>자재    7 →</v>
      </c>
    </row>
    <row r="11" spans="1:8" ht="21.75" customHeight="1" x14ac:dyDescent="0.3">
      <c r="A11" s="8" t="s">
        <v>466</v>
      </c>
      <c r="B11" s="9" t="s">
        <v>467</v>
      </c>
      <c r="C11" s="9" t="s">
        <v>468</v>
      </c>
      <c r="D11" s="8" t="s">
        <v>442</v>
      </c>
      <c r="E11" s="35">
        <f>자재단가대비표!O12</f>
        <v>288000</v>
      </c>
      <c r="F11" s="24" t="s">
        <v>466</v>
      </c>
      <c r="G11" s="36" t="str">
        <f>"_x0007_`COD|M00075_x0005_`QTY1|1_x0005_`BQC|2024.01_x0005_`EQC|_x0005_`JDC|_x0005_`WQC|_x0005_`EDT|_x0005_`DET|"&amp;ROW(자재단가대비표!A12)&amp;"_x0005_`"</f>
        <v>_x0007_`COD|M00075_x0005_`QTY1|1_x0005_`BQC|2024.01_x0005_`EQC|_x0005_`JDC|_x0005_`WQC|_x0005_`EDT|_x0005_`DET|12_x0005_`</v>
      </c>
      <c r="H11" s="19" t="str">
        <f ca="1">HYPERLINK("#"&amp;자재단가대비표!R2&amp;"!A"&amp;ROW(자재단가대비표!A12),"자재    8 →")</f>
        <v>자재    8 →</v>
      </c>
    </row>
    <row r="12" spans="1:8" ht="21.75" customHeight="1" x14ac:dyDescent="0.3">
      <c r="A12" s="8" t="s">
        <v>471</v>
      </c>
      <c r="B12" s="9" t="s">
        <v>472</v>
      </c>
      <c r="C12" s="9" t="s">
        <v>473</v>
      </c>
      <c r="D12" s="8" t="s">
        <v>474</v>
      </c>
      <c r="E12" s="35">
        <f>자재단가대비표!O13</f>
        <v>1912</v>
      </c>
      <c r="F12" s="24" t="s">
        <v>471</v>
      </c>
      <c r="G12" s="36" t="str">
        <f>"_x0007_`COD|M00082_x0005_`QTY1|1_x0005_`BQC|2024.01_x0005_`EQC|_x0005_`JDC|_x0005_`WQC|_x0005_`EDT|_x0005_`DET|"&amp;ROW(자재단가대비표!A13)&amp;"_x0005_`"</f>
        <v>_x0007_`COD|M00082_x0005_`QTY1|1_x0005_`BQC|2024.01_x0005_`EQC|_x0005_`JDC|_x0005_`WQC|_x0005_`EDT|_x0005_`DET|13_x0005_`</v>
      </c>
      <c r="H12" s="19" t="str">
        <f ca="1">HYPERLINK("#"&amp;자재단가대비표!R2&amp;"!A"&amp;ROW(자재단가대비표!A13),"자재    9 →")</f>
        <v>자재    9 →</v>
      </c>
    </row>
    <row r="13" spans="1:8" ht="21.75" customHeight="1" x14ac:dyDescent="0.3">
      <c r="A13" s="8" t="s">
        <v>477</v>
      </c>
      <c r="B13" s="9" t="s">
        <v>478</v>
      </c>
      <c r="C13" s="9" t="s">
        <v>479</v>
      </c>
      <c r="D13" s="8" t="s">
        <v>480</v>
      </c>
      <c r="E13" s="35">
        <f>자재단가대비표!O14</f>
        <v>0</v>
      </c>
      <c r="F13" s="24" t="s">
        <v>477</v>
      </c>
      <c r="G13" s="36" t="str">
        <f>"_x0007_`COD|M00090_x0005_`QTY1|1_x0005_`UNT|M%_x0005_`BQC|_x0005_`EQC|_x0005_`JDC|_x0005_`WQC|_x0005_`EDT|_x0005_`DET|"&amp;ROW(자재단가대비표!A14)&amp;"_x0005_`"</f>
        <v>_x0007_`COD|M00090_x0005_`QTY1|1_x0005_`UNT|M%_x0005_`BQC|_x0005_`EQC|_x0005_`JDC|_x0005_`WQC|_x0005_`EDT|_x0005_`DET|14_x0005_`</v>
      </c>
      <c r="H13" s="19" t="str">
        <f ca="1">HYPERLINK("#"&amp;자재단가대비표!R2&amp;"!A"&amp;ROW(자재단가대비표!A14),"자재   10 →")</f>
        <v>자재   10 →</v>
      </c>
    </row>
    <row r="14" spans="1:8" ht="21.75" customHeight="1" x14ac:dyDescent="0.3">
      <c r="A14" s="8" t="s">
        <v>483</v>
      </c>
      <c r="B14" s="9" t="s">
        <v>484</v>
      </c>
      <c r="C14" s="9" t="s">
        <v>485</v>
      </c>
      <c r="D14" s="8" t="s">
        <v>480</v>
      </c>
      <c r="E14" s="35">
        <f>자재단가대비표!O15</f>
        <v>0</v>
      </c>
      <c r="F14" s="24" t="s">
        <v>483</v>
      </c>
      <c r="G14" s="36" t="str">
        <f>"_x0007_`COD|M00093_x0005_`QTY1|1_x0005_`UNT|M%_x0005_`BQC|_x0005_`EQC|_x0005_`JDC|_x0005_`WQC|_x0005_`EDT|_x0005_`DET|"&amp;ROW(자재단가대비표!A15)&amp;"_x0005_`"</f>
        <v>_x0007_`COD|M00093_x0005_`QTY1|1_x0005_`UNT|M%_x0005_`BQC|_x0005_`EQC|_x0005_`JDC|_x0005_`WQC|_x0005_`EDT|_x0005_`DET|15_x0005_`</v>
      </c>
      <c r="H14" s="19" t="str">
        <f ca="1">HYPERLINK("#"&amp;자재단가대비표!R2&amp;"!A"&amp;ROW(자재단가대비표!A15),"자재   11 →")</f>
        <v>자재   11 →</v>
      </c>
    </row>
    <row r="15" spans="1:8" ht="21.75" customHeight="1" x14ac:dyDescent="0.3">
      <c r="A15" s="8" t="s">
        <v>488</v>
      </c>
      <c r="B15" s="9" t="s">
        <v>489</v>
      </c>
      <c r="C15" s="9" t="s">
        <v>490</v>
      </c>
      <c r="D15" s="8" t="s">
        <v>480</v>
      </c>
      <c r="E15" s="35">
        <f>자재단가대비표!O16</f>
        <v>0</v>
      </c>
      <c r="F15" s="24" t="s">
        <v>488</v>
      </c>
      <c r="G15" s="36" t="str">
        <f>"_x0007_`COD|M00095_x0005_`QTY1|1_x0005_`UNT|M%_x0005_`BQC|_x0005_`EQC|_x0005_`JDC|_x0005_`WQC|_x0005_`EDT|_x0005_`DET|"&amp;ROW(자재단가대비표!A16)&amp;"_x0005_`"</f>
        <v>_x0007_`COD|M00095_x0005_`QTY1|1_x0005_`UNT|M%_x0005_`BQC|_x0005_`EQC|_x0005_`JDC|_x0005_`WQC|_x0005_`EDT|_x0005_`DET|16_x0005_`</v>
      </c>
      <c r="H15" s="19" t="str">
        <f ca="1">HYPERLINK("#"&amp;자재단가대비표!R2&amp;"!A"&amp;ROW(자재단가대비표!A16),"자재   12 →")</f>
        <v>자재   12 →</v>
      </c>
    </row>
    <row r="16" spans="1:8" ht="21.75" customHeight="1" x14ac:dyDescent="0.3">
      <c r="A16" s="8" t="s">
        <v>493</v>
      </c>
      <c r="B16" s="9" t="s">
        <v>494</v>
      </c>
      <c r="C16" s="9" t="s">
        <v>485</v>
      </c>
      <c r="D16" s="8" t="s">
        <v>480</v>
      </c>
      <c r="E16" s="35">
        <f>자재단가대비표!O17</f>
        <v>0</v>
      </c>
      <c r="F16" s="24" t="s">
        <v>493</v>
      </c>
      <c r="G16" s="36" t="str">
        <f>"_x0007_`COD|M00099_x0005_`QTY1|1_x0005_`UNT|M%_x0005_`BQC|_x0005_`EQC|_x0005_`JDC|_x0005_`WQC|_x0005_`EDT|_x0005_`DET|"&amp;ROW(자재단가대비표!A17)&amp;"_x0005_`"</f>
        <v>_x0007_`COD|M00099_x0005_`QTY1|1_x0005_`UNT|M%_x0005_`BQC|_x0005_`EQC|_x0005_`JDC|_x0005_`WQC|_x0005_`EDT|_x0005_`DET|17_x0005_`</v>
      </c>
      <c r="H16" s="19" t="str">
        <f ca="1">HYPERLINK("#"&amp;자재단가대비표!R2&amp;"!A"&amp;ROW(자재단가대비표!A17),"자재   13 →")</f>
        <v>자재   13 →</v>
      </c>
    </row>
    <row r="17" spans="1:8" ht="21.75" customHeight="1" x14ac:dyDescent="0.3">
      <c r="A17" s="8" t="s">
        <v>497</v>
      </c>
      <c r="B17" s="9" t="s">
        <v>498</v>
      </c>
      <c r="C17" s="9" t="s">
        <v>499</v>
      </c>
      <c r="D17" s="8" t="s">
        <v>448</v>
      </c>
      <c r="E17" s="35">
        <f>자재단가대비표!O18</f>
        <v>0</v>
      </c>
      <c r="F17" s="24" t="s">
        <v>497</v>
      </c>
      <c r="G17" s="36" t="str">
        <f>"_x0007_`COD|M00101_x0005_`QTY1|1_x0005_`BQC|_x0005_`EQC|_x0005_`JDC|_x0005_`WQC|_x0005_`EDT|_x0005_`DET|"&amp;ROW(자재단가대비표!A18)&amp;"_x0005_`"</f>
        <v>_x0007_`COD|M00101_x0005_`QTY1|1_x0005_`BQC|_x0005_`EQC|_x0005_`JDC|_x0005_`WQC|_x0005_`EDT|_x0005_`DET|18_x0005_`</v>
      </c>
      <c r="H17" s="19" t="str">
        <f ca="1">HYPERLINK("#"&amp;자재단가대비표!R2&amp;"!A"&amp;ROW(자재단가대비표!A18),"자재   14 →")</f>
        <v>자재   14 →</v>
      </c>
    </row>
    <row r="18" spans="1:8" ht="21.75" customHeight="1" x14ac:dyDescent="0.3">
      <c r="A18" s="8" t="s">
        <v>502</v>
      </c>
      <c r="B18" s="9" t="s">
        <v>503</v>
      </c>
      <c r="C18" s="9" t="s">
        <v>499</v>
      </c>
      <c r="D18" s="8" t="s">
        <v>442</v>
      </c>
      <c r="E18" s="35">
        <f>자재단가대비표!O19</f>
        <v>0</v>
      </c>
      <c r="F18" s="24" t="s">
        <v>502</v>
      </c>
      <c r="G18" s="36" t="str">
        <f>"_x0007_`COD|M00103_x0005_`QTY1|1_x0005_`BQC|_x0005_`EQC|_x0005_`JDC|_x0005_`WQC|_x0005_`EDT|_x0005_`DET|"&amp;ROW(자재단가대비표!A19)&amp;"_x0005_`"</f>
        <v>_x0007_`COD|M00103_x0005_`QTY1|1_x0005_`BQC|_x0005_`EQC|_x0005_`JDC|_x0005_`WQC|_x0005_`EDT|_x0005_`DET|19_x0005_`</v>
      </c>
      <c r="H18" s="19" t="str">
        <f ca="1">HYPERLINK("#"&amp;자재단가대비표!R2&amp;"!A"&amp;ROW(자재단가대비표!A19),"자재   15 →")</f>
        <v>자재   15 →</v>
      </c>
    </row>
    <row r="19" spans="1:8" ht="21.75" customHeight="1" x14ac:dyDescent="0.3">
      <c r="A19" s="8" t="s">
        <v>506</v>
      </c>
      <c r="B19" s="9" t="s">
        <v>507</v>
      </c>
      <c r="C19" s="9" t="s">
        <v>508</v>
      </c>
      <c r="D19" s="8" t="s">
        <v>509</v>
      </c>
      <c r="E19" s="35">
        <f>자재단가대비표!O20</f>
        <v>31500</v>
      </c>
      <c r="F19" s="24" t="s">
        <v>506</v>
      </c>
      <c r="G19" s="36" t="str">
        <f>"_x0007_`COD|M00112_x0005_`QTY1|1_x0005_`BQC|2024.01_x0005_`EQC|_x0005_`JDC|_x0005_`WQC|_x0005_`EDT|_x0005_`DET|"&amp;ROW(자재단가대비표!A20)&amp;"_x0005_`"</f>
        <v>_x0007_`COD|M00112_x0005_`QTY1|1_x0005_`BQC|2024.01_x0005_`EQC|_x0005_`JDC|_x0005_`WQC|_x0005_`EDT|_x0005_`DET|20_x0005_`</v>
      </c>
      <c r="H19" s="19" t="str">
        <f ca="1">HYPERLINK("#"&amp;자재단가대비표!R2&amp;"!A"&amp;ROW(자재단가대비표!A20),"자재   16 →")</f>
        <v>자재   16 →</v>
      </c>
    </row>
    <row r="20" spans="1:8" ht="21.75" customHeight="1" x14ac:dyDescent="0.3">
      <c r="A20" s="8" t="s">
        <v>512</v>
      </c>
      <c r="B20" s="9" t="s">
        <v>513</v>
      </c>
      <c r="C20" s="9" t="s">
        <v>514</v>
      </c>
      <c r="D20" s="8" t="s">
        <v>509</v>
      </c>
      <c r="E20" s="35">
        <f>자재단가대비표!O21</f>
        <v>21000</v>
      </c>
      <c r="F20" s="24" t="s">
        <v>512</v>
      </c>
      <c r="G20" s="36" t="str">
        <f>"_x0007_`COD|M00113_x0005_`QTY1|1_x0005_`BQC|2024.01_x0005_`EQC|_x0005_`JDC|_x0005_`WQC|_x0005_`EDT|_x0005_`DET|"&amp;ROW(자재단가대비표!A21)&amp;"_x0005_`"</f>
        <v>_x0007_`COD|M00113_x0005_`QTY1|1_x0005_`BQC|2024.01_x0005_`EQC|_x0005_`JDC|_x0005_`WQC|_x0005_`EDT|_x0005_`DET|21_x0005_`</v>
      </c>
      <c r="H20" s="19" t="str">
        <f ca="1">HYPERLINK("#"&amp;자재단가대비표!R2&amp;"!A"&amp;ROW(자재단가대비표!A21),"자재   17 →")</f>
        <v>자재   17 →</v>
      </c>
    </row>
    <row r="21" spans="1:8" ht="21.75" customHeight="1" x14ac:dyDescent="0.3">
      <c r="A21" s="8" t="s">
        <v>517</v>
      </c>
      <c r="B21" s="9" t="s">
        <v>518</v>
      </c>
      <c r="C21" s="9" t="s">
        <v>499</v>
      </c>
      <c r="D21" s="8" t="s">
        <v>474</v>
      </c>
      <c r="E21" s="35">
        <f>자재단가대비표!O22</f>
        <v>0</v>
      </c>
      <c r="F21" s="24" t="s">
        <v>517</v>
      </c>
      <c r="G21" s="36" t="str">
        <f>"_x0007_`COD|M00219_x0005_`QTY1|1_x0005_`BQC|_x0005_`EQC|_x0005_`JDC|_x0005_`WQC|_x0005_`EDT|_x0005_`DET|"&amp;ROW(자재단가대비표!A22)&amp;"_x0005_`"</f>
        <v>_x0007_`COD|M00219_x0005_`QTY1|1_x0005_`BQC|_x0005_`EQC|_x0005_`JDC|_x0005_`WQC|_x0005_`EDT|_x0005_`DET|22_x0005_`</v>
      </c>
      <c r="H21" s="19" t="str">
        <f ca="1">HYPERLINK("#"&amp;자재단가대비표!R2&amp;"!A"&amp;ROW(자재단가대비표!A22),"자재   18 →")</f>
        <v>자재   18 →</v>
      </c>
    </row>
    <row r="22" spans="1:8" ht="21.75" customHeight="1" x14ac:dyDescent="0.3">
      <c r="A22" s="8" t="s">
        <v>521</v>
      </c>
      <c r="B22" s="9" t="s">
        <v>522</v>
      </c>
      <c r="C22" s="9" t="s">
        <v>499</v>
      </c>
      <c r="D22" s="8" t="s">
        <v>474</v>
      </c>
      <c r="E22" s="35">
        <f>자재단가대비표!O23</f>
        <v>0</v>
      </c>
      <c r="F22" s="24" t="s">
        <v>521</v>
      </c>
      <c r="G22" s="36" t="str">
        <f>"_x0007_`COD|M00222_x0005_`QTY1|1_x0005_`BQC|_x0005_`EQC|_x0005_`JDC|_x0005_`WQC|_x0005_`EDT|_x0005_`DET|"&amp;ROW(자재단가대비표!A23)&amp;"_x0005_`"</f>
        <v>_x0007_`COD|M00222_x0005_`QTY1|1_x0005_`BQC|_x0005_`EQC|_x0005_`JDC|_x0005_`WQC|_x0005_`EDT|_x0005_`DET|23_x0005_`</v>
      </c>
      <c r="H22" s="19" t="str">
        <f ca="1">HYPERLINK("#"&amp;자재단가대비표!R2&amp;"!A"&amp;ROW(자재단가대비표!A23),"자재   19 →")</f>
        <v>자재   19 →</v>
      </c>
    </row>
    <row r="23" spans="1:8" ht="21.75" customHeight="1" x14ac:dyDescent="0.3">
      <c r="A23" s="8" t="s">
        <v>525</v>
      </c>
      <c r="B23" s="9" t="s">
        <v>526</v>
      </c>
      <c r="C23" s="9" t="s">
        <v>413</v>
      </c>
      <c r="D23" s="8" t="s">
        <v>458</v>
      </c>
      <c r="E23" s="35">
        <f>자재단가대비표!O24</f>
        <v>223000</v>
      </c>
      <c r="F23" s="24" t="s">
        <v>525</v>
      </c>
      <c r="G23" s="36" t="str">
        <f>"_x0007_`COD|M00292_x0005_`QTY1|1_x0005_`BQC|2023.01_x0005_`EQC|_x0005_`JDC|_x0005_`WQC|_x0005_`EDT|_x0005_`DET|"&amp;ROW(자재단가대비표!A24)&amp;"_x0005_`"</f>
        <v>_x0007_`COD|M00292_x0005_`QTY1|1_x0005_`BQC|2023.01_x0005_`EQC|_x0005_`JDC|_x0005_`WQC|_x0005_`EDT|_x0005_`DET|24_x0005_`</v>
      </c>
      <c r="H23" s="19" t="str">
        <f ca="1">HYPERLINK("#"&amp;자재단가대비표!R2&amp;"!A"&amp;ROW(자재단가대비표!A24),"자재   20 →")</f>
        <v>자재   20 →</v>
      </c>
    </row>
    <row r="24" spans="1:8" ht="21.75" customHeight="1" x14ac:dyDescent="0.3">
      <c r="A24" s="8" t="s">
        <v>529</v>
      </c>
      <c r="B24" s="9" t="s">
        <v>530</v>
      </c>
      <c r="C24" s="9" t="s">
        <v>531</v>
      </c>
      <c r="D24" s="8" t="s">
        <v>243</v>
      </c>
      <c r="E24" s="35">
        <f>자재단가대비표!O25</f>
        <v>5000</v>
      </c>
      <c r="F24" s="24" t="s">
        <v>529</v>
      </c>
      <c r="G24" s="36" t="str">
        <f>"_x0007_`COD|M00299_x0005_`QTY1|1_x0005_`BQC|2024.01_x0005_`EQC|_x0005_`JDC|_x0005_`WQC|_x0005_`EDT|_x0005_`DET|"&amp;ROW(자재단가대비표!A25)&amp;"_x0005_`"</f>
        <v>_x0007_`COD|M00299_x0005_`QTY1|1_x0005_`BQC|2024.01_x0005_`EQC|_x0005_`JDC|_x0005_`WQC|_x0005_`EDT|_x0005_`DET|25_x0005_`</v>
      </c>
      <c r="H24" s="19" t="str">
        <f ca="1">HYPERLINK("#"&amp;자재단가대비표!R2&amp;"!A"&amp;ROW(자재단가대비표!A25),"자재   21 →")</f>
        <v>자재   21 →</v>
      </c>
    </row>
    <row r="25" spans="1:8" ht="21.75" customHeight="1" x14ac:dyDescent="0.3">
      <c r="A25" s="8" t="s">
        <v>534</v>
      </c>
      <c r="B25" s="9" t="s">
        <v>535</v>
      </c>
      <c r="C25" s="9" t="s">
        <v>536</v>
      </c>
      <c r="D25" s="8" t="s">
        <v>442</v>
      </c>
      <c r="E25" s="35">
        <f>자재단가대비표!O26</f>
        <v>21000</v>
      </c>
      <c r="F25" s="24" t="s">
        <v>534</v>
      </c>
      <c r="G25" s="36" t="str">
        <f>"_x0007_`COD|M00495_x0005_`QTY1|1_x0005_`BQC|2024.01_x0005_`EQC|_x0005_`JDC|_x0005_`WQC|_x0005_`EDT|_x0005_`DET|"&amp;ROW(자재단가대비표!A26)&amp;"_x0005_`"</f>
        <v>_x0007_`COD|M00495_x0005_`QTY1|1_x0005_`BQC|2024.01_x0005_`EQC|_x0005_`JDC|_x0005_`WQC|_x0005_`EDT|_x0005_`DET|26_x0005_`</v>
      </c>
      <c r="H25" s="19" t="str">
        <f ca="1">HYPERLINK("#"&amp;자재단가대비표!R2&amp;"!A"&amp;ROW(자재단가대비표!A26),"자재   22 →")</f>
        <v>자재   22 →</v>
      </c>
    </row>
    <row r="26" spans="1:8" ht="21.75" customHeight="1" x14ac:dyDescent="0.3">
      <c r="A26" s="8" t="s">
        <v>539</v>
      </c>
      <c r="B26" s="9" t="s">
        <v>478</v>
      </c>
      <c r="C26" s="9" t="s">
        <v>479</v>
      </c>
      <c r="D26" s="8" t="s">
        <v>480</v>
      </c>
      <c r="E26" s="35">
        <f>자재단가대비표!O27</f>
        <v>0</v>
      </c>
      <c r="F26" s="24" t="s">
        <v>539</v>
      </c>
      <c r="G26" s="36" t="str">
        <f>"_x0007_`COD|M00580_x0005_`QTY1|1_x0005_`UNT|M%_x0005_`BQC|_x0005_`EQC|_x0005_`JDC|_x0005_`WQC|_x0005_`EDT|_x0005_`DET|"&amp;ROW(자재단가대비표!A27)&amp;"_x0005_`"</f>
        <v>_x0007_`COD|M00580_x0005_`QTY1|1_x0005_`UNT|M%_x0005_`BQC|_x0005_`EQC|_x0005_`JDC|_x0005_`WQC|_x0005_`EDT|_x0005_`DET|27_x0005_`</v>
      </c>
      <c r="H26" s="19" t="str">
        <f ca="1">HYPERLINK("#"&amp;자재단가대비표!R2&amp;"!A"&amp;ROW(자재단가대비표!A27),"자재   23 →")</f>
        <v>자재   23 →</v>
      </c>
    </row>
    <row r="27" spans="1:8" ht="21.75" customHeight="1" x14ac:dyDescent="0.3">
      <c r="A27" s="8" t="s">
        <v>542</v>
      </c>
      <c r="B27" s="9" t="s">
        <v>543</v>
      </c>
      <c r="C27" s="9" t="s">
        <v>536</v>
      </c>
      <c r="D27" s="8" t="s">
        <v>442</v>
      </c>
      <c r="E27" s="35">
        <f>자재단가대비표!O28</f>
        <v>29000</v>
      </c>
      <c r="F27" s="24" t="s">
        <v>542</v>
      </c>
      <c r="G27" s="36" t="str">
        <f>"_x0007_`COD|M00782_x0005_`QTY1|1_x0005_`BQC|2024.01_x0005_`EQC|_x0005_`JDC|_x0005_`WQC|_x0005_`EDT|_x0005_`DET|"&amp;ROW(자재단가대비표!A28)&amp;"_x0005_`"</f>
        <v>_x0007_`COD|M00782_x0005_`QTY1|1_x0005_`BQC|2024.01_x0005_`EQC|_x0005_`JDC|_x0005_`WQC|_x0005_`EDT|_x0005_`DET|28_x0005_`</v>
      </c>
      <c r="H27" s="19" t="str">
        <f ca="1">HYPERLINK("#"&amp;자재단가대비표!R2&amp;"!A"&amp;ROW(자재단가대비표!A28),"자재   24 →")</f>
        <v>자재   24 →</v>
      </c>
    </row>
    <row r="28" spans="1:8" ht="21.75" customHeight="1" x14ac:dyDescent="0.3">
      <c r="A28" s="8" t="s">
        <v>546</v>
      </c>
      <c r="B28" s="9" t="s">
        <v>547</v>
      </c>
      <c r="C28" s="9" t="s">
        <v>499</v>
      </c>
      <c r="D28" s="8" t="s">
        <v>548</v>
      </c>
      <c r="E28" s="35">
        <f>자재단가대비표!O29</f>
        <v>0</v>
      </c>
      <c r="F28" s="24" t="s">
        <v>546</v>
      </c>
      <c r="G28" s="36" t="str">
        <f>"_x0007_`COD|M00792_x0005_`QTY1|1_x0005_`BQC|_x0005_`EQC|_x0005_`JDC|_x0005_`WQC|_x0005_`EDT|_x0005_`DET|"&amp;ROW(자재단가대비표!A29)&amp;"_x0005_`"</f>
        <v>_x0007_`COD|M00792_x0005_`QTY1|1_x0005_`BQC|_x0005_`EQC|_x0005_`JDC|_x0005_`WQC|_x0005_`EDT|_x0005_`DET|29_x0005_`</v>
      </c>
      <c r="H28" s="19" t="str">
        <f ca="1">HYPERLINK("#"&amp;자재단가대비표!R2&amp;"!A"&amp;ROW(자재단가대비표!A29),"자재   25 →")</f>
        <v>자재   25 →</v>
      </c>
    </row>
    <row r="29" spans="1:8" ht="21.75" customHeight="1" x14ac:dyDescent="0.3">
      <c r="A29" s="8" t="s">
        <v>551</v>
      </c>
      <c r="B29" s="9" t="s">
        <v>552</v>
      </c>
      <c r="C29" s="9" t="s">
        <v>553</v>
      </c>
      <c r="D29" s="8" t="s">
        <v>474</v>
      </c>
      <c r="E29" s="35">
        <f>자재단가대비표!O30</f>
        <v>157000</v>
      </c>
      <c r="F29" s="24" t="s">
        <v>551</v>
      </c>
      <c r="G29" s="36" t="str">
        <f>"_x0007_`COD|M00798_x0005_`QTY1|1_x0005_`BQC|2024.01_x0005_`EQC|거양_x0005_`JDC|_x0005_`WQC|_x0005_`EDT|_x0005_`DET|"&amp;ROW(자재단가대비표!A30)&amp;"_x0005_`"</f>
        <v>_x0007_`COD|M00798_x0005_`QTY1|1_x0005_`BQC|2024.01_x0005_`EQC|거양_x0005_`JDC|_x0005_`WQC|_x0005_`EDT|_x0005_`DET|30_x0005_`</v>
      </c>
      <c r="H29" s="19" t="str">
        <f ca="1">HYPERLINK("#"&amp;자재단가대비표!R2&amp;"!A"&amp;ROW(자재단가대비표!A30),"자재   26 →")</f>
        <v>자재   26 →</v>
      </c>
    </row>
    <row r="30" spans="1:8" ht="21.75" customHeight="1" x14ac:dyDescent="0.3">
      <c r="A30" s="8" t="s">
        <v>556</v>
      </c>
      <c r="B30" s="9" t="s">
        <v>557</v>
      </c>
      <c r="C30" s="9" t="s">
        <v>558</v>
      </c>
      <c r="D30" s="8" t="s">
        <v>480</v>
      </c>
      <c r="E30" s="35">
        <f>자재단가대비표!O31</f>
        <v>0</v>
      </c>
      <c r="F30" s="24" t="s">
        <v>556</v>
      </c>
      <c r="G30" s="36" t="str">
        <f>"_x0007_`COD|M00920_x0005_`QTY1|1_x0005_`UNT|L%_x0005_`BQC|_x0005_`EQC|_x0005_`JDC|_x0005_`WQC|_x0005_`EDT|_x0005_`DET|"&amp;ROW(자재단가대비표!A31)&amp;"_x0005_`"</f>
        <v>_x0007_`COD|M00920_x0005_`QTY1|1_x0005_`UNT|L%_x0005_`BQC|_x0005_`EQC|_x0005_`JDC|_x0005_`WQC|_x0005_`EDT|_x0005_`DET|31_x0005_`</v>
      </c>
      <c r="H30" s="19" t="str">
        <f ca="1">HYPERLINK("#"&amp;자재단가대비표!R2&amp;"!A"&amp;ROW(자재단가대비표!A31),"자재   27 →")</f>
        <v>자재   27 →</v>
      </c>
    </row>
    <row r="31" spans="1:8" ht="21.75" customHeight="1" x14ac:dyDescent="0.3">
      <c r="A31" s="8" t="s">
        <v>561</v>
      </c>
      <c r="B31" s="9" t="s">
        <v>562</v>
      </c>
      <c r="C31" s="9" t="s">
        <v>563</v>
      </c>
      <c r="D31" s="8" t="s">
        <v>36</v>
      </c>
      <c r="E31" s="35">
        <f>자재단가대비표!O32</f>
        <v>520000</v>
      </c>
      <c r="F31" s="24" t="s">
        <v>561</v>
      </c>
      <c r="G31" s="36" t="str">
        <f>"_x0007_`COD|M00921_x0005_`QTY1|1_x0005_`BQC|2024.01_x0005_`EQC|_x0005_`JDC|_x0005_`WQC|_x0005_`EDT|_x0005_`DET|"&amp;ROW(자재단가대비표!A32)&amp;"_x0005_`"</f>
        <v>_x0007_`COD|M00921_x0005_`QTY1|1_x0005_`BQC|2024.01_x0005_`EQC|_x0005_`JDC|_x0005_`WQC|_x0005_`EDT|_x0005_`DET|32_x0005_`</v>
      </c>
      <c r="H31" s="19" t="str">
        <f ca="1">HYPERLINK("#"&amp;자재단가대비표!R2&amp;"!A"&amp;ROW(자재단가대비표!A32),"자재   28 →")</f>
        <v>자재   28 →</v>
      </c>
    </row>
    <row r="32" spans="1:8" ht="21.75" customHeight="1" x14ac:dyDescent="0.3">
      <c r="A32" s="8" t="s">
        <v>566</v>
      </c>
      <c r="B32" s="9" t="s">
        <v>547</v>
      </c>
      <c r="C32" s="9" t="s">
        <v>567</v>
      </c>
      <c r="D32" s="8" t="s">
        <v>229</v>
      </c>
      <c r="E32" s="35">
        <f>자재단가대비표!O33</f>
        <v>44000</v>
      </c>
      <c r="F32" s="24" t="s">
        <v>566</v>
      </c>
      <c r="G32" s="36" t="str">
        <f>"_x0007_`COD|M00924_x0005_`QTY1|1_x0005_`BQC|2024.01_x0005_`EQC|_x0005_`JDC|_x0005_`WQC|_x0005_`EDT|_x0005_`DET|"&amp;ROW(자재단가대비표!A33)&amp;"_x0005_`"</f>
        <v>_x0007_`COD|M00924_x0005_`QTY1|1_x0005_`BQC|2024.01_x0005_`EQC|_x0005_`JDC|_x0005_`WQC|_x0005_`EDT|_x0005_`DET|33_x0005_`</v>
      </c>
      <c r="H32" s="19" t="str">
        <f ca="1">HYPERLINK("#"&amp;자재단가대비표!R2&amp;"!A"&amp;ROW(자재단가대비표!A33),"자재   29 →")</f>
        <v>자재   29 →</v>
      </c>
    </row>
    <row r="33" spans="1:8" ht="21.75" customHeight="1" x14ac:dyDescent="0.3">
      <c r="A33" s="8" t="s">
        <v>570</v>
      </c>
      <c r="B33" s="9" t="s">
        <v>552</v>
      </c>
      <c r="C33" s="9" t="s">
        <v>571</v>
      </c>
      <c r="D33" s="8" t="s">
        <v>474</v>
      </c>
      <c r="E33" s="35">
        <f>자재단가대비표!O34</f>
        <v>196270</v>
      </c>
      <c r="F33" s="24" t="s">
        <v>570</v>
      </c>
      <c r="G33" s="36" t="str">
        <f>"_x0007_`COD|M00934_x0005_`QTY1|1_x0005_`BQC|2024.01_x0005_`EQC|거양_x0005_`JDC|_x0005_`WQC|_x0005_`EDT|_x0005_`DET|"&amp;ROW(자재단가대비표!A34)&amp;"_x0005_`"</f>
        <v>_x0007_`COD|M00934_x0005_`QTY1|1_x0005_`BQC|2024.01_x0005_`EQC|거양_x0005_`JDC|_x0005_`WQC|_x0005_`EDT|_x0005_`DET|34_x0005_`</v>
      </c>
      <c r="H33" s="19" t="str">
        <f ca="1">HYPERLINK("#"&amp;자재단가대비표!R2&amp;"!A"&amp;ROW(자재단가대비표!A34),"자재   30 →")</f>
        <v>자재   30 →</v>
      </c>
    </row>
    <row r="34" spans="1:8" ht="21.75" customHeight="1" x14ac:dyDescent="0.3">
      <c r="A34" s="8" t="s">
        <v>574</v>
      </c>
      <c r="B34" s="9" t="s">
        <v>575</v>
      </c>
      <c r="C34" s="9" t="s">
        <v>576</v>
      </c>
      <c r="D34" s="8" t="s">
        <v>474</v>
      </c>
      <c r="E34" s="35">
        <f>자재단가대비표!O35</f>
        <v>142</v>
      </c>
      <c r="F34" s="24" t="s">
        <v>574</v>
      </c>
      <c r="G34" s="36" t="str">
        <f>"_x0007_`COD|M00938_x0005_`QTY1|1_x0005_`BQC|_x0005_`EQC|_x0005_`JDC|_x0005_`WQC|_x0005_`EDT|_x0005_`DET|"&amp;ROW(자재단가대비표!A35)&amp;"_x0005_`"</f>
        <v>_x0007_`COD|M00938_x0005_`QTY1|1_x0005_`BQC|_x0005_`EQC|_x0005_`JDC|_x0005_`WQC|_x0005_`EDT|_x0005_`DET|35_x0005_`</v>
      </c>
      <c r="H34" s="19" t="str">
        <f ca="1">HYPERLINK("#"&amp;자재단가대비표!R2&amp;"!A"&amp;ROW(자재단가대비표!A35),"자재   31 →")</f>
        <v>자재   31 →</v>
      </c>
    </row>
    <row r="35" spans="1:8" ht="21.75" customHeight="1" x14ac:dyDescent="0.3">
      <c r="A35" s="8" t="s">
        <v>579</v>
      </c>
      <c r="B35" s="9" t="s">
        <v>513</v>
      </c>
      <c r="C35" s="9" t="s">
        <v>580</v>
      </c>
      <c r="D35" s="8" t="s">
        <v>509</v>
      </c>
      <c r="E35" s="35">
        <f>자재단가대비표!O36</f>
        <v>21000</v>
      </c>
      <c r="F35" s="24" t="s">
        <v>579</v>
      </c>
      <c r="G35" s="36" t="str">
        <f>"_x0007_`COD|M00939_x0005_`QTY1|1_x0005_`BQC|24년 1월_x0005_`EQC|_x0005_`JDC|_x0005_`WQC|_x0005_`EDT|_x0005_`DET|"&amp;ROW(자재단가대비표!A36)&amp;"_x0005_`"</f>
        <v>_x0007_`COD|M00939_x0005_`QTY1|1_x0005_`BQC|24년 1월_x0005_`EQC|_x0005_`JDC|_x0005_`WQC|_x0005_`EDT|_x0005_`DET|36_x0005_`</v>
      </c>
      <c r="H35" s="19" t="str">
        <f ca="1">HYPERLINK("#"&amp;자재단가대비표!R2&amp;"!A"&amp;ROW(자재단가대비표!A36),"자재   32 →")</f>
        <v>자재   32 →</v>
      </c>
    </row>
    <row r="36" spans="1:8" ht="21.75" customHeight="1" x14ac:dyDescent="0.3">
      <c r="A36" s="8" t="s">
        <v>583</v>
      </c>
      <c r="B36" s="9" t="s">
        <v>584</v>
      </c>
      <c r="C36" s="9" t="s">
        <v>585</v>
      </c>
      <c r="D36" s="8" t="s">
        <v>42</v>
      </c>
      <c r="E36" s="35">
        <f>자재단가대비표!O37</f>
        <v>4490</v>
      </c>
      <c r="F36" s="24" t="s">
        <v>583</v>
      </c>
      <c r="G36" s="36" t="str">
        <f>"_x0007_`COD|M00940_x0005_`QTY1|1_x0005_`BQC|2024.01_x0005_`EQC|거양_x0005_`JDC|_x0005_`WQC|_x0005_`EDT|_x0005_`DET|"&amp;ROW(자재단가대비표!A37)&amp;"_x0005_`"</f>
        <v>_x0007_`COD|M00940_x0005_`QTY1|1_x0005_`BQC|2024.01_x0005_`EQC|거양_x0005_`JDC|_x0005_`WQC|_x0005_`EDT|_x0005_`DET|37_x0005_`</v>
      </c>
      <c r="H36" s="19" t="str">
        <f ca="1">HYPERLINK("#"&amp;자재단가대비표!R2&amp;"!A"&amp;ROW(자재단가대비표!A37),"자재   33 →")</f>
        <v>자재   33 →</v>
      </c>
    </row>
    <row r="37" spans="1:8" ht="21.75" customHeight="1" x14ac:dyDescent="0.3">
      <c r="A37" s="8" t="s">
        <v>588</v>
      </c>
      <c r="B37" s="9" t="s">
        <v>589</v>
      </c>
      <c r="C37" s="9" t="s">
        <v>499</v>
      </c>
      <c r="D37" s="8" t="s">
        <v>442</v>
      </c>
      <c r="E37" s="35">
        <f>자재단가대비표!O38</f>
        <v>0</v>
      </c>
      <c r="F37" s="24" t="s">
        <v>588</v>
      </c>
      <c r="G37" s="36" t="str">
        <f>"_x0007_`COD|M00941_x0005_`QTY1|1_x0005_`BQC|_x0005_`EQC|_x0005_`JDC|_x0005_`WQC|_x0005_`EDT|_x0005_`DET|"&amp;ROW(자재단가대비표!A38)&amp;"_x0005_`"</f>
        <v>_x0007_`COD|M00941_x0005_`QTY1|1_x0005_`BQC|_x0005_`EQC|_x0005_`JDC|_x0005_`WQC|_x0005_`EDT|_x0005_`DET|38_x0005_`</v>
      </c>
      <c r="H37" s="19" t="str">
        <f ca="1">HYPERLINK("#"&amp;자재단가대비표!R2&amp;"!A"&amp;ROW(자재단가대비표!A38),"자재   34 →")</f>
        <v>자재   34 →</v>
      </c>
    </row>
    <row r="38" spans="1:8" ht="21.75" customHeight="1" x14ac:dyDescent="0.3">
      <c r="A38" s="8" t="s">
        <v>592</v>
      </c>
      <c r="B38" s="9" t="s">
        <v>593</v>
      </c>
      <c r="C38" s="9" t="s">
        <v>594</v>
      </c>
      <c r="D38" s="8" t="s">
        <v>448</v>
      </c>
      <c r="E38" s="35">
        <f>자재단가대비표!O39</f>
        <v>1710</v>
      </c>
      <c r="F38" s="24" t="s">
        <v>592</v>
      </c>
      <c r="G38" s="36" t="str">
        <f>"_x0007_`COD|M00943_x0005_`QTY1|1_x0005_`BQC|24.01_x0005_`EQC|_x0005_`JDC|_x0005_`WQC|_x0005_`EDT|_x0005_`DET|"&amp;ROW(자재단가대비표!A39)&amp;"_x0005_`"</f>
        <v>_x0007_`COD|M00943_x0005_`QTY1|1_x0005_`BQC|24.01_x0005_`EQC|_x0005_`JDC|_x0005_`WQC|_x0005_`EDT|_x0005_`DET|39_x0005_`</v>
      </c>
      <c r="H38" s="19" t="str">
        <f ca="1">HYPERLINK("#"&amp;자재단가대비표!R2&amp;"!A"&amp;ROW(자재단가대비표!A39),"자재   35 →")</f>
        <v>자재   35 →</v>
      </c>
    </row>
    <row r="39" spans="1:8" ht="21.75" customHeight="1" x14ac:dyDescent="0.3">
      <c r="A39" s="8" t="s">
        <v>597</v>
      </c>
      <c r="B39" s="9" t="s">
        <v>598</v>
      </c>
      <c r="C39" s="9" t="s">
        <v>599</v>
      </c>
      <c r="D39" s="8" t="s">
        <v>600</v>
      </c>
      <c r="E39" s="35">
        <f>자재단가대비표!O40</f>
        <v>900854</v>
      </c>
      <c r="F39" s="24" t="s">
        <v>597</v>
      </c>
      <c r="G39" s="36" t="str">
        <f>"_x0007_`COD|M00944_x0005_`QTY1|1_x0005_`BQC|_x0005_`EQC|_x0005_`JDC|_x0005_`WQC|_x0005_`EDT|_x0005_`DET|"&amp;ROW(자재단가대비표!A40)&amp;"_x0005_`"</f>
        <v>_x0007_`COD|M00944_x0005_`QTY1|1_x0005_`BQC|_x0005_`EQC|_x0005_`JDC|_x0005_`WQC|_x0005_`EDT|_x0005_`DET|40_x0005_`</v>
      </c>
      <c r="H39" s="19" t="str">
        <f ca="1">HYPERLINK("#"&amp;자재단가대비표!R2&amp;"!A"&amp;ROW(자재단가대비표!A40),"자재   36 →")</f>
        <v>자재   36 →</v>
      </c>
    </row>
    <row r="40" spans="1:8" ht="21.75" customHeight="1" x14ac:dyDescent="0.3">
      <c r="A40" s="8" t="s">
        <v>603</v>
      </c>
      <c r="B40" s="9" t="s">
        <v>604</v>
      </c>
      <c r="C40" s="9" t="s">
        <v>605</v>
      </c>
      <c r="D40" s="8" t="s">
        <v>458</v>
      </c>
      <c r="E40" s="35">
        <f>자재단가대비표!O41</f>
        <v>21200</v>
      </c>
      <c r="F40" s="24" t="s">
        <v>603</v>
      </c>
      <c r="G40" s="36" t="str">
        <f>"_x0007_`COD|M00945_x0005_`QTY1|1_x0005_`BQC|2024.01_x0005_`EQC|거양_x0005_`JDC|_x0005_`WQC|_x0005_`EDT|_x0005_`DET|"&amp;ROW(자재단가대비표!A41)&amp;"_x0005_`"</f>
        <v>_x0007_`COD|M00945_x0005_`QTY1|1_x0005_`BQC|2024.01_x0005_`EQC|거양_x0005_`JDC|_x0005_`WQC|_x0005_`EDT|_x0005_`DET|41_x0005_`</v>
      </c>
      <c r="H40" s="19" t="str">
        <f ca="1">HYPERLINK("#"&amp;자재단가대비표!R2&amp;"!A"&amp;ROW(자재단가대비표!A41),"자재   37 →")</f>
        <v>자재   37 →</v>
      </c>
    </row>
    <row r="41" spans="1:8" ht="21.75" customHeight="1" x14ac:dyDescent="0.3">
      <c r="A41" s="8" t="s">
        <v>608</v>
      </c>
      <c r="B41" s="9" t="s">
        <v>604</v>
      </c>
      <c r="C41" s="9" t="s">
        <v>609</v>
      </c>
      <c r="D41" s="8" t="s">
        <v>458</v>
      </c>
      <c r="E41" s="35">
        <f>자재단가대비표!O42</f>
        <v>32200</v>
      </c>
      <c r="F41" s="24" t="s">
        <v>608</v>
      </c>
      <c r="G41" s="36" t="str">
        <f>"_x0007_`COD|M00946_x0005_`QTY1|1_x0005_`BQC|2024.01_x0005_`EQC|거양_x0005_`JDC|_x0005_`WQC|_x0005_`EDT|_x0005_`DET|"&amp;ROW(자재단가대비표!A42)&amp;"_x0005_`"</f>
        <v>_x0007_`COD|M00946_x0005_`QTY1|1_x0005_`BQC|2024.01_x0005_`EQC|거양_x0005_`JDC|_x0005_`WQC|_x0005_`EDT|_x0005_`DET|42_x0005_`</v>
      </c>
      <c r="H41" s="19" t="str">
        <f ca="1">HYPERLINK("#"&amp;자재단가대비표!R2&amp;"!A"&amp;ROW(자재단가대비표!A42),"자재   38 →")</f>
        <v>자재   38 →</v>
      </c>
    </row>
    <row r="42" spans="1:8" ht="21.75" customHeight="1" x14ac:dyDescent="0.3">
      <c r="A42" s="8" t="s">
        <v>612</v>
      </c>
      <c r="B42" s="9" t="s">
        <v>435</v>
      </c>
      <c r="C42" s="9" t="s">
        <v>613</v>
      </c>
      <c r="D42" s="8" t="s">
        <v>431</v>
      </c>
      <c r="E42" s="35">
        <f>자재단가대비표!O43</f>
        <v>1273</v>
      </c>
      <c r="F42" s="24" t="s">
        <v>612</v>
      </c>
      <c r="G42" s="36" t="str">
        <f>"_x0007_`COD|M00947_x0005_`QTY1|1_x0005_`BQC|24년_x0005_`EQC|_x0005_`JDC|1510150520282163_x0005_`WQC|_x0005_`EDT|2024.01.02_x0005_`DET|"&amp;ROW(자재단가대비표!A43)&amp;"_x0005_`"</f>
        <v>_x0007_`COD|M00947_x0005_`QTY1|1_x0005_`BQC|24년_x0005_`EQC|_x0005_`JDC|1510150520282163_x0005_`WQC|_x0005_`EDT|2024.01.02_x0005_`DET|43_x0005_`</v>
      </c>
      <c r="H42" s="19" t="str">
        <f ca="1">HYPERLINK("#"&amp;자재단가대비표!R2&amp;"!A"&amp;ROW(자재단가대비표!A43),"자재   39 →")</f>
        <v>자재   39 →</v>
      </c>
    </row>
    <row r="43" spans="1:8" ht="21.75" customHeight="1" x14ac:dyDescent="0.3">
      <c r="A43" s="8" t="s">
        <v>616</v>
      </c>
      <c r="B43" s="9" t="s">
        <v>617</v>
      </c>
      <c r="C43" s="9" t="s">
        <v>499</v>
      </c>
      <c r="D43" s="8" t="s">
        <v>42</v>
      </c>
      <c r="E43" s="35">
        <f>자재단가대비표!O44</f>
        <v>0</v>
      </c>
      <c r="F43" s="24" t="s">
        <v>616</v>
      </c>
      <c r="G43" s="36" t="str">
        <f>"_x0007_`COD|M00948_x0005_`QTY1|1_x0005_`BQC|_x0005_`EQC|_x0005_`JDC|_x0005_`WQC|_x0005_`EDT|_x0005_`DET|"&amp;ROW(자재단가대비표!A44)&amp;"_x0005_`"</f>
        <v>_x0007_`COD|M00948_x0005_`QTY1|1_x0005_`BQC|_x0005_`EQC|_x0005_`JDC|_x0005_`WQC|_x0005_`EDT|_x0005_`DET|44_x0005_`</v>
      </c>
      <c r="H43" s="19" t="str">
        <f ca="1">HYPERLINK("#"&amp;자재단가대비표!R2&amp;"!A"&amp;ROW(자재단가대비표!A44),"자재   40 →")</f>
        <v>자재   40 →</v>
      </c>
    </row>
    <row r="44" spans="1:8" ht="21.75" customHeight="1" x14ac:dyDescent="0.3">
      <c r="A44" s="8" t="s">
        <v>620</v>
      </c>
      <c r="B44" s="9" t="s">
        <v>621</v>
      </c>
      <c r="C44" s="9" t="s">
        <v>499</v>
      </c>
      <c r="D44" s="8" t="s">
        <v>474</v>
      </c>
      <c r="E44" s="35">
        <f>자재단가대비표!O45</f>
        <v>0</v>
      </c>
      <c r="F44" s="24" t="s">
        <v>620</v>
      </c>
      <c r="G44" s="36" t="str">
        <f>"_x0007_`COD|M00949_x0005_`QTY1|1_x0005_`BQC|_x0005_`EQC|_x0005_`JDC|_x0005_`WQC|_x0005_`EDT|_x0005_`DET|"&amp;ROW(자재단가대비표!A45)&amp;"_x0005_`"</f>
        <v>_x0007_`COD|M00949_x0005_`QTY1|1_x0005_`BQC|_x0005_`EQC|_x0005_`JDC|_x0005_`WQC|_x0005_`EDT|_x0005_`DET|45_x0005_`</v>
      </c>
      <c r="H44" s="19" t="str">
        <f ca="1">HYPERLINK("#"&amp;자재단가대비표!R2&amp;"!A"&amp;ROW(자재단가대비표!A45),"자재   41 →")</f>
        <v>자재   41 →</v>
      </c>
    </row>
    <row r="45" spans="1:8" ht="21.75" customHeight="1" x14ac:dyDescent="0.3">
      <c r="A45" s="8" t="s">
        <v>624</v>
      </c>
      <c r="B45" s="9" t="s">
        <v>625</v>
      </c>
      <c r="C45" s="9" t="s">
        <v>626</v>
      </c>
      <c r="D45" s="8" t="s">
        <v>480</v>
      </c>
      <c r="E45" s="35">
        <f>자재단가대비표!O46</f>
        <v>0</v>
      </c>
      <c r="F45" s="24" t="s">
        <v>624</v>
      </c>
      <c r="G45" s="36" t="str">
        <f>"_x0007_`COD|M00950_x0005_`QTY1|1_x0005_`UNT|L%_x0005_`BQC|_x0005_`EQC|_x0005_`JDC|_x0005_`WQC|_x0005_`EDT|_x0005_`DET|"&amp;ROW(자재단가대비표!A46)&amp;"_x0005_`"</f>
        <v>_x0007_`COD|M00950_x0005_`QTY1|1_x0005_`UNT|L%_x0005_`BQC|_x0005_`EQC|_x0005_`JDC|_x0005_`WQC|_x0005_`EDT|_x0005_`DET|46_x0005_`</v>
      </c>
      <c r="H45" s="19" t="str">
        <f ca="1">HYPERLINK("#"&amp;자재단가대비표!R2&amp;"!A"&amp;ROW(자재단가대비표!A46),"자재   42 →")</f>
        <v>자재   42 →</v>
      </c>
    </row>
    <row r="46" spans="1:8" ht="21.75" customHeight="1" x14ac:dyDescent="0.3">
      <c r="A46" s="8" t="s">
        <v>628</v>
      </c>
      <c r="B46" s="9" t="s">
        <v>629</v>
      </c>
      <c r="C46" s="9" t="s">
        <v>499</v>
      </c>
      <c r="D46" s="8" t="s">
        <v>42</v>
      </c>
      <c r="E46" s="35">
        <f>자재단가대비표!O47</f>
        <v>0</v>
      </c>
      <c r="F46" s="24" t="s">
        <v>628</v>
      </c>
      <c r="G46" s="36" t="str">
        <f>"_x0007_`COD|M00951_x0005_`QTY1|1_x0005_`BQC|_x0005_`EQC|_x0005_`JDC|_x0005_`WQC|_x0005_`EDT|_x0005_`DET|"&amp;ROW(자재단가대비표!A47)&amp;"_x0005_`"</f>
        <v>_x0007_`COD|M00951_x0005_`QTY1|1_x0005_`BQC|_x0005_`EQC|_x0005_`JDC|_x0005_`WQC|_x0005_`EDT|_x0005_`DET|47_x0005_`</v>
      </c>
      <c r="H46" s="19" t="str">
        <f ca="1">HYPERLINK("#"&amp;자재단가대비표!R2&amp;"!A"&amp;ROW(자재단가대비표!A47),"자재   43 →")</f>
        <v>자재   43 →</v>
      </c>
    </row>
    <row r="47" spans="1:8" ht="21.75" customHeight="1" x14ac:dyDescent="0.3">
      <c r="A47" s="8" t="s">
        <v>632</v>
      </c>
      <c r="B47" s="9" t="s">
        <v>633</v>
      </c>
      <c r="C47" s="9" t="s">
        <v>634</v>
      </c>
      <c r="D47" s="8" t="s">
        <v>442</v>
      </c>
      <c r="E47" s="35">
        <f>자재단가대비표!O48</f>
        <v>102970</v>
      </c>
      <c r="F47" s="24" t="s">
        <v>632</v>
      </c>
      <c r="G47" s="36" t="str">
        <f>"_x0007_`COD|M00952_x0005_`QTY1|1_x0005_`BQC|240308_x0005_`EQC|_x0005_`JDC|_x0005_`WQC|_x0005_`EDT|_x0005_`DET|"&amp;ROW(자재단가대비표!A48)&amp;"_x0005_`"</f>
        <v>_x0007_`COD|M00952_x0005_`QTY1|1_x0005_`BQC|240308_x0005_`EQC|_x0005_`JDC|_x0005_`WQC|_x0005_`EDT|_x0005_`DET|48_x0005_`</v>
      </c>
      <c r="H47" s="19" t="str">
        <f ca="1">HYPERLINK("#"&amp;자재단가대비표!R2&amp;"!A"&amp;ROW(자재단가대비표!A48),"자재   44 →")</f>
        <v>자재   44 →</v>
      </c>
    </row>
    <row r="48" spans="1:8" ht="21.75" customHeight="1" x14ac:dyDescent="0.3">
      <c r="A48" s="8" t="s">
        <v>637</v>
      </c>
      <c r="B48" s="9" t="s">
        <v>552</v>
      </c>
      <c r="C48" s="9" t="s">
        <v>638</v>
      </c>
      <c r="D48" s="8" t="s">
        <v>474</v>
      </c>
      <c r="E48" s="35">
        <f>자재단가대비표!O49</f>
        <v>273370</v>
      </c>
      <c r="F48" s="24" t="s">
        <v>637</v>
      </c>
      <c r="G48" s="36" t="str">
        <f>"_x0007_`COD|M00953_x0005_`QTY1|1_x0005_`BQC|_x0005_`EQC|조달_x0005_`JDC|_x0005_`WQC|_x0005_`EDT|_x0005_`DET|"&amp;ROW(자재단가대비표!A49)&amp;"_x0005_`"</f>
        <v>_x0007_`COD|M00953_x0005_`QTY1|1_x0005_`BQC|_x0005_`EQC|조달_x0005_`JDC|_x0005_`WQC|_x0005_`EDT|_x0005_`DET|49_x0005_`</v>
      </c>
      <c r="H48" s="19" t="str">
        <f ca="1">HYPERLINK("#"&amp;자재단가대비표!R2&amp;"!A"&amp;ROW(자재단가대비표!A49),"자재   45 →")</f>
        <v>자재   45 →</v>
      </c>
    </row>
    <row r="49" spans="1:8" ht="21.75" customHeight="1" x14ac:dyDescent="0.3">
      <c r="A49" s="8" t="s">
        <v>641</v>
      </c>
      <c r="B49" s="9" t="s">
        <v>604</v>
      </c>
      <c r="C49" s="9" t="s">
        <v>642</v>
      </c>
      <c r="D49" s="8" t="s">
        <v>458</v>
      </c>
      <c r="E49" s="35">
        <f>자재단가대비표!O50</f>
        <v>40200</v>
      </c>
      <c r="F49" s="24" t="s">
        <v>641</v>
      </c>
      <c r="G49" s="36" t="str">
        <f>"_x0007_`COD|M00954_x0005_`QTY1|1_x0005_`BQC|2024.01_x0005_`EQC|거양_x0005_`JDC|_x0005_`WQC|_x0005_`EDT|_x0005_`DET|"&amp;ROW(자재단가대비표!A50)&amp;"_x0005_`"</f>
        <v>_x0007_`COD|M00954_x0005_`QTY1|1_x0005_`BQC|2024.01_x0005_`EQC|거양_x0005_`JDC|_x0005_`WQC|_x0005_`EDT|_x0005_`DET|50_x0005_`</v>
      </c>
      <c r="H49" s="19" t="str">
        <f ca="1">HYPERLINK("#"&amp;자재단가대비표!R2&amp;"!A"&amp;ROW(자재단가대비표!A50),"자재   46 →")</f>
        <v>자재   46 →</v>
      </c>
    </row>
  </sheetData>
  <mergeCells count="1">
    <mergeCell ref="A1:F1"/>
  </mergeCells>
  <phoneticPr fontId="26" type="noConversion"/>
  <hyperlinks>
    <hyperlink ref="H1" r:id="rId1" tooltip="설계예산시스템(STmate w24.04)으로 작성 하였으며,_x000a_엑셀 인쇄품질 600 dpi에 최적화 되어 있습니다._x000a_경영정보(주) http://www.stma.co.kr_x000a_Tel) 070-4350-0040_x000a_Fax) 0505-300-3948"/>
    <hyperlink ref="G1" r:id="rId2" tooltip="설계예산시스템(STmate w24.04)으로 작성 하였으며,_x000a_엑셀 인쇄품질 600 dpi에 최적화 되어 있습니다._x000a_경영정보(주) http://www.stma.co.kr_x000a_Tel) 070-4350-0040_x000a_Fax) 0505-300-3948"/>
  </hyperlinks>
  <printOptions horizontalCentered="1"/>
  <pageMargins left="0.78740157480314965" right="0.78740157480314965" top="0.59055118110236215" bottom="0.55118110236220474" header="0" footer="0.35433070866141736"/>
  <pageSetup paperSize="9" fitToWidth="0" fitToHeight="0" orientation="landscape" r:id="rId3"/>
  <headerFooter alignWithMargins="0">
    <oddFooter xml:space="preserve">&amp;R&amp;"굴림체,"&amp;9 </oddFooter>
  </headerFooter>
  <legacyDrawing r:id="rId4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5"/>
  <sheetViews>
    <sheetView workbookViewId="0">
      <pane ySplit="3" topLeftCell="A4" activePane="bottomLeft" state="frozenSplit"/>
      <selection pane="bottomLeft" activeCell="A4" sqref="A4"/>
    </sheetView>
  </sheetViews>
  <sheetFormatPr defaultColWidth="9.125" defaultRowHeight="16.5" x14ac:dyDescent="0.3"/>
  <cols>
    <col min="1" max="1" width="10" style="5" customWidth="1"/>
    <col min="2" max="3" width="24.25" style="5" customWidth="1"/>
    <col min="4" max="4" width="5.5" style="5" customWidth="1"/>
    <col min="5" max="5" width="13.75" style="5" customWidth="1"/>
    <col min="6" max="6" width="10" style="5" customWidth="1"/>
    <col min="7" max="7" width="9.125" style="15" hidden="1" customWidth="1"/>
    <col min="8" max="8" width="9.125" style="17" customWidth="1"/>
    <col min="9" max="16384" width="9.125" style="5"/>
  </cols>
  <sheetData>
    <row r="1" spans="1:8" ht="24.95" customHeight="1" x14ac:dyDescent="0.3">
      <c r="A1" s="145" t="s">
        <v>645</v>
      </c>
      <c r="B1" s="135"/>
      <c r="C1" s="135"/>
      <c r="D1" s="135"/>
      <c r="E1" s="135"/>
      <c r="F1" s="135"/>
      <c r="G1" s="4" t="s">
        <v>166</v>
      </c>
      <c r="H1" s="18" t="s">
        <v>166</v>
      </c>
    </row>
    <row r="2" spans="1:8" ht="21.75" customHeight="1" x14ac:dyDescent="0.3">
      <c r="A2" s="1" t="s">
        <v>1</v>
      </c>
      <c r="G2" s="21" t="str">
        <f ca="1">MID(CELL("filename",$A$1),FIND("]",CELL("filename",$A$1))+1,LEN(CELL("filename",$A$1)))</f>
        <v>노무비목록표</v>
      </c>
    </row>
    <row r="3" spans="1:8" ht="21.75" customHeight="1" x14ac:dyDescent="0.3">
      <c r="A3" s="7" t="s">
        <v>2</v>
      </c>
      <c r="B3" s="7" t="s">
        <v>3</v>
      </c>
      <c r="C3" s="7" t="s">
        <v>4</v>
      </c>
      <c r="D3" s="7" t="s">
        <v>5</v>
      </c>
      <c r="E3" s="7" t="s">
        <v>428</v>
      </c>
      <c r="F3" s="13" t="s">
        <v>10</v>
      </c>
      <c r="H3" s="19" t="str">
        <f>HYPERLINK("#'〓 목 차 〓'!B2","목차 →")</f>
        <v>목차 →</v>
      </c>
    </row>
    <row r="4" spans="1:8" ht="21.75" customHeight="1" x14ac:dyDescent="0.3">
      <c r="A4" s="8" t="s">
        <v>429</v>
      </c>
      <c r="B4" s="9" t="s">
        <v>646</v>
      </c>
      <c r="C4" s="9"/>
      <c r="D4" s="8" t="s">
        <v>647</v>
      </c>
      <c r="E4" s="22">
        <v>268058</v>
      </c>
      <c r="F4" s="24" t="s">
        <v>429</v>
      </c>
      <c r="G4" s="16" t="s">
        <v>649</v>
      </c>
      <c r="H4" s="20" t="s">
        <v>648</v>
      </c>
    </row>
    <row r="5" spans="1:8" ht="21.75" customHeight="1" x14ac:dyDescent="0.3">
      <c r="A5" s="8" t="s">
        <v>434</v>
      </c>
      <c r="B5" s="9" t="s">
        <v>650</v>
      </c>
      <c r="C5" s="9"/>
      <c r="D5" s="8" t="s">
        <v>647</v>
      </c>
      <c r="E5" s="22">
        <v>274978</v>
      </c>
      <c r="F5" s="24" t="s">
        <v>434</v>
      </c>
      <c r="G5" s="16" t="s">
        <v>652</v>
      </c>
      <c r="H5" s="20" t="s">
        <v>651</v>
      </c>
    </row>
    <row r="6" spans="1:8" ht="21.75" customHeight="1" x14ac:dyDescent="0.3">
      <c r="A6" s="8" t="s">
        <v>439</v>
      </c>
      <c r="B6" s="9" t="s">
        <v>653</v>
      </c>
      <c r="C6" s="9"/>
      <c r="D6" s="8" t="s">
        <v>647</v>
      </c>
      <c r="E6" s="22">
        <v>258935</v>
      </c>
      <c r="F6" s="24" t="s">
        <v>439</v>
      </c>
      <c r="G6" s="16" t="s">
        <v>655</v>
      </c>
      <c r="H6" s="20" t="s">
        <v>654</v>
      </c>
    </row>
    <row r="7" spans="1:8" ht="21.75" customHeight="1" x14ac:dyDescent="0.3">
      <c r="A7" s="8" t="s">
        <v>445</v>
      </c>
      <c r="B7" s="9" t="s">
        <v>656</v>
      </c>
      <c r="C7" s="9"/>
      <c r="D7" s="8" t="s">
        <v>647</v>
      </c>
      <c r="E7" s="22">
        <v>261283</v>
      </c>
      <c r="F7" s="24" t="s">
        <v>445</v>
      </c>
      <c r="G7" s="16" t="s">
        <v>658</v>
      </c>
      <c r="H7" s="20" t="s">
        <v>657</v>
      </c>
    </row>
    <row r="8" spans="1:8" ht="21.75" customHeight="1" x14ac:dyDescent="0.3">
      <c r="A8" s="8" t="s">
        <v>451</v>
      </c>
      <c r="B8" s="9" t="s">
        <v>659</v>
      </c>
      <c r="C8" s="9"/>
      <c r="D8" s="8" t="s">
        <v>647</v>
      </c>
      <c r="E8" s="22">
        <v>254202</v>
      </c>
      <c r="F8" s="24" t="s">
        <v>451</v>
      </c>
      <c r="G8" s="16" t="s">
        <v>661</v>
      </c>
      <c r="H8" s="20" t="s">
        <v>660</v>
      </c>
    </row>
    <row r="9" spans="1:8" ht="21.75" customHeight="1" x14ac:dyDescent="0.3">
      <c r="A9" s="8" t="s">
        <v>455</v>
      </c>
      <c r="B9" s="9" t="s">
        <v>662</v>
      </c>
      <c r="C9" s="9"/>
      <c r="D9" s="8" t="s">
        <v>647</v>
      </c>
      <c r="E9" s="22">
        <v>165545</v>
      </c>
      <c r="F9" s="24" t="s">
        <v>455</v>
      </c>
      <c r="G9" s="16" t="s">
        <v>664</v>
      </c>
      <c r="H9" s="20" t="s">
        <v>663</v>
      </c>
    </row>
    <row r="10" spans="1:8" ht="21.75" customHeight="1" x14ac:dyDescent="0.3">
      <c r="A10" s="8" t="s">
        <v>461</v>
      </c>
      <c r="B10" s="9" t="s">
        <v>665</v>
      </c>
      <c r="C10" s="9"/>
      <c r="D10" s="8" t="s">
        <v>647</v>
      </c>
      <c r="E10" s="22">
        <v>267360</v>
      </c>
      <c r="F10" s="24" t="s">
        <v>461</v>
      </c>
      <c r="G10" s="16" t="s">
        <v>667</v>
      </c>
      <c r="H10" s="20" t="s">
        <v>666</v>
      </c>
    </row>
    <row r="11" spans="1:8" ht="21.75" customHeight="1" x14ac:dyDescent="0.3">
      <c r="A11" s="8" t="s">
        <v>466</v>
      </c>
      <c r="B11" s="9" t="s">
        <v>668</v>
      </c>
      <c r="C11" s="9"/>
      <c r="D11" s="8" t="s">
        <v>647</v>
      </c>
      <c r="E11" s="22">
        <v>226709</v>
      </c>
      <c r="F11" s="24" t="s">
        <v>466</v>
      </c>
      <c r="G11" s="16" t="s">
        <v>670</v>
      </c>
      <c r="H11" s="20" t="s">
        <v>669</v>
      </c>
    </row>
    <row r="12" spans="1:8" ht="21.75" customHeight="1" x14ac:dyDescent="0.3">
      <c r="A12" s="8" t="s">
        <v>471</v>
      </c>
      <c r="B12" s="9" t="s">
        <v>671</v>
      </c>
      <c r="C12" s="9"/>
      <c r="D12" s="8" t="s">
        <v>647</v>
      </c>
      <c r="E12" s="22">
        <v>161142</v>
      </c>
      <c r="F12" s="24" t="s">
        <v>471</v>
      </c>
      <c r="G12" s="16" t="s">
        <v>673</v>
      </c>
      <c r="H12" s="20" t="s">
        <v>672</v>
      </c>
    </row>
    <row r="13" spans="1:8" ht="21.75" customHeight="1" x14ac:dyDescent="0.3">
      <c r="A13" s="8" t="s">
        <v>477</v>
      </c>
      <c r="B13" s="9" t="s">
        <v>674</v>
      </c>
      <c r="C13" s="9"/>
      <c r="D13" s="8" t="s">
        <v>647</v>
      </c>
      <c r="E13" s="22">
        <v>243168</v>
      </c>
      <c r="F13" s="24" t="s">
        <v>477</v>
      </c>
      <c r="G13" s="16" t="s">
        <v>676</v>
      </c>
      <c r="H13" s="20" t="s">
        <v>675</v>
      </c>
    </row>
    <row r="14" spans="1:8" ht="21.75" customHeight="1" x14ac:dyDescent="0.3">
      <c r="A14" s="8" t="s">
        <v>483</v>
      </c>
      <c r="B14" s="9" t="s">
        <v>677</v>
      </c>
      <c r="C14" s="9"/>
      <c r="D14" s="8" t="s">
        <v>647</v>
      </c>
      <c r="E14" s="22">
        <v>260137</v>
      </c>
      <c r="F14" s="24" t="s">
        <v>483</v>
      </c>
      <c r="G14" s="16" t="s">
        <v>679</v>
      </c>
      <c r="H14" s="20" t="s">
        <v>678</v>
      </c>
    </row>
    <row r="15" spans="1:8" ht="21.75" customHeight="1" x14ac:dyDescent="0.3">
      <c r="A15" s="8" t="s">
        <v>488</v>
      </c>
      <c r="B15" s="9" t="s">
        <v>680</v>
      </c>
      <c r="C15" s="9"/>
      <c r="D15" s="8" t="s">
        <v>647</v>
      </c>
      <c r="E15" s="22">
        <v>258360</v>
      </c>
      <c r="F15" s="24" t="s">
        <v>488</v>
      </c>
      <c r="G15" s="16" t="s">
        <v>682</v>
      </c>
      <c r="H15" s="20" t="s">
        <v>681</v>
      </c>
    </row>
  </sheetData>
  <mergeCells count="1">
    <mergeCell ref="A1:F1"/>
  </mergeCells>
  <phoneticPr fontId="26" type="noConversion"/>
  <hyperlinks>
    <hyperlink ref="H1" r:id="rId1" tooltip="설계예산시스템(STmate w24.04)으로 작성 하였으며,_x000a_엑셀 인쇄품질 600 dpi에 최적화 되어 있습니다._x000a_경영정보(주) http://www.stma.co.kr_x000a_Tel) 070-4350-0040_x000a_Fax) 0505-300-3948"/>
    <hyperlink ref="G1" r:id="rId2" tooltip="설계예산시스템(STmate w24.04)으로 작성 하였으며,_x000a_엑셀 인쇄품질 600 dpi에 최적화 되어 있습니다._x000a_경영정보(주) http://www.stma.co.kr_x000a_Tel) 070-4350-0040_x000a_Fax) 0505-300-3948"/>
  </hyperlinks>
  <printOptions horizontalCentered="1"/>
  <pageMargins left="0.78740157480314965" right="0.78740157480314965" top="0.59055118110236215" bottom="0.55118110236220474" header="0" footer="0.35433070866141736"/>
  <pageSetup paperSize="9" fitToWidth="0" fitToHeight="0" orientation="landscape" r:id="rId3"/>
  <headerFooter alignWithMargins="0">
    <oddFooter xml:space="preserve">&amp;R&amp;"굴림체,"&amp;9 </oddFooter>
  </headerFooter>
  <legacyDrawing r:id="rId4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6"/>
  <sheetViews>
    <sheetView workbookViewId="0">
      <pane ySplit="3" topLeftCell="A4" activePane="bottomLeft" state="frozenSplit"/>
      <selection pane="bottomLeft" activeCell="A4" sqref="A4"/>
    </sheetView>
  </sheetViews>
  <sheetFormatPr defaultColWidth="9.125" defaultRowHeight="16.5" x14ac:dyDescent="0.3"/>
  <cols>
    <col min="1" max="1" width="10" style="5" customWidth="1"/>
    <col min="2" max="3" width="24.25" style="5" customWidth="1"/>
    <col min="4" max="4" width="5.5" style="5" customWidth="1"/>
    <col min="5" max="5" width="13.75" style="5" customWidth="1"/>
    <col min="6" max="6" width="10" style="5" customWidth="1"/>
    <col min="7" max="7" width="9.125" style="15" hidden="1" customWidth="1"/>
    <col min="8" max="8" width="9.125" style="17" customWidth="1"/>
    <col min="9" max="16384" width="9.125" style="5"/>
  </cols>
  <sheetData>
    <row r="1" spans="1:8" ht="24.95" customHeight="1" x14ac:dyDescent="0.3">
      <c r="A1" s="145" t="s">
        <v>683</v>
      </c>
      <c r="B1" s="135"/>
      <c r="C1" s="135"/>
      <c r="D1" s="135"/>
      <c r="E1" s="135"/>
      <c r="F1" s="135"/>
      <c r="G1" s="4" t="s">
        <v>166</v>
      </c>
      <c r="H1" s="18" t="s">
        <v>166</v>
      </c>
    </row>
    <row r="2" spans="1:8" ht="21.75" customHeight="1" x14ac:dyDescent="0.3">
      <c r="A2" s="1" t="s">
        <v>1</v>
      </c>
      <c r="G2" s="21" t="str">
        <f ca="1">MID(CELL("filename",$A$1),FIND("]",CELL("filename",$A$1))+1,LEN(CELL("filename",$A$1)))</f>
        <v>경비목록표</v>
      </c>
    </row>
    <row r="3" spans="1:8" ht="21.75" customHeight="1" x14ac:dyDescent="0.3">
      <c r="A3" s="7" t="s">
        <v>2</v>
      </c>
      <c r="B3" s="7" t="s">
        <v>3</v>
      </c>
      <c r="C3" s="7" t="s">
        <v>4</v>
      </c>
      <c r="D3" s="7" t="s">
        <v>5</v>
      </c>
      <c r="E3" s="7" t="s">
        <v>428</v>
      </c>
      <c r="F3" s="13" t="s">
        <v>10</v>
      </c>
      <c r="H3" s="19" t="str">
        <f>HYPERLINK("#'〓 목 차 〓'!B2","목차 →")</f>
        <v>목차 →</v>
      </c>
    </row>
    <row r="4" spans="1:8" ht="21.75" customHeight="1" x14ac:dyDescent="0.3">
      <c r="A4" s="8" t="s">
        <v>429</v>
      </c>
      <c r="B4" s="9" t="s">
        <v>684</v>
      </c>
      <c r="C4" s="9"/>
      <c r="D4" s="8" t="s">
        <v>685</v>
      </c>
      <c r="E4" s="22">
        <v>184499</v>
      </c>
      <c r="F4" s="24" t="s">
        <v>429</v>
      </c>
      <c r="G4" s="16" t="s">
        <v>687</v>
      </c>
      <c r="H4" s="20" t="s">
        <v>686</v>
      </c>
    </row>
    <row r="5" spans="1:8" ht="21.75" customHeight="1" x14ac:dyDescent="0.3">
      <c r="A5" s="8" t="s">
        <v>434</v>
      </c>
      <c r="B5" s="9" t="s">
        <v>347</v>
      </c>
      <c r="C5" s="9" t="s">
        <v>688</v>
      </c>
      <c r="D5" s="8" t="s">
        <v>685</v>
      </c>
      <c r="E5" s="22">
        <v>62550</v>
      </c>
      <c r="F5" s="24" t="s">
        <v>434</v>
      </c>
      <c r="G5" s="16" t="s">
        <v>690</v>
      </c>
      <c r="H5" s="20" t="s">
        <v>689</v>
      </c>
    </row>
    <row r="6" spans="1:8" ht="21.75" customHeight="1" x14ac:dyDescent="0.3">
      <c r="A6" s="8" t="s">
        <v>439</v>
      </c>
      <c r="B6" s="9" t="s">
        <v>350</v>
      </c>
      <c r="C6" s="9" t="s">
        <v>688</v>
      </c>
      <c r="D6" s="8" t="s">
        <v>685</v>
      </c>
      <c r="E6" s="22">
        <v>78556</v>
      </c>
      <c r="F6" s="24" t="s">
        <v>439</v>
      </c>
      <c r="G6" s="16" t="s">
        <v>692</v>
      </c>
      <c r="H6" s="20" t="s">
        <v>691</v>
      </c>
    </row>
    <row r="7" spans="1:8" ht="21.75" customHeight="1" x14ac:dyDescent="0.3">
      <c r="A7" s="8" t="s">
        <v>445</v>
      </c>
      <c r="B7" s="9" t="s">
        <v>353</v>
      </c>
      <c r="C7" s="9" t="s">
        <v>688</v>
      </c>
      <c r="D7" s="8" t="s">
        <v>685</v>
      </c>
      <c r="E7" s="22">
        <v>110926</v>
      </c>
      <c r="F7" s="24" t="s">
        <v>445</v>
      </c>
      <c r="G7" s="16" t="s">
        <v>694</v>
      </c>
      <c r="H7" s="20" t="s">
        <v>693</v>
      </c>
    </row>
    <row r="8" spans="1:8" ht="21.75" customHeight="1" x14ac:dyDescent="0.3">
      <c r="A8" s="8" t="s">
        <v>451</v>
      </c>
      <c r="B8" s="9" t="s">
        <v>356</v>
      </c>
      <c r="C8" s="9" t="s">
        <v>688</v>
      </c>
      <c r="D8" s="8" t="s">
        <v>685</v>
      </c>
      <c r="E8" s="22">
        <v>133819</v>
      </c>
      <c r="F8" s="24" t="s">
        <v>451</v>
      </c>
      <c r="G8" s="16" t="s">
        <v>696</v>
      </c>
      <c r="H8" s="20" t="s">
        <v>695</v>
      </c>
    </row>
    <row r="9" spans="1:8" ht="21.75" customHeight="1" x14ac:dyDescent="0.3">
      <c r="A9" s="8" t="s">
        <v>455</v>
      </c>
      <c r="B9" s="9" t="s">
        <v>697</v>
      </c>
      <c r="C9" s="9"/>
      <c r="D9" s="8" t="s">
        <v>685</v>
      </c>
      <c r="E9" s="22">
        <v>16315</v>
      </c>
      <c r="F9" s="24" t="s">
        <v>455</v>
      </c>
      <c r="G9" s="16" t="s">
        <v>699</v>
      </c>
      <c r="H9" s="20" t="s">
        <v>698</v>
      </c>
    </row>
    <row r="10" spans="1:8" ht="21.75" customHeight="1" x14ac:dyDescent="0.3">
      <c r="A10" s="8" t="s">
        <v>461</v>
      </c>
      <c r="B10" s="9" t="s">
        <v>700</v>
      </c>
      <c r="C10" s="9"/>
      <c r="D10" s="8" t="s">
        <v>685</v>
      </c>
      <c r="E10" s="22">
        <v>24274</v>
      </c>
      <c r="F10" s="24" t="s">
        <v>461</v>
      </c>
      <c r="G10" s="16" t="s">
        <v>702</v>
      </c>
      <c r="H10" s="20" t="s">
        <v>701</v>
      </c>
    </row>
    <row r="11" spans="1:8" ht="21.75" customHeight="1" x14ac:dyDescent="0.3">
      <c r="A11" s="8" t="s">
        <v>466</v>
      </c>
      <c r="B11" s="9" t="s">
        <v>703</v>
      </c>
      <c r="C11" s="9"/>
      <c r="D11" s="8" t="s">
        <v>685</v>
      </c>
      <c r="E11" s="22">
        <v>49355</v>
      </c>
      <c r="F11" s="24" t="s">
        <v>466</v>
      </c>
      <c r="G11" s="16" t="s">
        <v>705</v>
      </c>
      <c r="H11" s="20" t="s">
        <v>704</v>
      </c>
    </row>
    <row r="12" spans="1:8" ht="21.75" customHeight="1" x14ac:dyDescent="0.3">
      <c r="A12" s="8" t="s">
        <v>471</v>
      </c>
      <c r="B12" s="9" t="s">
        <v>706</v>
      </c>
      <c r="C12" s="9"/>
      <c r="D12" s="8" t="s">
        <v>685</v>
      </c>
      <c r="E12" s="22">
        <v>86142</v>
      </c>
      <c r="F12" s="24" t="s">
        <v>471</v>
      </c>
      <c r="G12" s="16" t="s">
        <v>708</v>
      </c>
      <c r="H12" s="20" t="s">
        <v>707</v>
      </c>
    </row>
    <row r="13" spans="1:8" ht="21.75" customHeight="1" x14ac:dyDescent="0.3">
      <c r="A13" s="8" t="s">
        <v>477</v>
      </c>
      <c r="B13" s="9" t="s">
        <v>375</v>
      </c>
      <c r="C13" s="9" t="s">
        <v>376</v>
      </c>
      <c r="D13" s="8" t="s">
        <v>685</v>
      </c>
      <c r="E13" s="22">
        <v>1546</v>
      </c>
      <c r="F13" s="24" t="s">
        <v>477</v>
      </c>
      <c r="G13" s="16" t="s">
        <v>710</v>
      </c>
      <c r="H13" s="20" t="s">
        <v>709</v>
      </c>
    </row>
    <row r="14" spans="1:8" ht="21.75" customHeight="1" x14ac:dyDescent="0.3">
      <c r="A14" s="8" t="s">
        <v>483</v>
      </c>
      <c r="B14" s="9" t="s">
        <v>711</v>
      </c>
      <c r="C14" s="9" t="s">
        <v>712</v>
      </c>
      <c r="D14" s="8" t="s">
        <v>685</v>
      </c>
      <c r="E14" s="22">
        <v>11046</v>
      </c>
      <c r="F14" s="24" t="s">
        <v>483</v>
      </c>
      <c r="G14" s="16" t="s">
        <v>714</v>
      </c>
      <c r="H14" s="20" t="s">
        <v>713</v>
      </c>
    </row>
    <row r="15" spans="1:8" ht="21.75" customHeight="1" x14ac:dyDescent="0.3">
      <c r="A15" s="8" t="s">
        <v>488</v>
      </c>
      <c r="B15" s="9" t="s">
        <v>383</v>
      </c>
      <c r="C15" s="9" t="s">
        <v>384</v>
      </c>
      <c r="D15" s="8" t="s">
        <v>685</v>
      </c>
      <c r="E15" s="22">
        <v>63483</v>
      </c>
      <c r="F15" s="24" t="s">
        <v>488</v>
      </c>
      <c r="G15" s="16" t="s">
        <v>716</v>
      </c>
      <c r="H15" s="20" t="s">
        <v>715</v>
      </c>
    </row>
    <row r="16" spans="1:8" ht="21.75" customHeight="1" x14ac:dyDescent="0.3">
      <c r="A16" s="8" t="s">
        <v>493</v>
      </c>
      <c r="B16" s="9" t="s">
        <v>387</v>
      </c>
      <c r="C16" s="9"/>
      <c r="D16" s="8" t="s">
        <v>685</v>
      </c>
      <c r="E16" s="22">
        <v>5409</v>
      </c>
      <c r="F16" s="24" t="s">
        <v>493</v>
      </c>
      <c r="G16" s="16" t="s">
        <v>718</v>
      </c>
      <c r="H16" s="20" t="s">
        <v>717</v>
      </c>
    </row>
    <row r="17" spans="1:8" ht="21.75" customHeight="1" x14ac:dyDescent="0.3">
      <c r="A17" s="8" t="s">
        <v>497</v>
      </c>
      <c r="B17" s="9" t="s">
        <v>719</v>
      </c>
      <c r="C17" s="9" t="s">
        <v>720</v>
      </c>
      <c r="D17" s="8" t="s">
        <v>685</v>
      </c>
      <c r="E17" s="22">
        <v>150666</v>
      </c>
      <c r="F17" s="24" t="s">
        <v>497</v>
      </c>
      <c r="G17" s="16" t="s">
        <v>722</v>
      </c>
      <c r="H17" s="20" t="s">
        <v>721</v>
      </c>
    </row>
    <row r="18" spans="1:8" ht="21.75" customHeight="1" x14ac:dyDescent="0.3">
      <c r="A18" s="8" t="s">
        <v>502</v>
      </c>
      <c r="B18" s="9" t="s">
        <v>379</v>
      </c>
      <c r="C18" s="9" t="s">
        <v>380</v>
      </c>
      <c r="D18" s="8" t="s">
        <v>685</v>
      </c>
      <c r="E18" s="22">
        <v>38469</v>
      </c>
      <c r="F18" s="24" t="s">
        <v>502</v>
      </c>
      <c r="G18" s="16" t="s">
        <v>724</v>
      </c>
      <c r="H18" s="20" t="s">
        <v>723</v>
      </c>
    </row>
    <row r="19" spans="1:8" ht="21.75" customHeight="1" x14ac:dyDescent="0.3">
      <c r="A19" s="8" t="s">
        <v>506</v>
      </c>
      <c r="B19" s="9" t="s">
        <v>725</v>
      </c>
      <c r="C19" s="9" t="s">
        <v>726</v>
      </c>
      <c r="D19" s="8" t="s">
        <v>727</v>
      </c>
      <c r="E19" s="22">
        <v>61500</v>
      </c>
      <c r="F19" s="24" t="s">
        <v>506</v>
      </c>
      <c r="G19" s="16" t="s">
        <v>729</v>
      </c>
      <c r="H19" s="20" t="s">
        <v>728</v>
      </c>
    </row>
    <row r="20" spans="1:8" ht="21.75" customHeight="1" x14ac:dyDescent="0.3">
      <c r="A20" s="8" t="s">
        <v>512</v>
      </c>
      <c r="B20" s="9" t="s">
        <v>730</v>
      </c>
      <c r="C20" s="9" t="s">
        <v>201</v>
      </c>
      <c r="D20" s="8" t="s">
        <v>685</v>
      </c>
      <c r="E20" s="22">
        <v>7381</v>
      </c>
      <c r="F20" s="24" t="s">
        <v>512</v>
      </c>
      <c r="G20" s="16" t="s">
        <v>732</v>
      </c>
      <c r="H20" s="20" t="s">
        <v>731</v>
      </c>
    </row>
    <row r="21" spans="1:8" ht="21.75" customHeight="1" x14ac:dyDescent="0.3">
      <c r="A21" s="8" t="s">
        <v>517</v>
      </c>
      <c r="B21" s="9" t="s">
        <v>733</v>
      </c>
      <c r="C21" s="9"/>
      <c r="D21" s="8" t="s">
        <v>685</v>
      </c>
      <c r="E21" s="22">
        <v>20793</v>
      </c>
      <c r="F21" s="24" t="s">
        <v>517</v>
      </c>
      <c r="G21" s="16" t="s">
        <v>735</v>
      </c>
      <c r="H21" s="20" t="s">
        <v>734</v>
      </c>
    </row>
    <row r="22" spans="1:8" ht="21.75" customHeight="1" x14ac:dyDescent="0.3">
      <c r="A22" s="8" t="s">
        <v>521</v>
      </c>
      <c r="B22" s="9" t="s">
        <v>736</v>
      </c>
      <c r="C22" s="9" t="s">
        <v>737</v>
      </c>
      <c r="D22" s="8" t="s">
        <v>685</v>
      </c>
      <c r="E22" s="22">
        <v>112684</v>
      </c>
      <c r="F22" s="24" t="s">
        <v>521</v>
      </c>
      <c r="G22" s="16" t="s">
        <v>739</v>
      </c>
      <c r="H22" s="20" t="s">
        <v>738</v>
      </c>
    </row>
    <row r="23" spans="1:8" ht="21.75" customHeight="1" x14ac:dyDescent="0.3">
      <c r="A23" s="8" t="s">
        <v>525</v>
      </c>
      <c r="B23" s="9" t="s">
        <v>740</v>
      </c>
      <c r="C23" s="9"/>
      <c r="D23" s="8" t="s">
        <v>685</v>
      </c>
      <c r="E23" s="22">
        <v>140899</v>
      </c>
      <c r="F23" s="24" t="s">
        <v>525</v>
      </c>
      <c r="G23" s="16" t="s">
        <v>742</v>
      </c>
      <c r="H23" s="20" t="s">
        <v>741</v>
      </c>
    </row>
    <row r="24" spans="1:8" ht="21.75" customHeight="1" x14ac:dyDescent="0.3">
      <c r="A24" s="8" t="s">
        <v>529</v>
      </c>
      <c r="B24" s="9" t="s">
        <v>375</v>
      </c>
      <c r="C24" s="9" t="s">
        <v>400</v>
      </c>
      <c r="D24" s="8" t="s">
        <v>685</v>
      </c>
      <c r="E24" s="22">
        <v>1794</v>
      </c>
      <c r="F24" s="24" t="s">
        <v>529</v>
      </c>
      <c r="G24" s="16" t="s">
        <v>744</v>
      </c>
      <c r="H24" s="20" t="s">
        <v>743</v>
      </c>
    </row>
    <row r="25" spans="1:8" ht="21.75" customHeight="1" x14ac:dyDescent="0.3">
      <c r="A25" s="8" t="s">
        <v>534</v>
      </c>
      <c r="B25" s="9" t="s">
        <v>745</v>
      </c>
      <c r="C25" s="9" t="s">
        <v>746</v>
      </c>
      <c r="D25" s="8" t="s">
        <v>685</v>
      </c>
      <c r="E25" s="22">
        <v>7381</v>
      </c>
      <c r="F25" s="24" t="s">
        <v>534</v>
      </c>
      <c r="G25" s="16" t="s">
        <v>748</v>
      </c>
      <c r="H25" s="20" t="s">
        <v>747</v>
      </c>
    </row>
    <row r="26" spans="1:8" ht="21.75" customHeight="1" x14ac:dyDescent="0.3">
      <c r="A26" s="8" t="s">
        <v>539</v>
      </c>
      <c r="B26" s="9" t="s">
        <v>423</v>
      </c>
      <c r="C26" s="9" t="s">
        <v>749</v>
      </c>
      <c r="D26" s="8" t="s">
        <v>685</v>
      </c>
      <c r="E26" s="22">
        <v>112684</v>
      </c>
      <c r="F26" s="24" t="s">
        <v>539</v>
      </c>
      <c r="G26" s="16" t="s">
        <v>751</v>
      </c>
      <c r="H26" s="20" t="s">
        <v>750</v>
      </c>
    </row>
  </sheetData>
  <mergeCells count="1">
    <mergeCell ref="A1:F1"/>
  </mergeCells>
  <phoneticPr fontId="26" type="noConversion"/>
  <hyperlinks>
    <hyperlink ref="H1" r:id="rId1" tooltip="설계예산시스템(STmate w24.04)으로 작성 하였으며,_x000a_엑셀 인쇄품질 600 dpi에 최적화 되어 있습니다._x000a_경영정보(주) http://www.stma.co.kr_x000a_Tel) 070-4350-0040_x000a_Fax) 0505-300-3948"/>
    <hyperlink ref="G1" r:id="rId2" tooltip="설계예산시스템(STmate w24.04)으로 작성 하였으며,_x000a_엑셀 인쇄품질 600 dpi에 최적화 되어 있습니다._x000a_경영정보(주) http://www.stma.co.kr_x000a_Tel) 070-4350-0040_x000a_Fax) 0505-300-3948"/>
  </hyperlinks>
  <printOptions horizontalCentered="1"/>
  <pageMargins left="0.78740157480314965" right="0.78740157480314965" top="0.59055118110236215" bottom="0.55118110236220474" header="0" footer="0.35433070866141736"/>
  <pageSetup paperSize="9" fitToWidth="0" fitToHeight="0" orientation="landscape" r:id="rId3"/>
  <headerFooter alignWithMargins="0">
    <oddFooter xml:space="preserve">&amp;R&amp;"굴림체,"&amp;9 </oddFooter>
  </headerFooter>
  <legacyDrawing r:id="rId4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50"/>
  <sheetViews>
    <sheetView workbookViewId="0">
      <pane ySplit="4" topLeftCell="A5" activePane="bottomLeft" state="frozenSplit"/>
      <selection pane="bottomLeft" activeCell="A5" sqref="A5"/>
    </sheetView>
  </sheetViews>
  <sheetFormatPr defaultColWidth="9.125" defaultRowHeight="16.5" x14ac:dyDescent="0.3"/>
  <cols>
    <col min="1" max="1" width="10" style="5" customWidth="1"/>
    <col min="2" max="3" width="24.25" style="5" customWidth="1"/>
    <col min="4" max="4" width="5.5" style="5" customWidth="1"/>
    <col min="5" max="17" width="10" style="5" customWidth="1"/>
    <col min="18" max="18" width="9.125" style="15" hidden="1" customWidth="1"/>
    <col min="19" max="19" width="9.125" style="17" customWidth="1"/>
    <col min="20" max="20" width="10" style="5" customWidth="1"/>
    <col min="21" max="21" width="2.5" style="5" customWidth="1"/>
    <col min="22" max="22" width="10" style="5" customWidth="1"/>
    <col min="23" max="23" width="8.5" style="5" customWidth="1"/>
    <col min="24" max="16384" width="9.125" style="5"/>
  </cols>
  <sheetData>
    <row r="1" spans="1:25" ht="24.95" customHeight="1" x14ac:dyDescent="0.3">
      <c r="A1" s="145" t="s">
        <v>770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4" t="s">
        <v>166</v>
      </c>
      <c r="S1" s="18" t="s">
        <v>166</v>
      </c>
    </row>
    <row r="2" spans="1:25" ht="34.700000000000003" customHeight="1" x14ac:dyDescent="0.3">
      <c r="A2" s="1" t="s">
        <v>1</v>
      </c>
      <c r="R2" s="21" t="str">
        <f ca="1">MID(CELL("filename",$A$1),FIND("]",CELL("filename",$A$1))+1,LEN(CELL("filename",$A$1)))</f>
        <v>자재단가대비표</v>
      </c>
    </row>
    <row r="3" spans="1:25" ht="34.700000000000003" customHeight="1" x14ac:dyDescent="0.3">
      <c r="A3" s="157" t="s">
        <v>2</v>
      </c>
      <c r="B3" s="157" t="s">
        <v>3</v>
      </c>
      <c r="C3" s="157" t="s">
        <v>4</v>
      </c>
      <c r="D3" s="157" t="s">
        <v>5</v>
      </c>
      <c r="E3" s="148" t="s">
        <v>771</v>
      </c>
      <c r="F3" s="156"/>
      <c r="G3" s="148" t="s">
        <v>773</v>
      </c>
      <c r="H3" s="156"/>
      <c r="I3" s="148" t="s">
        <v>774</v>
      </c>
      <c r="J3" s="156"/>
      <c r="K3" s="148" t="s">
        <v>775</v>
      </c>
      <c r="L3" s="156"/>
      <c r="M3" s="148" t="s">
        <v>776</v>
      </c>
      <c r="N3" s="156"/>
      <c r="O3" s="148" t="s">
        <v>777</v>
      </c>
      <c r="P3" s="156"/>
      <c r="Q3" s="148" t="s">
        <v>10</v>
      </c>
      <c r="U3" s="168" t="s">
        <v>779</v>
      </c>
      <c r="V3" s="135"/>
      <c r="W3" s="135"/>
    </row>
    <row r="4" spans="1:25" ht="34.700000000000003" customHeight="1" x14ac:dyDescent="0.3">
      <c r="A4" s="156"/>
      <c r="B4" s="156"/>
      <c r="C4" s="156"/>
      <c r="D4" s="156"/>
      <c r="E4" s="8" t="s">
        <v>428</v>
      </c>
      <c r="F4" s="8" t="s">
        <v>772</v>
      </c>
      <c r="G4" s="8" t="s">
        <v>428</v>
      </c>
      <c r="H4" s="8" t="s">
        <v>772</v>
      </c>
      <c r="I4" s="8" t="s">
        <v>428</v>
      </c>
      <c r="J4" s="8" t="s">
        <v>772</v>
      </c>
      <c r="K4" s="8" t="s">
        <v>428</v>
      </c>
      <c r="L4" s="8" t="s">
        <v>772</v>
      </c>
      <c r="M4" s="8" t="s">
        <v>428</v>
      </c>
      <c r="N4" s="8" t="s">
        <v>772</v>
      </c>
      <c r="O4" s="8" t="s">
        <v>428</v>
      </c>
      <c r="P4" s="8" t="s">
        <v>772</v>
      </c>
      <c r="Q4" s="149"/>
      <c r="S4" s="19" t="str">
        <f>HYPERLINK("#'〓 목 차 〓'!B2","목차 →")</f>
        <v>목차 →</v>
      </c>
      <c r="T4" s="20" t="s">
        <v>778</v>
      </c>
      <c r="U4" s="20" t="s">
        <v>780</v>
      </c>
      <c r="V4" s="20" t="s">
        <v>428</v>
      </c>
      <c r="W4" s="20" t="s">
        <v>772</v>
      </c>
      <c r="X4" s="20" t="s">
        <v>781</v>
      </c>
      <c r="Y4" s="20" t="s">
        <v>782</v>
      </c>
    </row>
    <row r="5" spans="1:25" ht="34.700000000000003" customHeight="1" x14ac:dyDescent="0.3">
      <c r="A5" s="8" t="s">
        <v>429</v>
      </c>
      <c r="B5" s="9" t="s">
        <v>430</v>
      </c>
      <c r="C5" s="9" t="s">
        <v>281</v>
      </c>
      <c r="D5" s="8" t="s">
        <v>431</v>
      </c>
      <c r="E5" s="23">
        <v>1369</v>
      </c>
      <c r="F5" s="8"/>
      <c r="G5" s="23">
        <v>0</v>
      </c>
      <c r="H5" s="8"/>
      <c r="I5" s="23">
        <v>0</v>
      </c>
      <c r="J5" s="8"/>
      <c r="K5" s="23">
        <v>0</v>
      </c>
      <c r="L5" s="8"/>
      <c r="M5" s="23">
        <v>0</v>
      </c>
      <c r="N5" s="8"/>
      <c r="O5" s="23">
        <v>1369</v>
      </c>
      <c r="P5" s="24" t="s">
        <v>783</v>
      </c>
      <c r="Q5" s="14" t="s">
        <v>429</v>
      </c>
      <c r="R5" s="16" t="s">
        <v>433</v>
      </c>
      <c r="S5" s="19" t="str">
        <f ca="1">HYPERLINK("#"&amp;재료비목록표!G2&amp;"!A"&amp;ROW(재료비목록표!A4),"자재    1 →")</f>
        <v>자재    1 →</v>
      </c>
      <c r="T5" s="37">
        <v>1369</v>
      </c>
      <c r="U5" s="38">
        <f t="shared" ref="U5:U50" si="0">IF(OR(V5=0,ISERROR(MATCH(V5,E5:M5,0))),"",CHOOSE(TRUNC((MATCH(V5,E5:M5,0)/2+1)),1,2,3,4,5))</f>
        <v>1</v>
      </c>
      <c r="V5" s="39">
        <f t="shared" ref="V5:V50" si="1">IF(AND(E5=0,G5=0,I5=0,K5=0,M5=0),T5,MIN(IF(E5=0,MAX(E5:M5),E5),IF(G5=0,MAX(E5:M5),G5),IF(I5=0,MAX(E5:M5),I5),IF(K5=0,MAX(E5:M5),K5),IF(M5=0,MAX(E5:M5),M5)))</f>
        <v>1369</v>
      </c>
      <c r="W5" s="40" t="str">
        <f t="shared" ref="W5:W50" si="2">IF(OR(O5=0,U5=""),"",CHOOSE(U5,Y$5,Y$6,Y$7,Y$8,Y$9))</f>
        <v>조달</v>
      </c>
      <c r="X5" s="20" t="s">
        <v>771</v>
      </c>
      <c r="Y5" s="20" t="s">
        <v>783</v>
      </c>
    </row>
    <row r="6" spans="1:25" ht="34.700000000000003" customHeight="1" x14ac:dyDescent="0.3">
      <c r="A6" s="8" t="s">
        <v>434</v>
      </c>
      <c r="B6" s="9" t="s">
        <v>435</v>
      </c>
      <c r="C6" s="9" t="s">
        <v>436</v>
      </c>
      <c r="D6" s="8" t="s">
        <v>431</v>
      </c>
      <c r="E6" s="23">
        <v>1272</v>
      </c>
      <c r="F6" s="8"/>
      <c r="G6" s="23">
        <v>0</v>
      </c>
      <c r="H6" s="8"/>
      <c r="I6" s="23">
        <v>0</v>
      </c>
      <c r="J6" s="8"/>
      <c r="K6" s="23">
        <v>0</v>
      </c>
      <c r="L6" s="8"/>
      <c r="M6" s="23">
        <v>0</v>
      </c>
      <c r="N6" s="8"/>
      <c r="O6" s="23">
        <v>1272</v>
      </c>
      <c r="P6" s="24" t="s">
        <v>783</v>
      </c>
      <c r="Q6" s="14" t="s">
        <v>434</v>
      </c>
      <c r="R6" s="16" t="s">
        <v>438</v>
      </c>
      <c r="S6" s="19" t="str">
        <f ca="1">HYPERLINK("#"&amp;재료비목록표!G2&amp;"!A"&amp;ROW(재료비목록표!A5),"자재    2 →")</f>
        <v>자재    2 →</v>
      </c>
      <c r="T6" s="37">
        <v>1272</v>
      </c>
      <c r="U6" s="38">
        <f t="shared" si="0"/>
        <v>1</v>
      </c>
      <c r="V6" s="39">
        <f t="shared" si="1"/>
        <v>1272</v>
      </c>
      <c r="W6" s="40" t="str">
        <f t="shared" si="2"/>
        <v>조달</v>
      </c>
      <c r="X6" s="20" t="s">
        <v>773</v>
      </c>
      <c r="Y6" s="20" t="s">
        <v>784</v>
      </c>
    </row>
    <row r="7" spans="1:25" ht="34.700000000000003" customHeight="1" x14ac:dyDescent="0.3">
      <c r="A7" s="8" t="s">
        <v>439</v>
      </c>
      <c r="B7" s="9" t="s">
        <v>440</v>
      </c>
      <c r="C7" s="9" t="s">
        <v>441</v>
      </c>
      <c r="D7" s="8" t="s">
        <v>442</v>
      </c>
      <c r="E7" s="23">
        <v>500661</v>
      </c>
      <c r="F7" s="8"/>
      <c r="G7" s="23">
        <v>829341</v>
      </c>
      <c r="H7" s="8" t="s">
        <v>788</v>
      </c>
      <c r="I7" s="23">
        <v>748503</v>
      </c>
      <c r="J7" s="8" t="s">
        <v>789</v>
      </c>
      <c r="K7" s="23">
        <v>0</v>
      </c>
      <c r="L7" s="8"/>
      <c r="M7" s="23">
        <v>0</v>
      </c>
      <c r="N7" s="8"/>
      <c r="O7" s="23">
        <v>500661</v>
      </c>
      <c r="P7" s="24" t="s">
        <v>783</v>
      </c>
      <c r="Q7" s="14" t="s">
        <v>439</v>
      </c>
      <c r="R7" s="16" t="s">
        <v>444</v>
      </c>
      <c r="S7" s="19" t="str">
        <f ca="1">HYPERLINK("#"&amp;재료비목록표!G2&amp;"!A"&amp;ROW(재료비목록표!A6),"자재    3 →")</f>
        <v>자재    3 →</v>
      </c>
      <c r="T7" s="37">
        <v>500661</v>
      </c>
      <c r="U7" s="38">
        <f t="shared" si="0"/>
        <v>1</v>
      </c>
      <c r="V7" s="39">
        <f t="shared" si="1"/>
        <v>500661</v>
      </c>
      <c r="W7" s="40" t="str">
        <f t="shared" si="2"/>
        <v>조달</v>
      </c>
      <c r="X7" s="20" t="s">
        <v>774</v>
      </c>
      <c r="Y7" s="20" t="s">
        <v>785</v>
      </c>
    </row>
    <row r="8" spans="1:25" ht="34.700000000000003" customHeight="1" x14ac:dyDescent="0.3">
      <c r="A8" s="8" t="s">
        <v>445</v>
      </c>
      <c r="B8" s="9" t="s">
        <v>446</v>
      </c>
      <c r="C8" s="9" t="s">
        <v>447</v>
      </c>
      <c r="D8" s="8" t="s">
        <v>448</v>
      </c>
      <c r="E8" s="23">
        <v>1503</v>
      </c>
      <c r="F8" s="8"/>
      <c r="G8" s="23">
        <v>1935</v>
      </c>
      <c r="H8" s="8" t="s">
        <v>443</v>
      </c>
      <c r="I8" s="23">
        <v>1665</v>
      </c>
      <c r="J8" s="8" t="s">
        <v>790</v>
      </c>
      <c r="K8" s="23">
        <v>0</v>
      </c>
      <c r="L8" s="8"/>
      <c r="M8" s="23">
        <v>0</v>
      </c>
      <c r="N8" s="8"/>
      <c r="O8" s="23">
        <v>1503</v>
      </c>
      <c r="P8" s="24" t="s">
        <v>783</v>
      </c>
      <c r="Q8" s="14" t="s">
        <v>445</v>
      </c>
      <c r="R8" s="16" t="s">
        <v>450</v>
      </c>
      <c r="S8" s="19" t="str">
        <f ca="1">HYPERLINK("#"&amp;재료비목록표!G2&amp;"!A"&amp;ROW(재료비목록표!A7),"자재    4 →")</f>
        <v>자재    4 →</v>
      </c>
      <c r="T8" s="37">
        <v>1503</v>
      </c>
      <c r="U8" s="38">
        <f t="shared" si="0"/>
        <v>1</v>
      </c>
      <c r="V8" s="39">
        <f t="shared" si="1"/>
        <v>1503</v>
      </c>
      <c r="W8" s="40" t="str">
        <f t="shared" si="2"/>
        <v>조달</v>
      </c>
      <c r="X8" s="20" t="s">
        <v>775</v>
      </c>
      <c r="Y8" s="20" t="s">
        <v>786</v>
      </c>
    </row>
    <row r="9" spans="1:25" ht="34.700000000000003" customHeight="1" x14ac:dyDescent="0.3">
      <c r="A9" s="8" t="s">
        <v>451</v>
      </c>
      <c r="B9" s="9" t="s">
        <v>452</v>
      </c>
      <c r="C9" s="9" t="s">
        <v>441</v>
      </c>
      <c r="D9" s="8" t="s">
        <v>442</v>
      </c>
      <c r="E9" s="23">
        <v>572185</v>
      </c>
      <c r="F9" s="8"/>
      <c r="G9" s="23">
        <v>0</v>
      </c>
      <c r="H9" s="8"/>
      <c r="I9" s="23">
        <v>895061</v>
      </c>
      <c r="J9" s="8" t="s">
        <v>449</v>
      </c>
      <c r="K9" s="23">
        <v>0</v>
      </c>
      <c r="L9" s="8"/>
      <c r="M9" s="23">
        <v>0</v>
      </c>
      <c r="N9" s="8"/>
      <c r="O9" s="23">
        <v>572185</v>
      </c>
      <c r="P9" s="24" t="s">
        <v>783</v>
      </c>
      <c r="Q9" s="14" t="s">
        <v>451</v>
      </c>
      <c r="R9" s="16" t="s">
        <v>454</v>
      </c>
      <c r="S9" s="19" t="str">
        <f ca="1">HYPERLINK("#"&amp;재료비목록표!G2&amp;"!A"&amp;ROW(재료비목록표!A8),"자재    5 →")</f>
        <v>자재    5 →</v>
      </c>
      <c r="T9" s="37">
        <v>572185</v>
      </c>
      <c r="U9" s="38">
        <f t="shared" si="0"/>
        <v>1</v>
      </c>
      <c r="V9" s="39">
        <f t="shared" si="1"/>
        <v>572185</v>
      </c>
      <c r="W9" s="40" t="str">
        <f t="shared" si="2"/>
        <v>조달</v>
      </c>
      <c r="X9" s="20" t="s">
        <v>776</v>
      </c>
      <c r="Y9" s="20" t="s">
        <v>787</v>
      </c>
    </row>
    <row r="10" spans="1:25" ht="34.700000000000003" customHeight="1" x14ac:dyDescent="0.3">
      <c r="A10" s="8" t="s">
        <v>455</v>
      </c>
      <c r="B10" s="9" t="s">
        <v>456</v>
      </c>
      <c r="C10" s="9" t="s">
        <v>457</v>
      </c>
      <c r="D10" s="8" t="s">
        <v>458</v>
      </c>
      <c r="E10" s="23">
        <v>0</v>
      </c>
      <c r="F10" s="8"/>
      <c r="G10" s="23">
        <v>0</v>
      </c>
      <c r="H10" s="8"/>
      <c r="I10" s="23">
        <v>0</v>
      </c>
      <c r="J10" s="8"/>
      <c r="K10" s="23">
        <v>0</v>
      </c>
      <c r="L10" s="8"/>
      <c r="M10" s="23">
        <v>3920</v>
      </c>
      <c r="N10" s="8"/>
      <c r="O10" s="23">
        <v>3920</v>
      </c>
      <c r="P10" s="24" t="s">
        <v>787</v>
      </c>
      <c r="Q10" s="14" t="s">
        <v>455</v>
      </c>
      <c r="R10" s="16" t="s">
        <v>460</v>
      </c>
      <c r="S10" s="19" t="str">
        <f ca="1">HYPERLINK("#"&amp;재료비목록표!G2&amp;"!A"&amp;ROW(재료비목록표!A9),"자재    6 →")</f>
        <v>자재    6 →</v>
      </c>
      <c r="T10" s="37">
        <v>3920</v>
      </c>
      <c r="U10" s="38">
        <f t="shared" si="0"/>
        <v>5</v>
      </c>
      <c r="V10" s="39">
        <f t="shared" si="1"/>
        <v>3920</v>
      </c>
      <c r="W10" s="40" t="str">
        <f t="shared" si="2"/>
        <v>견적</v>
      </c>
      <c r="X10" s="20" t="s">
        <v>777</v>
      </c>
      <c r="Y10" s="20"/>
    </row>
    <row r="11" spans="1:25" ht="34.700000000000003" customHeight="1" x14ac:dyDescent="0.3">
      <c r="A11" s="8" t="s">
        <v>461</v>
      </c>
      <c r="B11" s="9" t="s">
        <v>462</v>
      </c>
      <c r="C11" s="9" t="s">
        <v>463</v>
      </c>
      <c r="D11" s="8" t="s">
        <v>448</v>
      </c>
      <c r="E11" s="23">
        <v>0</v>
      </c>
      <c r="F11" s="8"/>
      <c r="G11" s="23">
        <v>0</v>
      </c>
      <c r="H11" s="8"/>
      <c r="I11" s="23">
        <v>0</v>
      </c>
      <c r="J11" s="8"/>
      <c r="K11" s="23">
        <v>0</v>
      </c>
      <c r="L11" s="8"/>
      <c r="M11" s="23">
        <v>12712</v>
      </c>
      <c r="N11" s="8"/>
      <c r="O11" s="23">
        <v>12712</v>
      </c>
      <c r="P11" s="24" t="s">
        <v>787</v>
      </c>
      <c r="Q11" s="14" t="s">
        <v>461</v>
      </c>
      <c r="R11" s="16" t="s">
        <v>465</v>
      </c>
      <c r="S11" s="19" t="str">
        <f ca="1">HYPERLINK("#"&amp;재료비목록표!G2&amp;"!A"&amp;ROW(재료비목록표!A10),"자재    7 →")</f>
        <v>자재    7 →</v>
      </c>
      <c r="T11" s="37">
        <v>12712</v>
      </c>
      <c r="U11" s="38">
        <f t="shared" si="0"/>
        <v>5</v>
      </c>
      <c r="V11" s="39">
        <f t="shared" si="1"/>
        <v>12712</v>
      </c>
      <c r="W11" s="40" t="str">
        <f t="shared" si="2"/>
        <v>견적</v>
      </c>
    </row>
    <row r="12" spans="1:25" ht="34.700000000000003" customHeight="1" x14ac:dyDescent="0.3">
      <c r="A12" s="8" t="s">
        <v>466</v>
      </c>
      <c r="B12" s="9" t="s">
        <v>467</v>
      </c>
      <c r="C12" s="9" t="s">
        <v>468</v>
      </c>
      <c r="D12" s="8" t="s">
        <v>442</v>
      </c>
      <c r="E12" s="23">
        <v>0</v>
      </c>
      <c r="F12" s="8"/>
      <c r="G12" s="23">
        <v>288000</v>
      </c>
      <c r="H12" s="8" t="s">
        <v>464</v>
      </c>
      <c r="I12" s="23">
        <v>288000</v>
      </c>
      <c r="J12" s="8" t="s">
        <v>459</v>
      </c>
      <c r="K12" s="23">
        <v>0</v>
      </c>
      <c r="L12" s="8"/>
      <c r="M12" s="23">
        <v>0</v>
      </c>
      <c r="N12" s="8"/>
      <c r="O12" s="23">
        <v>288000</v>
      </c>
      <c r="P12" s="24" t="s">
        <v>784</v>
      </c>
      <c r="Q12" s="14" t="s">
        <v>466</v>
      </c>
      <c r="R12" s="16" t="s">
        <v>470</v>
      </c>
      <c r="S12" s="19" t="str">
        <f ca="1">HYPERLINK("#"&amp;재료비목록표!G2&amp;"!A"&amp;ROW(재료비목록표!A11),"자재    8 →")</f>
        <v>자재    8 →</v>
      </c>
      <c r="T12" s="37">
        <v>288000</v>
      </c>
      <c r="U12" s="38">
        <f t="shared" si="0"/>
        <v>2</v>
      </c>
      <c r="V12" s="39">
        <f t="shared" si="1"/>
        <v>288000</v>
      </c>
      <c r="W12" s="40" t="str">
        <f t="shared" si="2"/>
        <v>물정</v>
      </c>
    </row>
    <row r="13" spans="1:25" ht="34.700000000000003" customHeight="1" x14ac:dyDescent="0.3">
      <c r="A13" s="8" t="s">
        <v>471</v>
      </c>
      <c r="B13" s="9" t="s">
        <v>472</v>
      </c>
      <c r="C13" s="9" t="s">
        <v>473</v>
      </c>
      <c r="D13" s="8" t="s">
        <v>474</v>
      </c>
      <c r="E13" s="23">
        <v>0</v>
      </c>
      <c r="F13" s="8"/>
      <c r="G13" s="23">
        <v>2075</v>
      </c>
      <c r="H13" s="8" t="s">
        <v>469</v>
      </c>
      <c r="I13" s="23">
        <v>1912</v>
      </c>
      <c r="J13" s="8" t="s">
        <v>453</v>
      </c>
      <c r="K13" s="23">
        <v>0</v>
      </c>
      <c r="L13" s="8"/>
      <c r="M13" s="23">
        <v>0</v>
      </c>
      <c r="N13" s="8"/>
      <c r="O13" s="23">
        <v>1912</v>
      </c>
      <c r="P13" s="24" t="s">
        <v>785</v>
      </c>
      <c r="Q13" s="14" t="s">
        <v>471</v>
      </c>
      <c r="R13" s="16" t="s">
        <v>476</v>
      </c>
      <c r="S13" s="19" t="str">
        <f ca="1">HYPERLINK("#"&amp;재료비목록표!G2&amp;"!A"&amp;ROW(재료비목록표!A12),"자재    9 →")</f>
        <v>자재    9 →</v>
      </c>
      <c r="T13" s="37">
        <v>1912</v>
      </c>
      <c r="U13" s="38">
        <f t="shared" si="0"/>
        <v>3</v>
      </c>
      <c r="V13" s="39">
        <f t="shared" si="1"/>
        <v>1912</v>
      </c>
      <c r="W13" s="40" t="str">
        <f t="shared" si="2"/>
        <v>물자</v>
      </c>
    </row>
    <row r="14" spans="1:25" ht="34.700000000000003" customHeight="1" x14ac:dyDescent="0.3">
      <c r="A14" s="8" t="s">
        <v>477</v>
      </c>
      <c r="B14" s="9" t="s">
        <v>478</v>
      </c>
      <c r="C14" s="9" t="s">
        <v>479</v>
      </c>
      <c r="D14" s="8" t="s">
        <v>480</v>
      </c>
      <c r="E14" s="23">
        <v>0</v>
      </c>
      <c r="F14" s="8"/>
      <c r="G14" s="23">
        <v>0</v>
      </c>
      <c r="H14" s="8"/>
      <c r="I14" s="23">
        <v>0</v>
      </c>
      <c r="J14" s="8"/>
      <c r="K14" s="23">
        <v>0</v>
      </c>
      <c r="L14" s="8"/>
      <c r="M14" s="23">
        <v>0</v>
      </c>
      <c r="N14" s="8"/>
      <c r="O14" s="23">
        <v>0</v>
      </c>
      <c r="P14" s="24"/>
      <c r="Q14" s="14" t="s">
        <v>477</v>
      </c>
      <c r="R14" s="16" t="s">
        <v>482</v>
      </c>
      <c r="S14" s="19" t="str">
        <f ca="1">HYPERLINK("#"&amp;재료비목록표!G2&amp;"!A"&amp;ROW(재료비목록표!A13),"자재   10 →")</f>
        <v>자재   10 →</v>
      </c>
      <c r="T14" s="37">
        <v>0</v>
      </c>
      <c r="U14" s="38" t="str">
        <f t="shared" si="0"/>
        <v/>
      </c>
      <c r="V14" s="39">
        <f t="shared" si="1"/>
        <v>0</v>
      </c>
      <c r="W14" s="40" t="str">
        <f t="shared" si="2"/>
        <v/>
      </c>
    </row>
    <row r="15" spans="1:25" ht="34.700000000000003" customHeight="1" x14ac:dyDescent="0.3">
      <c r="A15" s="8" t="s">
        <v>483</v>
      </c>
      <c r="B15" s="9" t="s">
        <v>484</v>
      </c>
      <c r="C15" s="9" t="s">
        <v>485</v>
      </c>
      <c r="D15" s="8" t="s">
        <v>480</v>
      </c>
      <c r="E15" s="23">
        <v>0</v>
      </c>
      <c r="F15" s="8"/>
      <c r="G15" s="23">
        <v>0</v>
      </c>
      <c r="H15" s="8"/>
      <c r="I15" s="23">
        <v>0</v>
      </c>
      <c r="J15" s="8"/>
      <c r="K15" s="23">
        <v>0</v>
      </c>
      <c r="L15" s="8"/>
      <c r="M15" s="23">
        <v>0</v>
      </c>
      <c r="N15" s="8"/>
      <c r="O15" s="23">
        <v>0</v>
      </c>
      <c r="P15" s="24"/>
      <c r="Q15" s="14" t="s">
        <v>483</v>
      </c>
      <c r="R15" s="16" t="s">
        <v>487</v>
      </c>
      <c r="S15" s="19" t="str">
        <f ca="1">HYPERLINK("#"&amp;재료비목록표!G2&amp;"!A"&amp;ROW(재료비목록표!A14),"자재   11 →")</f>
        <v>자재   11 →</v>
      </c>
      <c r="T15" s="37">
        <v>0</v>
      </c>
      <c r="U15" s="38" t="str">
        <f t="shared" si="0"/>
        <v/>
      </c>
      <c r="V15" s="39">
        <f t="shared" si="1"/>
        <v>0</v>
      </c>
      <c r="W15" s="40" t="str">
        <f t="shared" si="2"/>
        <v/>
      </c>
    </row>
    <row r="16" spans="1:25" ht="34.700000000000003" customHeight="1" x14ac:dyDescent="0.3">
      <c r="A16" s="8" t="s">
        <v>488</v>
      </c>
      <c r="B16" s="9" t="s">
        <v>489</v>
      </c>
      <c r="C16" s="9" t="s">
        <v>490</v>
      </c>
      <c r="D16" s="8" t="s">
        <v>480</v>
      </c>
      <c r="E16" s="23">
        <v>0</v>
      </c>
      <c r="F16" s="8"/>
      <c r="G16" s="23">
        <v>0</v>
      </c>
      <c r="H16" s="8"/>
      <c r="I16" s="23">
        <v>0</v>
      </c>
      <c r="J16" s="8"/>
      <c r="K16" s="23">
        <v>0</v>
      </c>
      <c r="L16" s="8"/>
      <c r="M16" s="23">
        <v>0</v>
      </c>
      <c r="N16" s="8"/>
      <c r="O16" s="23">
        <v>0</v>
      </c>
      <c r="P16" s="24"/>
      <c r="Q16" s="14" t="s">
        <v>488</v>
      </c>
      <c r="R16" s="16" t="s">
        <v>492</v>
      </c>
      <c r="S16" s="19" t="str">
        <f ca="1">HYPERLINK("#"&amp;재료비목록표!G2&amp;"!A"&amp;ROW(재료비목록표!A15),"자재   12 →")</f>
        <v>자재   12 →</v>
      </c>
      <c r="T16" s="37">
        <v>0</v>
      </c>
      <c r="U16" s="38" t="str">
        <f t="shared" si="0"/>
        <v/>
      </c>
      <c r="V16" s="39">
        <f t="shared" si="1"/>
        <v>0</v>
      </c>
      <c r="W16" s="40" t="str">
        <f t="shared" si="2"/>
        <v/>
      </c>
    </row>
    <row r="17" spans="1:23" ht="34.700000000000003" customHeight="1" x14ac:dyDescent="0.3">
      <c r="A17" s="8" t="s">
        <v>493</v>
      </c>
      <c r="B17" s="9" t="s">
        <v>494</v>
      </c>
      <c r="C17" s="9" t="s">
        <v>485</v>
      </c>
      <c r="D17" s="8" t="s">
        <v>480</v>
      </c>
      <c r="E17" s="23">
        <v>0</v>
      </c>
      <c r="F17" s="8"/>
      <c r="G17" s="23">
        <v>0</v>
      </c>
      <c r="H17" s="8"/>
      <c r="I17" s="23">
        <v>0</v>
      </c>
      <c r="J17" s="8"/>
      <c r="K17" s="23">
        <v>0</v>
      </c>
      <c r="L17" s="8"/>
      <c r="M17" s="23">
        <v>0</v>
      </c>
      <c r="N17" s="8"/>
      <c r="O17" s="23">
        <v>0</v>
      </c>
      <c r="P17" s="24"/>
      <c r="Q17" s="14" t="s">
        <v>493</v>
      </c>
      <c r="R17" s="16" t="s">
        <v>496</v>
      </c>
      <c r="S17" s="19" t="str">
        <f ca="1">HYPERLINK("#"&amp;재료비목록표!G2&amp;"!A"&amp;ROW(재료비목록표!A16),"자재   13 →")</f>
        <v>자재   13 →</v>
      </c>
      <c r="T17" s="37">
        <v>0</v>
      </c>
      <c r="U17" s="38" t="str">
        <f t="shared" si="0"/>
        <v/>
      </c>
      <c r="V17" s="39">
        <f t="shared" si="1"/>
        <v>0</v>
      </c>
      <c r="W17" s="40" t="str">
        <f t="shared" si="2"/>
        <v/>
      </c>
    </row>
    <row r="18" spans="1:23" ht="34.700000000000003" customHeight="1" x14ac:dyDescent="0.3">
      <c r="A18" s="8" t="s">
        <v>497</v>
      </c>
      <c r="B18" s="9" t="s">
        <v>498</v>
      </c>
      <c r="C18" s="9" t="s">
        <v>499</v>
      </c>
      <c r="D18" s="8" t="s">
        <v>448</v>
      </c>
      <c r="E18" s="23">
        <v>0</v>
      </c>
      <c r="F18" s="8"/>
      <c r="G18" s="23">
        <v>0</v>
      </c>
      <c r="H18" s="8"/>
      <c r="I18" s="23">
        <v>0</v>
      </c>
      <c r="J18" s="8"/>
      <c r="K18" s="23">
        <v>0</v>
      </c>
      <c r="L18" s="8"/>
      <c r="M18" s="23">
        <v>0</v>
      </c>
      <c r="N18" s="8"/>
      <c r="O18" s="23">
        <v>0</v>
      </c>
      <c r="P18" s="24"/>
      <c r="Q18" s="14" t="s">
        <v>497</v>
      </c>
      <c r="R18" s="16" t="s">
        <v>501</v>
      </c>
      <c r="S18" s="19" t="str">
        <f ca="1">HYPERLINK("#"&amp;재료비목록표!G2&amp;"!A"&amp;ROW(재료비목록표!A17),"자재   14 →")</f>
        <v>자재   14 →</v>
      </c>
      <c r="T18" s="37">
        <v>0</v>
      </c>
      <c r="U18" s="38" t="str">
        <f t="shared" si="0"/>
        <v/>
      </c>
      <c r="V18" s="39">
        <f t="shared" si="1"/>
        <v>0</v>
      </c>
      <c r="W18" s="40" t="str">
        <f t="shared" si="2"/>
        <v/>
      </c>
    </row>
    <row r="19" spans="1:23" ht="34.700000000000003" customHeight="1" x14ac:dyDescent="0.3">
      <c r="A19" s="8" t="s">
        <v>502</v>
      </c>
      <c r="B19" s="9" t="s">
        <v>503</v>
      </c>
      <c r="C19" s="9" t="s">
        <v>499</v>
      </c>
      <c r="D19" s="8" t="s">
        <v>442</v>
      </c>
      <c r="E19" s="23">
        <v>0</v>
      </c>
      <c r="F19" s="8"/>
      <c r="G19" s="23">
        <v>0</v>
      </c>
      <c r="H19" s="8"/>
      <c r="I19" s="23">
        <v>0</v>
      </c>
      <c r="J19" s="8"/>
      <c r="K19" s="23">
        <v>0</v>
      </c>
      <c r="L19" s="8"/>
      <c r="M19" s="23">
        <v>0</v>
      </c>
      <c r="N19" s="8"/>
      <c r="O19" s="23">
        <v>0</v>
      </c>
      <c r="P19" s="24"/>
      <c r="Q19" s="14" t="s">
        <v>502</v>
      </c>
      <c r="R19" s="16" t="s">
        <v>505</v>
      </c>
      <c r="S19" s="19" t="str">
        <f ca="1">HYPERLINK("#"&amp;재료비목록표!G2&amp;"!A"&amp;ROW(재료비목록표!A18),"자재   15 →")</f>
        <v>자재   15 →</v>
      </c>
      <c r="T19" s="37">
        <v>0</v>
      </c>
      <c r="U19" s="38" t="str">
        <f t="shared" si="0"/>
        <v/>
      </c>
      <c r="V19" s="39">
        <f t="shared" si="1"/>
        <v>0</v>
      </c>
      <c r="W19" s="40" t="str">
        <f t="shared" si="2"/>
        <v/>
      </c>
    </row>
    <row r="20" spans="1:23" ht="34.700000000000003" customHeight="1" x14ac:dyDescent="0.3">
      <c r="A20" s="8" t="s">
        <v>506</v>
      </c>
      <c r="B20" s="9" t="s">
        <v>507</v>
      </c>
      <c r="C20" s="9" t="s">
        <v>508</v>
      </c>
      <c r="D20" s="8" t="s">
        <v>509</v>
      </c>
      <c r="E20" s="23">
        <v>0</v>
      </c>
      <c r="F20" s="8"/>
      <c r="G20" s="23">
        <v>37800</v>
      </c>
      <c r="H20" s="8" t="s">
        <v>504</v>
      </c>
      <c r="I20" s="23">
        <v>31500</v>
      </c>
      <c r="J20" s="8" t="s">
        <v>500</v>
      </c>
      <c r="K20" s="23">
        <v>0</v>
      </c>
      <c r="L20" s="8"/>
      <c r="M20" s="23">
        <v>0</v>
      </c>
      <c r="N20" s="8"/>
      <c r="O20" s="23">
        <v>31500</v>
      </c>
      <c r="P20" s="24" t="s">
        <v>785</v>
      </c>
      <c r="Q20" s="14" t="s">
        <v>506</v>
      </c>
      <c r="R20" s="16" t="s">
        <v>511</v>
      </c>
      <c r="S20" s="19" t="str">
        <f ca="1">HYPERLINK("#"&amp;재료비목록표!G2&amp;"!A"&amp;ROW(재료비목록표!A19),"자재   16 →")</f>
        <v>자재   16 →</v>
      </c>
      <c r="T20" s="37">
        <v>31500</v>
      </c>
      <c r="U20" s="38">
        <f t="shared" si="0"/>
        <v>3</v>
      </c>
      <c r="V20" s="39">
        <f t="shared" si="1"/>
        <v>31500</v>
      </c>
      <c r="W20" s="40" t="str">
        <f t="shared" si="2"/>
        <v>물자</v>
      </c>
    </row>
    <row r="21" spans="1:23" ht="34.700000000000003" customHeight="1" x14ac:dyDescent="0.3">
      <c r="A21" s="8" t="s">
        <v>512</v>
      </c>
      <c r="B21" s="9" t="s">
        <v>513</v>
      </c>
      <c r="C21" s="9" t="s">
        <v>514</v>
      </c>
      <c r="D21" s="8" t="s">
        <v>509</v>
      </c>
      <c r="E21" s="23">
        <v>0</v>
      </c>
      <c r="F21" s="8"/>
      <c r="G21" s="23">
        <v>24000</v>
      </c>
      <c r="H21" s="8" t="s">
        <v>504</v>
      </c>
      <c r="I21" s="23">
        <v>21000</v>
      </c>
      <c r="J21" s="8" t="s">
        <v>500</v>
      </c>
      <c r="K21" s="23">
        <v>0</v>
      </c>
      <c r="L21" s="8"/>
      <c r="M21" s="23">
        <v>0</v>
      </c>
      <c r="N21" s="8"/>
      <c r="O21" s="23">
        <v>21000</v>
      </c>
      <c r="P21" s="24" t="s">
        <v>785</v>
      </c>
      <c r="Q21" s="14" t="s">
        <v>512</v>
      </c>
      <c r="R21" s="16" t="s">
        <v>516</v>
      </c>
      <c r="S21" s="19" t="str">
        <f ca="1">HYPERLINK("#"&amp;재료비목록표!G2&amp;"!A"&amp;ROW(재료비목록표!A20),"자재   17 →")</f>
        <v>자재   17 →</v>
      </c>
      <c r="T21" s="37">
        <v>21000</v>
      </c>
      <c r="U21" s="38">
        <f t="shared" si="0"/>
        <v>3</v>
      </c>
      <c r="V21" s="39">
        <f t="shared" si="1"/>
        <v>21000</v>
      </c>
      <c r="W21" s="40" t="str">
        <f t="shared" si="2"/>
        <v>물자</v>
      </c>
    </row>
    <row r="22" spans="1:23" ht="34.700000000000003" customHeight="1" x14ac:dyDescent="0.3">
      <c r="A22" s="8" t="s">
        <v>517</v>
      </c>
      <c r="B22" s="9" t="s">
        <v>518</v>
      </c>
      <c r="C22" s="9" t="s">
        <v>499</v>
      </c>
      <c r="D22" s="8" t="s">
        <v>474</v>
      </c>
      <c r="E22" s="23">
        <v>0</v>
      </c>
      <c r="F22" s="8"/>
      <c r="G22" s="23">
        <v>0</v>
      </c>
      <c r="H22" s="8"/>
      <c r="I22" s="23">
        <v>0</v>
      </c>
      <c r="J22" s="8"/>
      <c r="K22" s="23">
        <v>0</v>
      </c>
      <c r="L22" s="8"/>
      <c r="M22" s="23">
        <v>0</v>
      </c>
      <c r="N22" s="8"/>
      <c r="O22" s="23">
        <v>0</v>
      </c>
      <c r="P22" s="24"/>
      <c r="Q22" s="14" t="s">
        <v>517</v>
      </c>
      <c r="R22" s="16" t="s">
        <v>520</v>
      </c>
      <c r="S22" s="19" t="str">
        <f ca="1">HYPERLINK("#"&amp;재료비목록표!G2&amp;"!A"&amp;ROW(재료비목록표!A21),"자재   18 →")</f>
        <v>자재   18 →</v>
      </c>
      <c r="T22" s="37">
        <v>0</v>
      </c>
      <c r="U22" s="38" t="str">
        <f t="shared" si="0"/>
        <v/>
      </c>
      <c r="V22" s="39">
        <f t="shared" si="1"/>
        <v>0</v>
      </c>
      <c r="W22" s="40" t="str">
        <f t="shared" si="2"/>
        <v/>
      </c>
    </row>
    <row r="23" spans="1:23" ht="34.700000000000003" customHeight="1" x14ac:dyDescent="0.3">
      <c r="A23" s="8" t="s">
        <v>521</v>
      </c>
      <c r="B23" s="9" t="s">
        <v>522</v>
      </c>
      <c r="C23" s="9" t="s">
        <v>499</v>
      </c>
      <c r="D23" s="8" t="s">
        <v>474</v>
      </c>
      <c r="E23" s="23">
        <v>0</v>
      </c>
      <c r="F23" s="8"/>
      <c r="G23" s="23">
        <v>0</v>
      </c>
      <c r="H23" s="8"/>
      <c r="I23" s="23">
        <v>0</v>
      </c>
      <c r="J23" s="8"/>
      <c r="K23" s="23">
        <v>0</v>
      </c>
      <c r="L23" s="8"/>
      <c r="M23" s="23">
        <v>0</v>
      </c>
      <c r="N23" s="8"/>
      <c r="O23" s="23">
        <v>0</v>
      </c>
      <c r="P23" s="24"/>
      <c r="Q23" s="14" t="s">
        <v>521</v>
      </c>
      <c r="R23" s="16" t="s">
        <v>524</v>
      </c>
      <c r="S23" s="19" t="str">
        <f ca="1">HYPERLINK("#"&amp;재료비목록표!G2&amp;"!A"&amp;ROW(재료비목록표!A22),"자재   19 →")</f>
        <v>자재   19 →</v>
      </c>
      <c r="T23" s="37">
        <v>0</v>
      </c>
      <c r="U23" s="38" t="str">
        <f t="shared" si="0"/>
        <v/>
      </c>
      <c r="V23" s="39">
        <f t="shared" si="1"/>
        <v>0</v>
      </c>
      <c r="W23" s="40" t="str">
        <f t="shared" si="2"/>
        <v/>
      </c>
    </row>
    <row r="24" spans="1:23" ht="34.700000000000003" customHeight="1" x14ac:dyDescent="0.3">
      <c r="A24" s="8" t="s">
        <v>525</v>
      </c>
      <c r="B24" s="9" t="s">
        <v>526</v>
      </c>
      <c r="C24" s="9" t="s">
        <v>413</v>
      </c>
      <c r="D24" s="8" t="s">
        <v>458</v>
      </c>
      <c r="E24" s="23">
        <v>0</v>
      </c>
      <c r="F24" s="8"/>
      <c r="G24" s="23">
        <v>223000</v>
      </c>
      <c r="H24" s="8" t="s">
        <v>523</v>
      </c>
      <c r="I24" s="23">
        <v>0</v>
      </c>
      <c r="J24" s="8"/>
      <c r="K24" s="23">
        <v>0</v>
      </c>
      <c r="L24" s="8"/>
      <c r="M24" s="23">
        <v>0</v>
      </c>
      <c r="N24" s="8"/>
      <c r="O24" s="23">
        <v>223000</v>
      </c>
      <c r="P24" s="24" t="s">
        <v>784</v>
      </c>
      <c r="Q24" s="14" t="s">
        <v>525</v>
      </c>
      <c r="R24" s="16" t="s">
        <v>528</v>
      </c>
      <c r="S24" s="19" t="str">
        <f ca="1">HYPERLINK("#"&amp;재료비목록표!G2&amp;"!A"&amp;ROW(재료비목록표!A23),"자재   20 →")</f>
        <v>자재   20 →</v>
      </c>
      <c r="T24" s="37">
        <v>223000</v>
      </c>
      <c r="U24" s="38">
        <f t="shared" si="0"/>
        <v>2</v>
      </c>
      <c r="V24" s="39">
        <f t="shared" si="1"/>
        <v>223000</v>
      </c>
      <c r="W24" s="40" t="str">
        <f t="shared" si="2"/>
        <v>물정</v>
      </c>
    </row>
    <row r="25" spans="1:23" ht="34.700000000000003" customHeight="1" x14ac:dyDescent="0.3">
      <c r="A25" s="8" t="s">
        <v>529</v>
      </c>
      <c r="B25" s="9" t="s">
        <v>530</v>
      </c>
      <c r="C25" s="9" t="s">
        <v>531</v>
      </c>
      <c r="D25" s="8" t="s">
        <v>243</v>
      </c>
      <c r="E25" s="23">
        <v>5000</v>
      </c>
      <c r="F25" s="8"/>
      <c r="G25" s="23">
        <v>0</v>
      </c>
      <c r="H25" s="8"/>
      <c r="I25" s="23">
        <v>0</v>
      </c>
      <c r="J25" s="8"/>
      <c r="K25" s="23">
        <v>0</v>
      </c>
      <c r="L25" s="8"/>
      <c r="M25" s="23">
        <v>0</v>
      </c>
      <c r="N25" s="8"/>
      <c r="O25" s="23">
        <v>5000</v>
      </c>
      <c r="P25" s="24" t="s">
        <v>783</v>
      </c>
      <c r="Q25" s="14" t="s">
        <v>529</v>
      </c>
      <c r="R25" s="16" t="s">
        <v>533</v>
      </c>
      <c r="S25" s="19" t="str">
        <f ca="1">HYPERLINK("#"&amp;재료비목록표!G2&amp;"!A"&amp;ROW(재료비목록표!A24),"자재   21 →")</f>
        <v>자재   21 →</v>
      </c>
      <c r="T25" s="37">
        <v>5000</v>
      </c>
      <c r="U25" s="38">
        <f t="shared" si="0"/>
        <v>1</v>
      </c>
      <c r="V25" s="39">
        <f t="shared" si="1"/>
        <v>5000</v>
      </c>
      <c r="W25" s="40" t="str">
        <f t="shared" si="2"/>
        <v>조달</v>
      </c>
    </row>
    <row r="26" spans="1:23" ht="34.700000000000003" customHeight="1" x14ac:dyDescent="0.3">
      <c r="A26" s="8" t="s">
        <v>534</v>
      </c>
      <c r="B26" s="9" t="s">
        <v>535</v>
      </c>
      <c r="C26" s="9" t="s">
        <v>536</v>
      </c>
      <c r="D26" s="8" t="s">
        <v>442</v>
      </c>
      <c r="E26" s="23">
        <v>0</v>
      </c>
      <c r="F26" s="8"/>
      <c r="G26" s="23">
        <v>0</v>
      </c>
      <c r="H26" s="8"/>
      <c r="I26" s="23">
        <v>0</v>
      </c>
      <c r="J26" s="8"/>
      <c r="K26" s="23">
        <v>0</v>
      </c>
      <c r="L26" s="8"/>
      <c r="M26" s="23">
        <v>21000</v>
      </c>
      <c r="N26" s="8"/>
      <c r="O26" s="23">
        <v>21000</v>
      </c>
      <c r="P26" s="24" t="s">
        <v>787</v>
      </c>
      <c r="Q26" s="14" t="s">
        <v>534</v>
      </c>
      <c r="R26" s="16" t="s">
        <v>538</v>
      </c>
      <c r="S26" s="19" t="str">
        <f ca="1">HYPERLINK("#"&amp;재료비목록표!G2&amp;"!A"&amp;ROW(재료비목록표!A25),"자재   22 →")</f>
        <v>자재   22 →</v>
      </c>
      <c r="T26" s="37">
        <v>21000</v>
      </c>
      <c r="U26" s="38">
        <f t="shared" si="0"/>
        <v>5</v>
      </c>
      <c r="V26" s="39">
        <f t="shared" si="1"/>
        <v>21000</v>
      </c>
      <c r="W26" s="40" t="str">
        <f t="shared" si="2"/>
        <v>견적</v>
      </c>
    </row>
    <row r="27" spans="1:23" ht="34.700000000000003" customHeight="1" x14ac:dyDescent="0.3">
      <c r="A27" s="8" t="s">
        <v>539</v>
      </c>
      <c r="B27" s="9" t="s">
        <v>478</v>
      </c>
      <c r="C27" s="9" t="s">
        <v>479</v>
      </c>
      <c r="D27" s="8" t="s">
        <v>480</v>
      </c>
      <c r="E27" s="23">
        <v>0</v>
      </c>
      <c r="F27" s="8"/>
      <c r="G27" s="23">
        <v>0</v>
      </c>
      <c r="H27" s="8"/>
      <c r="I27" s="23">
        <v>0</v>
      </c>
      <c r="J27" s="8"/>
      <c r="K27" s="23">
        <v>0</v>
      </c>
      <c r="L27" s="8"/>
      <c r="M27" s="23">
        <v>0</v>
      </c>
      <c r="N27" s="8"/>
      <c r="O27" s="23">
        <v>0</v>
      </c>
      <c r="P27" s="24"/>
      <c r="Q27" s="14" t="s">
        <v>539</v>
      </c>
      <c r="R27" s="16" t="s">
        <v>541</v>
      </c>
      <c r="S27" s="19" t="str">
        <f ca="1">HYPERLINK("#"&amp;재료비목록표!G2&amp;"!A"&amp;ROW(재료비목록표!A26),"자재   23 →")</f>
        <v>자재   23 →</v>
      </c>
      <c r="T27" s="37">
        <v>0</v>
      </c>
      <c r="U27" s="38" t="str">
        <f t="shared" si="0"/>
        <v/>
      </c>
      <c r="V27" s="39">
        <f t="shared" si="1"/>
        <v>0</v>
      </c>
      <c r="W27" s="40" t="str">
        <f t="shared" si="2"/>
        <v/>
      </c>
    </row>
    <row r="28" spans="1:23" ht="34.700000000000003" customHeight="1" x14ac:dyDescent="0.3">
      <c r="A28" s="8" t="s">
        <v>542</v>
      </c>
      <c r="B28" s="9" t="s">
        <v>543</v>
      </c>
      <c r="C28" s="9" t="s">
        <v>536</v>
      </c>
      <c r="D28" s="8" t="s">
        <v>442</v>
      </c>
      <c r="E28" s="23">
        <v>0</v>
      </c>
      <c r="F28" s="8"/>
      <c r="G28" s="23">
        <v>0</v>
      </c>
      <c r="H28" s="8"/>
      <c r="I28" s="23">
        <v>0</v>
      </c>
      <c r="J28" s="8"/>
      <c r="K28" s="23">
        <v>0</v>
      </c>
      <c r="L28" s="8"/>
      <c r="M28" s="23">
        <v>29000</v>
      </c>
      <c r="N28" s="8"/>
      <c r="O28" s="23">
        <v>29000</v>
      </c>
      <c r="P28" s="24" t="s">
        <v>787</v>
      </c>
      <c r="Q28" s="14" t="s">
        <v>542</v>
      </c>
      <c r="R28" s="16" t="s">
        <v>545</v>
      </c>
      <c r="S28" s="19" t="str">
        <f ca="1">HYPERLINK("#"&amp;재료비목록표!G2&amp;"!A"&amp;ROW(재료비목록표!A27),"자재   24 →")</f>
        <v>자재   24 →</v>
      </c>
      <c r="T28" s="37">
        <v>29000</v>
      </c>
      <c r="U28" s="38">
        <f t="shared" si="0"/>
        <v>5</v>
      </c>
      <c r="V28" s="39">
        <f t="shared" si="1"/>
        <v>29000</v>
      </c>
      <c r="W28" s="40" t="str">
        <f t="shared" si="2"/>
        <v>견적</v>
      </c>
    </row>
    <row r="29" spans="1:23" ht="34.700000000000003" customHeight="1" x14ac:dyDescent="0.3">
      <c r="A29" s="8" t="s">
        <v>546</v>
      </c>
      <c r="B29" s="9" t="s">
        <v>547</v>
      </c>
      <c r="C29" s="9" t="s">
        <v>499</v>
      </c>
      <c r="D29" s="8" t="s">
        <v>548</v>
      </c>
      <c r="E29" s="23">
        <v>0</v>
      </c>
      <c r="F29" s="8"/>
      <c r="G29" s="23">
        <v>0</v>
      </c>
      <c r="H29" s="8"/>
      <c r="I29" s="23">
        <v>0</v>
      </c>
      <c r="J29" s="8"/>
      <c r="K29" s="23">
        <v>0</v>
      </c>
      <c r="L29" s="8"/>
      <c r="M29" s="23">
        <v>0</v>
      </c>
      <c r="N29" s="8"/>
      <c r="O29" s="23">
        <v>0</v>
      </c>
      <c r="P29" s="24"/>
      <c r="Q29" s="14" t="s">
        <v>546</v>
      </c>
      <c r="R29" s="16" t="s">
        <v>550</v>
      </c>
      <c r="S29" s="19" t="str">
        <f ca="1">HYPERLINK("#"&amp;재료비목록표!G2&amp;"!A"&amp;ROW(재료비목록표!A28),"자재   25 →")</f>
        <v>자재   25 →</v>
      </c>
      <c r="T29" s="37">
        <v>0</v>
      </c>
      <c r="U29" s="38" t="str">
        <f t="shared" si="0"/>
        <v/>
      </c>
      <c r="V29" s="39">
        <f t="shared" si="1"/>
        <v>0</v>
      </c>
      <c r="W29" s="40" t="str">
        <f t="shared" si="2"/>
        <v/>
      </c>
    </row>
    <row r="30" spans="1:23" ht="34.700000000000003" customHeight="1" x14ac:dyDescent="0.3">
      <c r="A30" s="8" t="s">
        <v>551</v>
      </c>
      <c r="B30" s="9" t="s">
        <v>552</v>
      </c>
      <c r="C30" s="9" t="s">
        <v>553</v>
      </c>
      <c r="D30" s="8" t="s">
        <v>474</v>
      </c>
      <c r="E30" s="23">
        <v>157000</v>
      </c>
      <c r="F30" s="8"/>
      <c r="G30" s="23">
        <v>0</v>
      </c>
      <c r="H30" s="8"/>
      <c r="I30" s="23">
        <v>0</v>
      </c>
      <c r="J30" s="8"/>
      <c r="K30" s="23">
        <v>0</v>
      </c>
      <c r="L30" s="8"/>
      <c r="M30" s="23">
        <v>0</v>
      </c>
      <c r="N30" s="8"/>
      <c r="O30" s="23">
        <v>157000</v>
      </c>
      <c r="P30" s="24" t="s">
        <v>783</v>
      </c>
      <c r="Q30" s="14" t="s">
        <v>551</v>
      </c>
      <c r="R30" s="16" t="s">
        <v>555</v>
      </c>
      <c r="S30" s="19" t="str">
        <f ca="1">HYPERLINK("#"&amp;재료비목록표!G2&amp;"!A"&amp;ROW(재료비목록표!A29),"자재   26 →")</f>
        <v>자재   26 →</v>
      </c>
      <c r="T30" s="37">
        <v>157000</v>
      </c>
      <c r="U30" s="38">
        <f t="shared" si="0"/>
        <v>1</v>
      </c>
      <c r="V30" s="39">
        <f t="shared" si="1"/>
        <v>157000</v>
      </c>
      <c r="W30" s="40" t="str">
        <f t="shared" si="2"/>
        <v>조달</v>
      </c>
    </row>
    <row r="31" spans="1:23" ht="34.700000000000003" customHeight="1" x14ac:dyDescent="0.3">
      <c r="A31" s="8" t="s">
        <v>556</v>
      </c>
      <c r="B31" s="9" t="s">
        <v>557</v>
      </c>
      <c r="C31" s="9" t="s">
        <v>558</v>
      </c>
      <c r="D31" s="8" t="s">
        <v>480</v>
      </c>
      <c r="E31" s="23">
        <v>0</v>
      </c>
      <c r="F31" s="8"/>
      <c r="G31" s="23">
        <v>0</v>
      </c>
      <c r="H31" s="8"/>
      <c r="I31" s="23">
        <v>0</v>
      </c>
      <c r="J31" s="8"/>
      <c r="K31" s="23">
        <v>0</v>
      </c>
      <c r="L31" s="8"/>
      <c r="M31" s="23">
        <v>0</v>
      </c>
      <c r="N31" s="8"/>
      <c r="O31" s="23">
        <v>0</v>
      </c>
      <c r="P31" s="24"/>
      <c r="Q31" s="14" t="s">
        <v>556</v>
      </c>
      <c r="R31" s="16" t="s">
        <v>560</v>
      </c>
      <c r="S31" s="19" t="str">
        <f ca="1">HYPERLINK("#"&amp;재료비목록표!G2&amp;"!A"&amp;ROW(재료비목록표!A30),"자재   27 →")</f>
        <v>자재   27 →</v>
      </c>
      <c r="T31" s="37">
        <v>0</v>
      </c>
      <c r="U31" s="38" t="str">
        <f t="shared" si="0"/>
        <v/>
      </c>
      <c r="V31" s="39">
        <f t="shared" si="1"/>
        <v>0</v>
      </c>
      <c r="W31" s="40" t="str">
        <f t="shared" si="2"/>
        <v/>
      </c>
    </row>
    <row r="32" spans="1:23" ht="34.700000000000003" customHeight="1" x14ac:dyDescent="0.3">
      <c r="A32" s="8" t="s">
        <v>561</v>
      </c>
      <c r="B32" s="9" t="s">
        <v>562</v>
      </c>
      <c r="C32" s="9" t="s">
        <v>563</v>
      </c>
      <c r="D32" s="8" t="s">
        <v>36</v>
      </c>
      <c r="E32" s="23">
        <v>0</v>
      </c>
      <c r="F32" s="8"/>
      <c r="G32" s="23">
        <v>0</v>
      </c>
      <c r="H32" s="8"/>
      <c r="I32" s="23">
        <v>0</v>
      </c>
      <c r="J32" s="8"/>
      <c r="K32" s="23">
        <v>0</v>
      </c>
      <c r="L32" s="8"/>
      <c r="M32" s="23">
        <v>520000</v>
      </c>
      <c r="N32" s="8"/>
      <c r="O32" s="23">
        <v>520000</v>
      </c>
      <c r="P32" s="24" t="s">
        <v>787</v>
      </c>
      <c r="Q32" s="14" t="s">
        <v>561</v>
      </c>
      <c r="R32" s="16" t="s">
        <v>565</v>
      </c>
      <c r="S32" s="19" t="str">
        <f ca="1">HYPERLINK("#"&amp;재료비목록표!G2&amp;"!A"&amp;ROW(재료비목록표!A31),"자재   28 →")</f>
        <v>자재   28 →</v>
      </c>
      <c r="T32" s="37">
        <v>520000</v>
      </c>
      <c r="U32" s="38">
        <f t="shared" si="0"/>
        <v>5</v>
      </c>
      <c r="V32" s="39">
        <f t="shared" si="1"/>
        <v>520000</v>
      </c>
      <c r="W32" s="40" t="str">
        <f t="shared" si="2"/>
        <v>견적</v>
      </c>
    </row>
    <row r="33" spans="1:23" ht="34.700000000000003" customHeight="1" x14ac:dyDescent="0.3">
      <c r="A33" s="8" t="s">
        <v>566</v>
      </c>
      <c r="B33" s="9" t="s">
        <v>547</v>
      </c>
      <c r="C33" s="9" t="s">
        <v>567</v>
      </c>
      <c r="D33" s="8" t="s">
        <v>229</v>
      </c>
      <c r="E33" s="23">
        <v>0</v>
      </c>
      <c r="F33" s="8"/>
      <c r="G33" s="23">
        <v>0</v>
      </c>
      <c r="H33" s="8"/>
      <c r="I33" s="23">
        <v>0</v>
      </c>
      <c r="J33" s="8"/>
      <c r="K33" s="23">
        <v>0</v>
      </c>
      <c r="L33" s="8"/>
      <c r="M33" s="23">
        <v>44000</v>
      </c>
      <c r="N33" s="8"/>
      <c r="O33" s="23">
        <v>44000</v>
      </c>
      <c r="P33" s="24" t="s">
        <v>787</v>
      </c>
      <c r="Q33" s="14" t="s">
        <v>566</v>
      </c>
      <c r="R33" s="16" t="s">
        <v>569</v>
      </c>
      <c r="S33" s="19" t="str">
        <f ca="1">HYPERLINK("#"&amp;재료비목록표!G2&amp;"!A"&amp;ROW(재료비목록표!A32),"자재   29 →")</f>
        <v>자재   29 →</v>
      </c>
      <c r="T33" s="37">
        <v>44000</v>
      </c>
      <c r="U33" s="38">
        <f t="shared" si="0"/>
        <v>5</v>
      </c>
      <c r="V33" s="39">
        <f t="shared" si="1"/>
        <v>44000</v>
      </c>
      <c r="W33" s="40" t="str">
        <f t="shared" si="2"/>
        <v>견적</v>
      </c>
    </row>
    <row r="34" spans="1:23" ht="34.700000000000003" customHeight="1" x14ac:dyDescent="0.3">
      <c r="A34" s="8" t="s">
        <v>570</v>
      </c>
      <c r="B34" s="9" t="s">
        <v>552</v>
      </c>
      <c r="C34" s="9" t="s">
        <v>571</v>
      </c>
      <c r="D34" s="8" t="s">
        <v>474</v>
      </c>
      <c r="E34" s="23">
        <v>196270</v>
      </c>
      <c r="F34" s="8"/>
      <c r="G34" s="23">
        <v>0</v>
      </c>
      <c r="H34" s="8"/>
      <c r="I34" s="23">
        <v>0</v>
      </c>
      <c r="J34" s="8"/>
      <c r="K34" s="23">
        <v>0</v>
      </c>
      <c r="L34" s="8"/>
      <c r="M34" s="23">
        <v>0</v>
      </c>
      <c r="N34" s="8"/>
      <c r="O34" s="23">
        <v>196270</v>
      </c>
      <c r="P34" s="24" t="s">
        <v>783</v>
      </c>
      <c r="Q34" s="14" t="s">
        <v>570</v>
      </c>
      <c r="R34" s="16" t="s">
        <v>573</v>
      </c>
      <c r="S34" s="19" t="str">
        <f ca="1">HYPERLINK("#"&amp;재료비목록표!G2&amp;"!A"&amp;ROW(재료비목록표!A33),"자재   30 →")</f>
        <v>자재   30 →</v>
      </c>
      <c r="T34" s="37">
        <v>196270</v>
      </c>
      <c r="U34" s="38">
        <f t="shared" si="0"/>
        <v>1</v>
      </c>
      <c r="V34" s="39">
        <f t="shared" si="1"/>
        <v>196270</v>
      </c>
      <c r="W34" s="40" t="str">
        <f t="shared" si="2"/>
        <v>조달</v>
      </c>
    </row>
    <row r="35" spans="1:23" ht="34.700000000000003" customHeight="1" x14ac:dyDescent="0.3">
      <c r="A35" s="8" t="s">
        <v>574</v>
      </c>
      <c r="B35" s="9" t="s">
        <v>575</v>
      </c>
      <c r="C35" s="9" t="s">
        <v>576</v>
      </c>
      <c r="D35" s="8" t="s">
        <v>474</v>
      </c>
      <c r="E35" s="23">
        <v>0</v>
      </c>
      <c r="F35" s="8"/>
      <c r="G35" s="23">
        <v>0</v>
      </c>
      <c r="H35" s="8"/>
      <c r="I35" s="23">
        <v>0</v>
      </c>
      <c r="J35" s="8"/>
      <c r="K35" s="23">
        <v>0</v>
      </c>
      <c r="L35" s="8"/>
      <c r="M35" s="23">
        <v>142</v>
      </c>
      <c r="N35" s="8" t="s">
        <v>572</v>
      </c>
      <c r="O35" s="23">
        <v>142</v>
      </c>
      <c r="P35" s="24" t="s">
        <v>787</v>
      </c>
      <c r="Q35" s="14" t="s">
        <v>574</v>
      </c>
      <c r="R35" s="16" t="s">
        <v>578</v>
      </c>
      <c r="S35" s="19" t="str">
        <f ca="1">HYPERLINK("#"&amp;재료비목록표!G2&amp;"!A"&amp;ROW(재료비목록표!A34),"자재   31 →")</f>
        <v>자재   31 →</v>
      </c>
      <c r="T35" s="37">
        <v>142</v>
      </c>
      <c r="U35" s="38">
        <f t="shared" si="0"/>
        <v>5</v>
      </c>
      <c r="V35" s="39">
        <f t="shared" si="1"/>
        <v>142</v>
      </c>
      <c r="W35" s="40" t="str">
        <f t="shared" si="2"/>
        <v>견적</v>
      </c>
    </row>
    <row r="36" spans="1:23" ht="34.700000000000003" customHeight="1" x14ac:dyDescent="0.3">
      <c r="A36" s="8" t="s">
        <v>579</v>
      </c>
      <c r="B36" s="9" t="s">
        <v>513</v>
      </c>
      <c r="C36" s="9" t="s">
        <v>580</v>
      </c>
      <c r="D36" s="8" t="s">
        <v>509</v>
      </c>
      <c r="E36" s="23">
        <v>0</v>
      </c>
      <c r="F36" s="8"/>
      <c r="G36" s="23">
        <v>24000</v>
      </c>
      <c r="H36" s="8" t="s">
        <v>504</v>
      </c>
      <c r="I36" s="23">
        <v>21000</v>
      </c>
      <c r="J36" s="8" t="s">
        <v>500</v>
      </c>
      <c r="K36" s="23">
        <v>0</v>
      </c>
      <c r="L36" s="8"/>
      <c r="M36" s="23">
        <v>0</v>
      </c>
      <c r="N36" s="8"/>
      <c r="O36" s="23">
        <v>21000</v>
      </c>
      <c r="P36" s="24" t="s">
        <v>785</v>
      </c>
      <c r="Q36" s="14" t="s">
        <v>579</v>
      </c>
      <c r="R36" s="16" t="s">
        <v>582</v>
      </c>
      <c r="S36" s="19" t="str">
        <f ca="1">HYPERLINK("#"&amp;재료비목록표!G2&amp;"!A"&amp;ROW(재료비목록표!A35),"자재   32 →")</f>
        <v>자재   32 →</v>
      </c>
      <c r="T36" s="37">
        <v>21000</v>
      </c>
      <c r="U36" s="38">
        <f t="shared" si="0"/>
        <v>3</v>
      </c>
      <c r="V36" s="39">
        <f t="shared" si="1"/>
        <v>21000</v>
      </c>
      <c r="W36" s="40" t="str">
        <f t="shared" si="2"/>
        <v>물자</v>
      </c>
    </row>
    <row r="37" spans="1:23" ht="34.700000000000003" customHeight="1" x14ac:dyDescent="0.3">
      <c r="A37" s="8" t="s">
        <v>583</v>
      </c>
      <c r="B37" s="9" t="s">
        <v>584</v>
      </c>
      <c r="C37" s="9" t="s">
        <v>585</v>
      </c>
      <c r="D37" s="8" t="s">
        <v>42</v>
      </c>
      <c r="E37" s="23">
        <v>4490</v>
      </c>
      <c r="F37" s="8"/>
      <c r="G37" s="23">
        <v>0</v>
      </c>
      <c r="H37" s="8"/>
      <c r="I37" s="23">
        <v>0</v>
      </c>
      <c r="J37" s="8"/>
      <c r="K37" s="23">
        <v>0</v>
      </c>
      <c r="L37" s="8"/>
      <c r="M37" s="23">
        <v>0</v>
      </c>
      <c r="N37" s="8"/>
      <c r="O37" s="23">
        <v>4490</v>
      </c>
      <c r="P37" s="24" t="s">
        <v>783</v>
      </c>
      <c r="Q37" s="14" t="s">
        <v>583</v>
      </c>
      <c r="R37" s="16" t="s">
        <v>587</v>
      </c>
      <c r="S37" s="19" t="str">
        <f ca="1">HYPERLINK("#"&amp;재료비목록표!G2&amp;"!A"&amp;ROW(재료비목록표!A36),"자재   33 →")</f>
        <v>자재   33 →</v>
      </c>
      <c r="T37" s="37">
        <v>4490</v>
      </c>
      <c r="U37" s="38">
        <f t="shared" si="0"/>
        <v>1</v>
      </c>
      <c r="V37" s="39">
        <f t="shared" si="1"/>
        <v>4490</v>
      </c>
      <c r="W37" s="40" t="str">
        <f t="shared" si="2"/>
        <v>조달</v>
      </c>
    </row>
    <row r="38" spans="1:23" ht="34.700000000000003" customHeight="1" x14ac:dyDescent="0.3">
      <c r="A38" s="8" t="s">
        <v>588</v>
      </c>
      <c r="B38" s="9" t="s">
        <v>589</v>
      </c>
      <c r="C38" s="9" t="s">
        <v>499</v>
      </c>
      <c r="D38" s="8" t="s">
        <v>442</v>
      </c>
      <c r="E38" s="23">
        <v>0</v>
      </c>
      <c r="F38" s="8"/>
      <c r="G38" s="23">
        <v>0</v>
      </c>
      <c r="H38" s="8"/>
      <c r="I38" s="23">
        <v>0</v>
      </c>
      <c r="J38" s="8"/>
      <c r="K38" s="23">
        <v>0</v>
      </c>
      <c r="L38" s="8"/>
      <c r="M38" s="23">
        <v>0</v>
      </c>
      <c r="N38" s="8"/>
      <c r="O38" s="23">
        <v>0</v>
      </c>
      <c r="P38" s="24"/>
      <c r="Q38" s="14" t="s">
        <v>588</v>
      </c>
      <c r="R38" s="16" t="s">
        <v>591</v>
      </c>
      <c r="S38" s="19" t="str">
        <f ca="1">HYPERLINK("#"&amp;재료비목록표!G2&amp;"!A"&amp;ROW(재료비목록표!A37),"자재   34 →")</f>
        <v>자재   34 →</v>
      </c>
      <c r="T38" s="37">
        <v>0</v>
      </c>
      <c r="U38" s="38" t="str">
        <f t="shared" si="0"/>
        <v/>
      </c>
      <c r="V38" s="39">
        <f t="shared" si="1"/>
        <v>0</v>
      </c>
      <c r="W38" s="40" t="str">
        <f t="shared" si="2"/>
        <v/>
      </c>
    </row>
    <row r="39" spans="1:23" ht="34.700000000000003" customHeight="1" x14ac:dyDescent="0.3">
      <c r="A39" s="8" t="s">
        <v>592</v>
      </c>
      <c r="B39" s="9" t="s">
        <v>593</v>
      </c>
      <c r="C39" s="9" t="s">
        <v>594</v>
      </c>
      <c r="D39" s="8" t="s">
        <v>448</v>
      </c>
      <c r="E39" s="23">
        <v>0</v>
      </c>
      <c r="F39" s="8"/>
      <c r="G39" s="23">
        <v>2380</v>
      </c>
      <c r="H39" s="8" t="s">
        <v>443</v>
      </c>
      <c r="I39" s="23">
        <v>1710</v>
      </c>
      <c r="J39" s="8" t="s">
        <v>590</v>
      </c>
      <c r="K39" s="23">
        <v>0</v>
      </c>
      <c r="L39" s="8"/>
      <c r="M39" s="23">
        <v>0</v>
      </c>
      <c r="N39" s="8"/>
      <c r="O39" s="23">
        <v>1710</v>
      </c>
      <c r="P39" s="24" t="s">
        <v>785</v>
      </c>
      <c r="Q39" s="14" t="s">
        <v>592</v>
      </c>
      <c r="R39" s="16" t="s">
        <v>596</v>
      </c>
      <c r="S39" s="19" t="str">
        <f ca="1">HYPERLINK("#"&amp;재료비목록표!G2&amp;"!A"&amp;ROW(재료비목록표!A38),"자재   35 →")</f>
        <v>자재   35 →</v>
      </c>
      <c r="T39" s="37">
        <v>1710</v>
      </c>
      <c r="U39" s="38">
        <f t="shared" si="0"/>
        <v>3</v>
      </c>
      <c r="V39" s="39">
        <f t="shared" si="1"/>
        <v>1710</v>
      </c>
      <c r="W39" s="40" t="str">
        <f t="shared" si="2"/>
        <v>물자</v>
      </c>
    </row>
    <row r="40" spans="1:23" ht="34.700000000000003" customHeight="1" x14ac:dyDescent="0.3">
      <c r="A40" s="8" t="s">
        <v>597</v>
      </c>
      <c r="B40" s="9" t="s">
        <v>598</v>
      </c>
      <c r="C40" s="9" t="s">
        <v>599</v>
      </c>
      <c r="D40" s="8" t="s">
        <v>600</v>
      </c>
      <c r="E40" s="23">
        <v>900854</v>
      </c>
      <c r="F40" s="8"/>
      <c r="G40" s="23">
        <v>0</v>
      </c>
      <c r="H40" s="8"/>
      <c r="I40" s="23">
        <v>0</v>
      </c>
      <c r="J40" s="8"/>
      <c r="K40" s="23">
        <v>0</v>
      </c>
      <c r="L40" s="8"/>
      <c r="M40" s="23">
        <v>0</v>
      </c>
      <c r="N40" s="8"/>
      <c r="O40" s="23">
        <v>900854</v>
      </c>
      <c r="P40" s="24" t="s">
        <v>783</v>
      </c>
      <c r="Q40" s="14" t="s">
        <v>597</v>
      </c>
      <c r="R40" s="16" t="s">
        <v>602</v>
      </c>
      <c r="S40" s="19" t="str">
        <f ca="1">HYPERLINK("#"&amp;재료비목록표!G2&amp;"!A"&amp;ROW(재료비목록표!A39),"자재   36 →")</f>
        <v>자재   36 →</v>
      </c>
      <c r="T40" s="37">
        <v>900854</v>
      </c>
      <c r="U40" s="38">
        <f t="shared" si="0"/>
        <v>1</v>
      </c>
      <c r="V40" s="39">
        <f t="shared" si="1"/>
        <v>900854</v>
      </c>
      <c r="W40" s="40" t="str">
        <f t="shared" si="2"/>
        <v>조달</v>
      </c>
    </row>
    <row r="41" spans="1:23" ht="34.700000000000003" customHeight="1" x14ac:dyDescent="0.3">
      <c r="A41" s="8" t="s">
        <v>603</v>
      </c>
      <c r="B41" s="9" t="s">
        <v>604</v>
      </c>
      <c r="C41" s="9" t="s">
        <v>605</v>
      </c>
      <c r="D41" s="8" t="s">
        <v>458</v>
      </c>
      <c r="E41" s="23">
        <v>21200</v>
      </c>
      <c r="F41" s="8"/>
      <c r="G41" s="23">
        <v>0</v>
      </c>
      <c r="H41" s="8"/>
      <c r="I41" s="23">
        <v>0</v>
      </c>
      <c r="J41" s="8"/>
      <c r="K41" s="23">
        <v>0</v>
      </c>
      <c r="L41" s="8"/>
      <c r="M41" s="23">
        <v>0</v>
      </c>
      <c r="N41" s="8"/>
      <c r="O41" s="23">
        <v>21200</v>
      </c>
      <c r="P41" s="24" t="s">
        <v>783</v>
      </c>
      <c r="Q41" s="14" t="s">
        <v>603</v>
      </c>
      <c r="R41" s="16" t="s">
        <v>607</v>
      </c>
      <c r="S41" s="19" t="str">
        <f ca="1">HYPERLINK("#"&amp;재료비목록표!G2&amp;"!A"&amp;ROW(재료비목록표!A40),"자재   37 →")</f>
        <v>자재   37 →</v>
      </c>
      <c r="T41" s="37">
        <v>21200</v>
      </c>
      <c r="U41" s="38">
        <f t="shared" si="0"/>
        <v>1</v>
      </c>
      <c r="V41" s="39">
        <f t="shared" si="1"/>
        <v>21200</v>
      </c>
      <c r="W41" s="40" t="str">
        <f t="shared" si="2"/>
        <v>조달</v>
      </c>
    </row>
    <row r="42" spans="1:23" ht="34.700000000000003" customHeight="1" x14ac:dyDescent="0.3">
      <c r="A42" s="8" t="s">
        <v>608</v>
      </c>
      <c r="B42" s="9" t="s">
        <v>604</v>
      </c>
      <c r="C42" s="9" t="s">
        <v>609</v>
      </c>
      <c r="D42" s="8" t="s">
        <v>458</v>
      </c>
      <c r="E42" s="23">
        <v>32200</v>
      </c>
      <c r="F42" s="8"/>
      <c r="G42" s="23">
        <v>0</v>
      </c>
      <c r="H42" s="8"/>
      <c r="I42" s="23">
        <v>0</v>
      </c>
      <c r="J42" s="8"/>
      <c r="K42" s="23">
        <v>0</v>
      </c>
      <c r="L42" s="8"/>
      <c r="M42" s="23">
        <v>0</v>
      </c>
      <c r="N42" s="8"/>
      <c r="O42" s="23">
        <v>32200</v>
      </c>
      <c r="P42" s="24" t="s">
        <v>783</v>
      </c>
      <c r="Q42" s="14" t="s">
        <v>608</v>
      </c>
      <c r="R42" s="16" t="s">
        <v>611</v>
      </c>
      <c r="S42" s="19" t="str">
        <f ca="1">HYPERLINK("#"&amp;재료비목록표!G2&amp;"!A"&amp;ROW(재료비목록표!A41),"자재   38 →")</f>
        <v>자재   38 →</v>
      </c>
      <c r="T42" s="37">
        <v>32200</v>
      </c>
      <c r="U42" s="38">
        <f t="shared" si="0"/>
        <v>1</v>
      </c>
      <c r="V42" s="39">
        <f t="shared" si="1"/>
        <v>32200</v>
      </c>
      <c r="W42" s="40" t="str">
        <f t="shared" si="2"/>
        <v>조달</v>
      </c>
    </row>
    <row r="43" spans="1:23" ht="34.700000000000003" customHeight="1" x14ac:dyDescent="0.3">
      <c r="A43" s="8" t="s">
        <v>612</v>
      </c>
      <c r="B43" s="9" t="s">
        <v>435</v>
      </c>
      <c r="C43" s="9" t="s">
        <v>613</v>
      </c>
      <c r="D43" s="8" t="s">
        <v>431</v>
      </c>
      <c r="E43" s="23">
        <v>0</v>
      </c>
      <c r="F43" s="8"/>
      <c r="G43" s="23">
        <v>0</v>
      </c>
      <c r="H43" s="8"/>
      <c r="I43" s="23">
        <v>0</v>
      </c>
      <c r="J43" s="8"/>
      <c r="K43" s="23">
        <v>0</v>
      </c>
      <c r="L43" s="8"/>
      <c r="M43" s="23">
        <v>0</v>
      </c>
      <c r="N43" s="8"/>
      <c r="O43" s="23">
        <v>1273</v>
      </c>
      <c r="P43" s="24"/>
      <c r="Q43" s="14" t="s">
        <v>612</v>
      </c>
      <c r="R43" s="16" t="s">
        <v>615</v>
      </c>
      <c r="S43" s="19" t="str">
        <f ca="1">HYPERLINK("#"&amp;재료비목록표!G2&amp;"!A"&amp;ROW(재료비목록표!A42),"자재   39 →")</f>
        <v>자재   39 →</v>
      </c>
      <c r="T43" s="37">
        <v>1273</v>
      </c>
      <c r="U43" s="38" t="str">
        <f t="shared" si="0"/>
        <v/>
      </c>
      <c r="V43" s="39">
        <f t="shared" si="1"/>
        <v>1273</v>
      </c>
      <c r="W43" s="40" t="str">
        <f t="shared" si="2"/>
        <v/>
      </c>
    </row>
    <row r="44" spans="1:23" ht="34.700000000000003" customHeight="1" x14ac:dyDescent="0.3">
      <c r="A44" s="8" t="s">
        <v>616</v>
      </c>
      <c r="B44" s="9" t="s">
        <v>617</v>
      </c>
      <c r="C44" s="9" t="s">
        <v>499</v>
      </c>
      <c r="D44" s="8" t="s">
        <v>42</v>
      </c>
      <c r="E44" s="23">
        <v>0</v>
      </c>
      <c r="F44" s="8"/>
      <c r="G44" s="23">
        <v>0</v>
      </c>
      <c r="H44" s="8"/>
      <c r="I44" s="23">
        <v>0</v>
      </c>
      <c r="J44" s="8"/>
      <c r="K44" s="23">
        <v>0</v>
      </c>
      <c r="L44" s="8"/>
      <c r="M44" s="23">
        <v>0</v>
      </c>
      <c r="N44" s="8"/>
      <c r="O44" s="23">
        <v>0</v>
      </c>
      <c r="P44" s="24"/>
      <c r="Q44" s="14" t="s">
        <v>616</v>
      </c>
      <c r="R44" s="16" t="s">
        <v>619</v>
      </c>
      <c r="S44" s="19" t="str">
        <f ca="1">HYPERLINK("#"&amp;재료비목록표!G2&amp;"!A"&amp;ROW(재료비목록표!A43),"자재   40 →")</f>
        <v>자재   40 →</v>
      </c>
      <c r="T44" s="37">
        <v>0</v>
      </c>
      <c r="U44" s="38" t="str">
        <f t="shared" si="0"/>
        <v/>
      </c>
      <c r="V44" s="39">
        <f t="shared" si="1"/>
        <v>0</v>
      </c>
      <c r="W44" s="40" t="str">
        <f t="shared" si="2"/>
        <v/>
      </c>
    </row>
    <row r="45" spans="1:23" ht="34.700000000000003" customHeight="1" x14ac:dyDescent="0.3">
      <c r="A45" s="8" t="s">
        <v>620</v>
      </c>
      <c r="B45" s="9" t="s">
        <v>621</v>
      </c>
      <c r="C45" s="9" t="s">
        <v>499</v>
      </c>
      <c r="D45" s="8" t="s">
        <v>474</v>
      </c>
      <c r="E45" s="23">
        <v>0</v>
      </c>
      <c r="F45" s="8"/>
      <c r="G45" s="23">
        <v>0</v>
      </c>
      <c r="H45" s="8"/>
      <c r="I45" s="23">
        <v>0</v>
      </c>
      <c r="J45" s="8"/>
      <c r="K45" s="23">
        <v>0</v>
      </c>
      <c r="L45" s="8"/>
      <c r="M45" s="23">
        <v>0</v>
      </c>
      <c r="N45" s="8"/>
      <c r="O45" s="23">
        <v>0</v>
      </c>
      <c r="P45" s="24"/>
      <c r="Q45" s="14" t="s">
        <v>620</v>
      </c>
      <c r="R45" s="16" t="s">
        <v>623</v>
      </c>
      <c r="S45" s="19" t="str">
        <f ca="1">HYPERLINK("#"&amp;재료비목록표!G2&amp;"!A"&amp;ROW(재료비목록표!A44),"자재   41 →")</f>
        <v>자재   41 →</v>
      </c>
      <c r="T45" s="37">
        <v>0</v>
      </c>
      <c r="U45" s="38" t="str">
        <f t="shared" si="0"/>
        <v/>
      </c>
      <c r="V45" s="39">
        <f t="shared" si="1"/>
        <v>0</v>
      </c>
      <c r="W45" s="40" t="str">
        <f t="shared" si="2"/>
        <v/>
      </c>
    </row>
    <row r="46" spans="1:23" ht="34.700000000000003" customHeight="1" x14ac:dyDescent="0.3">
      <c r="A46" s="8" t="s">
        <v>624</v>
      </c>
      <c r="B46" s="9" t="s">
        <v>625</v>
      </c>
      <c r="C46" s="9" t="s">
        <v>626</v>
      </c>
      <c r="D46" s="8" t="s">
        <v>480</v>
      </c>
      <c r="E46" s="23">
        <v>0</v>
      </c>
      <c r="F46" s="8"/>
      <c r="G46" s="23">
        <v>0</v>
      </c>
      <c r="H46" s="8"/>
      <c r="I46" s="23">
        <v>0</v>
      </c>
      <c r="J46" s="8"/>
      <c r="K46" s="23">
        <v>0</v>
      </c>
      <c r="L46" s="8"/>
      <c r="M46" s="23">
        <v>0</v>
      </c>
      <c r="N46" s="8"/>
      <c r="O46" s="23">
        <v>0</v>
      </c>
      <c r="P46" s="24"/>
      <c r="Q46" s="14" t="s">
        <v>624</v>
      </c>
      <c r="R46" s="16" t="s">
        <v>627</v>
      </c>
      <c r="S46" s="19" t="str">
        <f ca="1">HYPERLINK("#"&amp;재료비목록표!G2&amp;"!A"&amp;ROW(재료비목록표!A45),"자재   42 →")</f>
        <v>자재   42 →</v>
      </c>
      <c r="T46" s="37">
        <v>0</v>
      </c>
      <c r="U46" s="38" t="str">
        <f t="shared" si="0"/>
        <v/>
      </c>
      <c r="V46" s="39">
        <f t="shared" si="1"/>
        <v>0</v>
      </c>
      <c r="W46" s="40" t="str">
        <f t="shared" si="2"/>
        <v/>
      </c>
    </row>
    <row r="47" spans="1:23" ht="34.700000000000003" customHeight="1" x14ac:dyDescent="0.3">
      <c r="A47" s="8" t="s">
        <v>628</v>
      </c>
      <c r="B47" s="9" t="s">
        <v>629</v>
      </c>
      <c r="C47" s="9" t="s">
        <v>499</v>
      </c>
      <c r="D47" s="8" t="s">
        <v>42</v>
      </c>
      <c r="E47" s="23">
        <v>0</v>
      </c>
      <c r="F47" s="8"/>
      <c r="G47" s="23">
        <v>0</v>
      </c>
      <c r="H47" s="8"/>
      <c r="I47" s="23">
        <v>0</v>
      </c>
      <c r="J47" s="8"/>
      <c r="K47" s="23">
        <v>0</v>
      </c>
      <c r="L47" s="8"/>
      <c r="M47" s="23">
        <v>0</v>
      </c>
      <c r="N47" s="8"/>
      <c r="O47" s="23">
        <v>0</v>
      </c>
      <c r="P47" s="24"/>
      <c r="Q47" s="14" t="s">
        <v>628</v>
      </c>
      <c r="R47" s="16" t="s">
        <v>631</v>
      </c>
      <c r="S47" s="19" t="str">
        <f ca="1">HYPERLINK("#"&amp;재료비목록표!G2&amp;"!A"&amp;ROW(재료비목록표!A46),"자재   43 →")</f>
        <v>자재   43 →</v>
      </c>
      <c r="T47" s="37">
        <v>0</v>
      </c>
      <c r="U47" s="38" t="str">
        <f t="shared" si="0"/>
        <v/>
      </c>
      <c r="V47" s="39">
        <f t="shared" si="1"/>
        <v>0</v>
      </c>
      <c r="W47" s="40" t="str">
        <f t="shared" si="2"/>
        <v/>
      </c>
    </row>
    <row r="48" spans="1:23" ht="34.700000000000003" customHeight="1" x14ac:dyDescent="0.3">
      <c r="A48" s="8" t="s">
        <v>632</v>
      </c>
      <c r="B48" s="9" t="s">
        <v>633</v>
      </c>
      <c r="C48" s="9" t="s">
        <v>634</v>
      </c>
      <c r="D48" s="8" t="s">
        <v>442</v>
      </c>
      <c r="E48" s="23">
        <v>102970</v>
      </c>
      <c r="F48" s="8"/>
      <c r="G48" s="23">
        <v>0</v>
      </c>
      <c r="H48" s="8"/>
      <c r="I48" s="23">
        <v>0</v>
      </c>
      <c r="J48" s="8"/>
      <c r="K48" s="23">
        <v>0</v>
      </c>
      <c r="L48" s="8"/>
      <c r="M48" s="23">
        <v>0</v>
      </c>
      <c r="N48" s="8"/>
      <c r="O48" s="23">
        <v>102970</v>
      </c>
      <c r="P48" s="24" t="s">
        <v>783</v>
      </c>
      <c r="Q48" s="14" t="s">
        <v>632</v>
      </c>
      <c r="R48" s="16" t="s">
        <v>636</v>
      </c>
      <c r="S48" s="19" t="str">
        <f ca="1">HYPERLINK("#"&amp;재료비목록표!G2&amp;"!A"&amp;ROW(재료비목록표!A47),"자재   44 →")</f>
        <v>자재   44 →</v>
      </c>
      <c r="T48" s="37">
        <v>102970</v>
      </c>
      <c r="U48" s="38">
        <f t="shared" si="0"/>
        <v>1</v>
      </c>
      <c r="V48" s="39">
        <f t="shared" si="1"/>
        <v>102970</v>
      </c>
      <c r="W48" s="40" t="str">
        <f t="shared" si="2"/>
        <v>조달</v>
      </c>
    </row>
    <row r="49" spans="1:23" ht="34.700000000000003" customHeight="1" x14ac:dyDescent="0.3">
      <c r="A49" s="8" t="s">
        <v>637</v>
      </c>
      <c r="B49" s="9" t="s">
        <v>552</v>
      </c>
      <c r="C49" s="9" t="s">
        <v>638</v>
      </c>
      <c r="D49" s="8" t="s">
        <v>474</v>
      </c>
      <c r="E49" s="23">
        <v>273370</v>
      </c>
      <c r="F49" s="8" t="s">
        <v>635</v>
      </c>
      <c r="G49" s="23">
        <v>0</v>
      </c>
      <c r="H49" s="8"/>
      <c r="I49" s="23">
        <v>0</v>
      </c>
      <c r="J49" s="8"/>
      <c r="K49" s="23">
        <v>0</v>
      </c>
      <c r="L49" s="8"/>
      <c r="M49" s="23">
        <v>0</v>
      </c>
      <c r="N49" s="8"/>
      <c r="O49" s="23">
        <v>273370</v>
      </c>
      <c r="P49" s="24" t="s">
        <v>783</v>
      </c>
      <c r="Q49" s="14" t="s">
        <v>637</v>
      </c>
      <c r="R49" s="16" t="s">
        <v>640</v>
      </c>
      <c r="S49" s="19" t="str">
        <f ca="1">HYPERLINK("#"&amp;재료비목록표!G2&amp;"!A"&amp;ROW(재료비목록표!A48),"자재   45 →")</f>
        <v>자재   45 →</v>
      </c>
      <c r="T49" s="37">
        <v>273370</v>
      </c>
      <c r="U49" s="38">
        <f t="shared" si="0"/>
        <v>1</v>
      </c>
      <c r="V49" s="39">
        <f t="shared" si="1"/>
        <v>273370</v>
      </c>
      <c r="W49" s="40" t="str">
        <f t="shared" si="2"/>
        <v>조달</v>
      </c>
    </row>
    <row r="50" spans="1:23" ht="34.700000000000003" customHeight="1" x14ac:dyDescent="0.3">
      <c r="A50" s="8" t="s">
        <v>641</v>
      </c>
      <c r="B50" s="9" t="s">
        <v>604</v>
      </c>
      <c r="C50" s="9" t="s">
        <v>642</v>
      </c>
      <c r="D50" s="8" t="s">
        <v>458</v>
      </c>
      <c r="E50" s="23">
        <v>40200</v>
      </c>
      <c r="F50" s="8"/>
      <c r="G50" s="23">
        <v>0</v>
      </c>
      <c r="H50" s="8"/>
      <c r="I50" s="23">
        <v>0</v>
      </c>
      <c r="J50" s="8"/>
      <c r="K50" s="23">
        <v>0</v>
      </c>
      <c r="L50" s="8"/>
      <c r="M50" s="23">
        <v>0</v>
      </c>
      <c r="N50" s="8"/>
      <c r="O50" s="23">
        <v>40200</v>
      </c>
      <c r="P50" s="24" t="s">
        <v>783</v>
      </c>
      <c r="Q50" s="14" t="s">
        <v>641</v>
      </c>
      <c r="R50" s="16" t="s">
        <v>644</v>
      </c>
      <c r="S50" s="19" t="str">
        <f ca="1">HYPERLINK("#"&amp;재료비목록표!G2&amp;"!A"&amp;ROW(재료비목록표!A49),"자재   46 →")</f>
        <v>자재   46 →</v>
      </c>
      <c r="T50" s="37">
        <v>40200</v>
      </c>
      <c r="U50" s="38">
        <f t="shared" si="0"/>
        <v>1</v>
      </c>
      <c r="V50" s="39">
        <f t="shared" si="1"/>
        <v>40200</v>
      </c>
      <c r="W50" s="40" t="str">
        <f t="shared" si="2"/>
        <v>조달</v>
      </c>
    </row>
  </sheetData>
  <mergeCells count="13">
    <mergeCell ref="O3:P3"/>
    <mergeCell ref="Q3:Q4"/>
    <mergeCell ref="U3:W3"/>
    <mergeCell ref="A1:Q1"/>
    <mergeCell ref="A3:A4"/>
    <mergeCell ref="B3:B4"/>
    <mergeCell ref="C3:C4"/>
    <mergeCell ref="D3:D4"/>
    <mergeCell ref="E3:F3"/>
    <mergeCell ref="G3:H3"/>
    <mergeCell ref="I3:J3"/>
    <mergeCell ref="K3:L3"/>
    <mergeCell ref="M3:N3"/>
  </mergeCells>
  <phoneticPr fontId="26" type="noConversion"/>
  <conditionalFormatting sqref="V5:V50">
    <cfRule type="expression" dxfId="0" priority="1" stopIfTrue="1">
      <formula>$O5&lt;&gt;$V5</formula>
    </cfRule>
  </conditionalFormatting>
  <hyperlinks>
    <hyperlink ref="S1" r:id="rId1" tooltip="설계예산시스템(STmate w24.04)으로 작성 하였으며,_x000a_엑셀 인쇄품질 600 dpi에 최적화 되어 있습니다._x000a_경영정보(주) http://www.stma.co.kr_x000a_Tel) 070-4350-0040_x000a_Fax) 0505-300-3948"/>
    <hyperlink ref="R1" r:id="rId2" tooltip="설계예산시스템(STmate w24.04)으로 작성 하였으며,_x000a_엑셀 인쇄품질 600 dpi에 최적화 되어 있습니다._x000a_경영정보(주) http://www.stma.co.kr_x000a_Tel) 070-4350-0040_x000a_Fax) 0505-300-3948"/>
  </hyperlinks>
  <printOptions horizontalCentered="1"/>
  <pageMargins left="0.78740157480314965" right="0.78740157480314965" top="0.59055118110236215" bottom="0.55118110236220474" header="0" footer="0.35433070866141736"/>
  <pageSetup paperSize="9" scale="61" fitToWidth="0" fitToHeight="0" orientation="landscape" r:id="rId3"/>
  <headerFooter alignWithMargins="0">
    <oddFooter xml:space="preserve">&amp;R&amp;"굴림체,"&amp;9 </oddFooter>
  </headerFooter>
  <legacyDrawing r:id="rId4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1"/>
  <sheetViews>
    <sheetView workbookViewId="0">
      <pane ySplit="3" topLeftCell="A4" activePane="bottomLeft" state="frozenSplit"/>
      <selection pane="bottomLeft" activeCell="A4" sqref="A4"/>
    </sheetView>
  </sheetViews>
  <sheetFormatPr defaultColWidth="9.125" defaultRowHeight="16.5" x14ac:dyDescent="0.3"/>
  <cols>
    <col min="1" max="1" width="10" style="5" customWidth="1"/>
    <col min="2" max="3" width="24.25" style="5" customWidth="1"/>
    <col min="4" max="4" width="10" style="5" customWidth="1"/>
    <col min="5" max="5" width="5.5" style="5" customWidth="1"/>
    <col min="6" max="6" width="10" style="5" customWidth="1"/>
    <col min="7" max="8" width="11.5" style="5" customWidth="1"/>
    <col min="9" max="9" width="9.125" style="5" hidden="1" customWidth="1"/>
    <col min="10" max="10" width="9.125" style="17" customWidth="1"/>
    <col min="11" max="16384" width="9.125" style="5"/>
  </cols>
  <sheetData>
    <row r="1" spans="1:10" ht="24.95" customHeight="1" x14ac:dyDescent="0.3">
      <c r="A1" s="145" t="s">
        <v>426</v>
      </c>
      <c r="B1" s="135"/>
      <c r="C1" s="135"/>
      <c r="D1" s="135"/>
      <c r="E1" s="135"/>
      <c r="F1" s="135"/>
      <c r="G1" s="135"/>
      <c r="H1" s="135"/>
      <c r="I1" s="4" t="s">
        <v>166</v>
      </c>
      <c r="J1" s="18" t="s">
        <v>166</v>
      </c>
    </row>
    <row r="2" spans="1:10" ht="21.75" customHeight="1" x14ac:dyDescent="0.3">
      <c r="A2" s="1" t="s">
        <v>1</v>
      </c>
      <c r="I2" s="21" t="str">
        <f ca="1">MID(CELL("filename",$A$1),FIND("]",CELL("filename",$A$1))+1,LEN(CELL("filename",$A$1)))</f>
        <v>재료비수량금액집계표</v>
      </c>
    </row>
    <row r="3" spans="1:10" ht="21.75" customHeight="1" x14ac:dyDescent="0.3">
      <c r="A3" s="7" t="s">
        <v>2</v>
      </c>
      <c r="B3" s="7" t="s">
        <v>3</v>
      </c>
      <c r="C3" s="7" t="s">
        <v>4</v>
      </c>
      <c r="D3" s="7" t="s">
        <v>630</v>
      </c>
      <c r="E3" s="7" t="s">
        <v>5</v>
      </c>
      <c r="F3" s="7" t="s">
        <v>428</v>
      </c>
      <c r="G3" s="7" t="s">
        <v>622</v>
      </c>
      <c r="H3" s="13" t="s">
        <v>10</v>
      </c>
      <c r="J3" s="19" t="str">
        <f>HYPERLINK("#'〓 목 차 〓'!B2","목차 →")</f>
        <v>목차 →</v>
      </c>
    </row>
    <row r="4" spans="1:10" ht="21.75" customHeight="1" x14ac:dyDescent="0.3">
      <c r="A4" s="8" t="s">
        <v>439</v>
      </c>
      <c r="B4" s="9" t="s">
        <v>440</v>
      </c>
      <c r="C4" s="9" t="s">
        <v>441</v>
      </c>
      <c r="D4" s="115">
        <v>0.56000000000000005</v>
      </c>
      <c r="E4" s="33" t="s">
        <v>442</v>
      </c>
      <c r="F4" s="35">
        <f>재료비목록표!E6</f>
        <v>500661</v>
      </c>
      <c r="G4" s="55">
        <f t="shared" ref="G4:G31" si="0">ROUND(D4*F4,0)</f>
        <v>280370</v>
      </c>
      <c r="H4" s="14" t="s">
        <v>439</v>
      </c>
      <c r="J4" s="19" t="str">
        <f ca="1">HYPERLINK("#"&amp;재료비목록표!G2&amp;"!A"&amp;ROW(재료비목록표!A6),"자재    3 →")</f>
        <v>자재    3 →</v>
      </c>
    </row>
    <row r="5" spans="1:10" ht="21.75" customHeight="1" x14ac:dyDescent="0.3">
      <c r="A5" s="8" t="s">
        <v>445</v>
      </c>
      <c r="B5" s="9" t="s">
        <v>446</v>
      </c>
      <c r="C5" s="9" t="s">
        <v>447</v>
      </c>
      <c r="D5" s="115">
        <v>3.54</v>
      </c>
      <c r="E5" s="33" t="s">
        <v>448</v>
      </c>
      <c r="F5" s="35">
        <f>재료비목록표!E7</f>
        <v>1503</v>
      </c>
      <c r="G5" s="55">
        <f t="shared" si="0"/>
        <v>5321</v>
      </c>
      <c r="H5" s="14" t="s">
        <v>445</v>
      </c>
      <c r="J5" s="19" t="str">
        <f ca="1">HYPERLINK("#"&amp;재료비목록표!G2&amp;"!A"&amp;ROW(재료비목록표!A7),"자재    4 →")</f>
        <v>자재    4 →</v>
      </c>
    </row>
    <row r="6" spans="1:10" ht="21.75" customHeight="1" x14ac:dyDescent="0.3">
      <c r="A6" s="8" t="s">
        <v>451</v>
      </c>
      <c r="B6" s="9" t="s">
        <v>452</v>
      </c>
      <c r="C6" s="9" t="s">
        <v>441</v>
      </c>
      <c r="D6" s="115">
        <v>0.7</v>
      </c>
      <c r="E6" s="33" t="s">
        <v>442</v>
      </c>
      <c r="F6" s="35">
        <f>재료비목록표!E8</f>
        <v>572185</v>
      </c>
      <c r="G6" s="55">
        <f t="shared" si="0"/>
        <v>400530</v>
      </c>
      <c r="H6" s="14" t="s">
        <v>451</v>
      </c>
      <c r="J6" s="19" t="str">
        <f ca="1">HYPERLINK("#"&amp;재료비목록표!G2&amp;"!A"&amp;ROW(재료비목록표!A8),"자재    5 →")</f>
        <v>자재    5 →</v>
      </c>
    </row>
    <row r="7" spans="1:10" ht="21.75" customHeight="1" x14ac:dyDescent="0.3">
      <c r="A7" s="8" t="s">
        <v>455</v>
      </c>
      <c r="B7" s="9" t="s">
        <v>456</v>
      </c>
      <c r="C7" s="9" t="s">
        <v>457</v>
      </c>
      <c r="D7" s="115">
        <v>519.48</v>
      </c>
      <c r="E7" s="33" t="s">
        <v>458</v>
      </c>
      <c r="F7" s="35">
        <f>재료비목록표!E9</f>
        <v>3920</v>
      </c>
      <c r="G7" s="55">
        <f t="shared" si="0"/>
        <v>2036362</v>
      </c>
      <c r="H7" s="14" t="s">
        <v>455</v>
      </c>
      <c r="J7" s="19" t="str">
        <f ca="1">HYPERLINK("#"&amp;재료비목록표!G2&amp;"!A"&amp;ROW(재료비목록표!A9),"자재    6 →")</f>
        <v>자재    6 →</v>
      </c>
    </row>
    <row r="8" spans="1:10" ht="21.75" customHeight="1" x14ac:dyDescent="0.3">
      <c r="A8" s="8" t="s">
        <v>461</v>
      </c>
      <c r="B8" s="9" t="s">
        <v>462</v>
      </c>
      <c r="C8" s="9" t="s">
        <v>463</v>
      </c>
      <c r="D8" s="115">
        <v>4025.97</v>
      </c>
      <c r="E8" s="33" t="s">
        <v>448</v>
      </c>
      <c r="F8" s="35">
        <f>재료비목록표!E10</f>
        <v>12712</v>
      </c>
      <c r="G8" s="55">
        <f t="shared" si="0"/>
        <v>51178131</v>
      </c>
      <c r="H8" s="14" t="s">
        <v>461</v>
      </c>
      <c r="J8" s="19" t="str">
        <f ca="1">HYPERLINK("#"&amp;재료비목록표!G2&amp;"!A"&amp;ROW(재료비목록표!A10),"자재    7 →")</f>
        <v>자재    7 →</v>
      </c>
    </row>
    <row r="9" spans="1:10" ht="21.75" customHeight="1" x14ac:dyDescent="0.3">
      <c r="A9" s="8" t="s">
        <v>466</v>
      </c>
      <c r="B9" s="9" t="s">
        <v>467</v>
      </c>
      <c r="C9" s="9" t="s">
        <v>468</v>
      </c>
      <c r="D9" s="115">
        <v>0.04</v>
      </c>
      <c r="E9" s="33" t="s">
        <v>442</v>
      </c>
      <c r="F9" s="35">
        <f>재료비목록표!E11</f>
        <v>288000</v>
      </c>
      <c r="G9" s="55">
        <f t="shared" si="0"/>
        <v>11520</v>
      </c>
      <c r="H9" s="14" t="s">
        <v>466</v>
      </c>
      <c r="J9" s="19" t="str">
        <f ca="1">HYPERLINK("#"&amp;재료비목록표!G2&amp;"!A"&amp;ROW(재료비목록표!A11),"자재    8 →")</f>
        <v>자재    8 →</v>
      </c>
    </row>
    <row r="10" spans="1:10" ht="21.75" customHeight="1" x14ac:dyDescent="0.3">
      <c r="A10" s="8" t="s">
        <v>471</v>
      </c>
      <c r="B10" s="9" t="s">
        <v>472</v>
      </c>
      <c r="C10" s="9" t="s">
        <v>473</v>
      </c>
      <c r="D10" s="115">
        <v>158.37</v>
      </c>
      <c r="E10" s="33" t="s">
        <v>474</v>
      </c>
      <c r="F10" s="35">
        <f>재료비목록표!E12</f>
        <v>1912</v>
      </c>
      <c r="G10" s="55">
        <f t="shared" si="0"/>
        <v>302803</v>
      </c>
      <c r="H10" s="14" t="s">
        <v>471</v>
      </c>
      <c r="J10" s="19" t="str">
        <f ca="1">HYPERLINK("#"&amp;재료비목록표!G2&amp;"!A"&amp;ROW(재료비목록표!A12),"자재    9 →")</f>
        <v>자재    9 →</v>
      </c>
    </row>
    <row r="11" spans="1:10" ht="21.75" customHeight="1" x14ac:dyDescent="0.3">
      <c r="A11" s="8" t="s">
        <v>497</v>
      </c>
      <c r="B11" s="9" t="s">
        <v>498</v>
      </c>
      <c r="C11" s="9" t="s">
        <v>499</v>
      </c>
      <c r="D11" s="115">
        <v>8354.14</v>
      </c>
      <c r="E11" s="33" t="s">
        <v>448</v>
      </c>
      <c r="F11" s="35">
        <f>재료비목록표!E17</f>
        <v>0</v>
      </c>
      <c r="G11" s="55">
        <f t="shared" si="0"/>
        <v>0</v>
      </c>
      <c r="H11" s="14" t="s">
        <v>497</v>
      </c>
      <c r="J11" s="19" t="str">
        <f ca="1">HYPERLINK("#"&amp;재료비목록표!G2&amp;"!A"&amp;ROW(재료비목록표!A17),"자재   14 →")</f>
        <v>자재   14 →</v>
      </c>
    </row>
    <row r="12" spans="1:10" ht="21.75" customHeight="1" x14ac:dyDescent="0.3">
      <c r="A12" s="8" t="s">
        <v>502</v>
      </c>
      <c r="B12" s="9" t="s">
        <v>503</v>
      </c>
      <c r="C12" s="9" t="s">
        <v>499</v>
      </c>
      <c r="D12" s="115">
        <v>14.18</v>
      </c>
      <c r="E12" s="33" t="s">
        <v>442</v>
      </c>
      <c r="F12" s="35">
        <f>재료비목록표!E18</f>
        <v>0</v>
      </c>
      <c r="G12" s="55">
        <f t="shared" si="0"/>
        <v>0</v>
      </c>
      <c r="H12" s="14" t="s">
        <v>502</v>
      </c>
      <c r="J12" s="19" t="str">
        <f ca="1">HYPERLINK("#"&amp;재료비목록표!G2&amp;"!A"&amp;ROW(재료비목록표!A18),"자재   15 →")</f>
        <v>자재   15 →</v>
      </c>
    </row>
    <row r="13" spans="1:10" ht="21.75" customHeight="1" x14ac:dyDescent="0.3">
      <c r="A13" s="8" t="s">
        <v>506</v>
      </c>
      <c r="B13" s="9" t="s">
        <v>507</v>
      </c>
      <c r="C13" s="9" t="s">
        <v>508</v>
      </c>
      <c r="D13" s="115">
        <v>8.24</v>
      </c>
      <c r="E13" s="33" t="s">
        <v>509</v>
      </c>
      <c r="F13" s="35">
        <f>재료비목록표!E19</f>
        <v>31500</v>
      </c>
      <c r="G13" s="55">
        <f t="shared" si="0"/>
        <v>259560</v>
      </c>
      <c r="H13" s="14" t="s">
        <v>506</v>
      </c>
      <c r="J13" s="19" t="str">
        <f ca="1">HYPERLINK("#"&amp;재료비목록표!G2&amp;"!A"&amp;ROW(재료비목록표!A19),"자재   16 →")</f>
        <v>자재   16 →</v>
      </c>
    </row>
    <row r="14" spans="1:10" ht="21.75" customHeight="1" x14ac:dyDescent="0.3">
      <c r="A14" s="8" t="s">
        <v>512</v>
      </c>
      <c r="B14" s="9" t="s">
        <v>513</v>
      </c>
      <c r="C14" s="9" t="s">
        <v>514</v>
      </c>
      <c r="D14" s="115">
        <v>0.27</v>
      </c>
      <c r="E14" s="33" t="s">
        <v>509</v>
      </c>
      <c r="F14" s="35">
        <f>재료비목록표!E20</f>
        <v>21000</v>
      </c>
      <c r="G14" s="55">
        <f t="shared" si="0"/>
        <v>5670</v>
      </c>
      <c r="H14" s="14" t="s">
        <v>512</v>
      </c>
      <c r="J14" s="19" t="str">
        <f ca="1">HYPERLINK("#"&amp;재료비목록표!G2&amp;"!A"&amp;ROW(재료비목록표!A20),"자재   17 →")</f>
        <v>자재   17 →</v>
      </c>
    </row>
    <row r="15" spans="1:10" ht="21.75" customHeight="1" x14ac:dyDescent="0.3">
      <c r="A15" s="8" t="s">
        <v>521</v>
      </c>
      <c r="B15" s="9" t="s">
        <v>522</v>
      </c>
      <c r="C15" s="9" t="s">
        <v>499</v>
      </c>
      <c r="D15" s="115">
        <v>212</v>
      </c>
      <c r="E15" s="33" t="s">
        <v>474</v>
      </c>
      <c r="F15" s="35">
        <f>재료비목록표!E22</f>
        <v>0</v>
      </c>
      <c r="G15" s="55">
        <f t="shared" si="0"/>
        <v>0</v>
      </c>
      <c r="H15" s="14" t="s">
        <v>521</v>
      </c>
      <c r="J15" s="19" t="str">
        <f ca="1">HYPERLINK("#"&amp;재료비목록표!G2&amp;"!A"&amp;ROW(재료비목록표!A22),"자재   19 →")</f>
        <v>자재   19 →</v>
      </c>
    </row>
    <row r="16" spans="1:10" ht="21.75" customHeight="1" x14ac:dyDescent="0.3">
      <c r="A16" s="8" t="s">
        <v>525</v>
      </c>
      <c r="B16" s="9" t="s">
        <v>526</v>
      </c>
      <c r="C16" s="9" t="s">
        <v>413</v>
      </c>
      <c r="D16" s="115">
        <v>8.6199999999999992</v>
      </c>
      <c r="E16" s="33" t="s">
        <v>458</v>
      </c>
      <c r="F16" s="35">
        <f>재료비목록표!E23</f>
        <v>223000</v>
      </c>
      <c r="G16" s="55">
        <f t="shared" si="0"/>
        <v>1922260</v>
      </c>
      <c r="H16" s="14" t="s">
        <v>525</v>
      </c>
      <c r="J16" s="19" t="str">
        <f ca="1">HYPERLINK("#"&amp;재료비목록표!G2&amp;"!A"&amp;ROW(재료비목록표!A23),"자재   20 →")</f>
        <v>자재   20 →</v>
      </c>
    </row>
    <row r="17" spans="1:10" ht="21.75" customHeight="1" x14ac:dyDescent="0.3">
      <c r="A17" s="8" t="s">
        <v>529</v>
      </c>
      <c r="B17" s="9" t="s">
        <v>530</v>
      </c>
      <c r="C17" s="9" t="s">
        <v>531</v>
      </c>
      <c r="D17" s="115">
        <v>1142</v>
      </c>
      <c r="E17" s="33" t="s">
        <v>243</v>
      </c>
      <c r="F17" s="35">
        <f>재료비목록표!E24</f>
        <v>5000</v>
      </c>
      <c r="G17" s="55">
        <f t="shared" si="0"/>
        <v>5710000</v>
      </c>
      <c r="H17" s="14" t="s">
        <v>529</v>
      </c>
      <c r="J17" s="19" t="str">
        <f ca="1">HYPERLINK("#"&amp;재료비목록표!G2&amp;"!A"&amp;ROW(재료비목록표!A24),"자재   21 →")</f>
        <v>자재   21 →</v>
      </c>
    </row>
    <row r="18" spans="1:10" ht="21.75" customHeight="1" x14ac:dyDescent="0.3">
      <c r="A18" s="8" t="s">
        <v>534</v>
      </c>
      <c r="B18" s="9" t="s">
        <v>535</v>
      </c>
      <c r="C18" s="9" t="s">
        <v>536</v>
      </c>
      <c r="D18" s="115">
        <v>89</v>
      </c>
      <c r="E18" s="33" t="s">
        <v>442</v>
      </c>
      <c r="F18" s="35">
        <f>재료비목록표!E25</f>
        <v>21000</v>
      </c>
      <c r="G18" s="55">
        <f t="shared" si="0"/>
        <v>1869000</v>
      </c>
      <c r="H18" s="14" t="s">
        <v>534</v>
      </c>
      <c r="J18" s="19" t="str">
        <f ca="1">HYPERLINK("#"&amp;재료비목록표!G2&amp;"!A"&amp;ROW(재료비목록표!A25),"자재   22 →")</f>
        <v>자재   22 →</v>
      </c>
    </row>
    <row r="19" spans="1:10" ht="21.75" customHeight="1" x14ac:dyDescent="0.3">
      <c r="A19" s="8" t="s">
        <v>542</v>
      </c>
      <c r="B19" s="9" t="s">
        <v>543</v>
      </c>
      <c r="C19" s="9" t="s">
        <v>536</v>
      </c>
      <c r="D19" s="115">
        <v>76</v>
      </c>
      <c r="E19" s="33" t="s">
        <v>442</v>
      </c>
      <c r="F19" s="35">
        <f>재료비목록표!E27</f>
        <v>29000</v>
      </c>
      <c r="G19" s="55">
        <f t="shared" si="0"/>
        <v>2204000</v>
      </c>
      <c r="H19" s="14" t="s">
        <v>542</v>
      </c>
      <c r="J19" s="19" t="str">
        <f ca="1">HYPERLINK("#"&amp;재료비목록표!G2&amp;"!A"&amp;ROW(재료비목록표!A27),"자재   24 →")</f>
        <v>자재   24 →</v>
      </c>
    </row>
    <row r="20" spans="1:10" ht="21.75" customHeight="1" x14ac:dyDescent="0.3">
      <c r="A20" s="8" t="s">
        <v>546</v>
      </c>
      <c r="B20" s="9" t="s">
        <v>547</v>
      </c>
      <c r="C20" s="9" t="s">
        <v>499</v>
      </c>
      <c r="D20" s="115">
        <v>561.86</v>
      </c>
      <c r="E20" s="33" t="s">
        <v>548</v>
      </c>
      <c r="F20" s="35">
        <f>재료비목록표!E28</f>
        <v>0</v>
      </c>
      <c r="G20" s="55">
        <f t="shared" si="0"/>
        <v>0</v>
      </c>
      <c r="H20" s="14" t="s">
        <v>546</v>
      </c>
      <c r="J20" s="19" t="str">
        <f ca="1">HYPERLINK("#"&amp;재료비목록표!G2&amp;"!A"&amp;ROW(재료비목록표!A28),"자재   25 →")</f>
        <v>자재   25 →</v>
      </c>
    </row>
    <row r="21" spans="1:10" ht="21.75" customHeight="1" x14ac:dyDescent="0.3">
      <c r="A21" s="8" t="s">
        <v>561</v>
      </c>
      <c r="B21" s="9" t="s">
        <v>562</v>
      </c>
      <c r="C21" s="9" t="s">
        <v>563</v>
      </c>
      <c r="D21" s="115">
        <v>6</v>
      </c>
      <c r="E21" s="33" t="s">
        <v>36</v>
      </c>
      <c r="F21" s="35">
        <f>재료비목록표!E31</f>
        <v>520000</v>
      </c>
      <c r="G21" s="55">
        <f t="shared" si="0"/>
        <v>3120000</v>
      </c>
      <c r="H21" s="14" t="s">
        <v>561</v>
      </c>
      <c r="J21" s="19" t="str">
        <f ca="1">HYPERLINK("#"&amp;재료비목록표!G2&amp;"!A"&amp;ROW(재료비목록표!A31),"자재   28 →")</f>
        <v>자재   28 →</v>
      </c>
    </row>
    <row r="22" spans="1:10" ht="21.75" customHeight="1" x14ac:dyDescent="0.3">
      <c r="A22" s="8" t="s">
        <v>566</v>
      </c>
      <c r="B22" s="9" t="s">
        <v>547</v>
      </c>
      <c r="C22" s="9" t="s">
        <v>567</v>
      </c>
      <c r="D22" s="115">
        <v>878</v>
      </c>
      <c r="E22" s="33" t="s">
        <v>229</v>
      </c>
      <c r="F22" s="35">
        <f>재료비목록표!E32</f>
        <v>44000</v>
      </c>
      <c r="G22" s="55">
        <f t="shared" si="0"/>
        <v>38632000</v>
      </c>
      <c r="H22" s="14" t="s">
        <v>566</v>
      </c>
      <c r="J22" s="19" t="str">
        <f ca="1">HYPERLINK("#"&amp;재료비목록표!G2&amp;"!A"&amp;ROW(재료비목록표!A32),"자재   29 →")</f>
        <v>자재   29 →</v>
      </c>
    </row>
    <row r="23" spans="1:10" ht="21.75" customHeight="1" x14ac:dyDescent="0.3">
      <c r="A23" s="8" t="s">
        <v>574</v>
      </c>
      <c r="B23" s="9" t="s">
        <v>575</v>
      </c>
      <c r="C23" s="9" t="s">
        <v>576</v>
      </c>
      <c r="D23" s="115">
        <v>28.3</v>
      </c>
      <c r="E23" s="33" t="s">
        <v>474</v>
      </c>
      <c r="F23" s="35">
        <f>재료비목록표!E34</f>
        <v>142</v>
      </c>
      <c r="G23" s="55">
        <f t="shared" si="0"/>
        <v>4019</v>
      </c>
      <c r="H23" s="14" t="s">
        <v>574</v>
      </c>
      <c r="J23" s="19" t="str">
        <f ca="1">HYPERLINK("#"&amp;재료비목록표!G2&amp;"!A"&amp;ROW(재료비목록표!A34),"자재   31 →")</f>
        <v>자재   31 →</v>
      </c>
    </row>
    <row r="24" spans="1:10" ht="21.75" customHeight="1" x14ac:dyDescent="0.3">
      <c r="A24" s="8" t="s">
        <v>579</v>
      </c>
      <c r="B24" s="9" t="s">
        <v>513</v>
      </c>
      <c r="C24" s="9" t="s">
        <v>580</v>
      </c>
      <c r="D24" s="115">
        <v>0.01</v>
      </c>
      <c r="E24" s="33" t="s">
        <v>509</v>
      </c>
      <c r="F24" s="35">
        <f>재료비목록표!E35</f>
        <v>21000</v>
      </c>
      <c r="G24" s="55">
        <f t="shared" si="0"/>
        <v>210</v>
      </c>
      <c r="H24" s="14" t="s">
        <v>579</v>
      </c>
      <c r="J24" s="19" t="str">
        <f ca="1">HYPERLINK("#"&amp;재료비목록표!G2&amp;"!A"&amp;ROW(재료비목록표!A35),"자재   32 →")</f>
        <v>자재   32 →</v>
      </c>
    </row>
    <row r="25" spans="1:10" ht="21.75" customHeight="1" x14ac:dyDescent="0.3">
      <c r="A25" s="8" t="s">
        <v>583</v>
      </c>
      <c r="B25" s="9" t="s">
        <v>584</v>
      </c>
      <c r="C25" s="9" t="s">
        <v>585</v>
      </c>
      <c r="D25" s="115">
        <v>56</v>
      </c>
      <c r="E25" s="33" t="s">
        <v>42</v>
      </c>
      <c r="F25" s="35">
        <f>재료비목록표!E36</f>
        <v>4490</v>
      </c>
      <c r="G25" s="55">
        <f t="shared" si="0"/>
        <v>251440</v>
      </c>
      <c r="H25" s="14" t="s">
        <v>583</v>
      </c>
      <c r="J25" s="19" t="str">
        <f ca="1">HYPERLINK("#"&amp;재료비목록표!G2&amp;"!A"&amp;ROW(재료비목록표!A36),"자재   33 →")</f>
        <v>자재   33 →</v>
      </c>
    </row>
    <row r="26" spans="1:10" ht="21.75" customHeight="1" x14ac:dyDescent="0.3">
      <c r="A26" s="8" t="s">
        <v>588</v>
      </c>
      <c r="B26" s="9" t="s">
        <v>589</v>
      </c>
      <c r="C26" s="9" t="s">
        <v>499</v>
      </c>
      <c r="D26" s="115">
        <v>11.52</v>
      </c>
      <c r="E26" s="33" t="s">
        <v>442</v>
      </c>
      <c r="F26" s="35">
        <f>재료비목록표!E37</f>
        <v>0</v>
      </c>
      <c r="G26" s="55">
        <f t="shared" si="0"/>
        <v>0</v>
      </c>
      <c r="H26" s="14" t="s">
        <v>588</v>
      </c>
      <c r="J26" s="19" t="str">
        <f ca="1">HYPERLINK("#"&amp;재료비목록표!G2&amp;"!A"&amp;ROW(재료비목록표!A37),"자재   34 →")</f>
        <v>자재   34 →</v>
      </c>
    </row>
    <row r="27" spans="1:10" ht="21.75" customHeight="1" x14ac:dyDescent="0.3">
      <c r="A27" s="8" t="s">
        <v>592</v>
      </c>
      <c r="B27" s="9" t="s">
        <v>593</v>
      </c>
      <c r="C27" s="9" t="s">
        <v>594</v>
      </c>
      <c r="D27" s="115">
        <v>0.06</v>
      </c>
      <c r="E27" s="33" t="s">
        <v>448</v>
      </c>
      <c r="F27" s="35">
        <f>재료비목록표!E38</f>
        <v>1710</v>
      </c>
      <c r="G27" s="55">
        <f t="shared" si="0"/>
        <v>103</v>
      </c>
      <c r="H27" s="14" t="s">
        <v>592</v>
      </c>
      <c r="J27" s="19" t="str">
        <f ca="1">HYPERLINK("#"&amp;재료비목록표!G2&amp;"!A"&amp;ROW(재료비목록표!A38),"자재   35 →")</f>
        <v>자재   35 →</v>
      </c>
    </row>
    <row r="28" spans="1:10" ht="21.75" customHeight="1" x14ac:dyDescent="0.3">
      <c r="A28" s="8" t="s">
        <v>597</v>
      </c>
      <c r="B28" s="9" t="s">
        <v>598</v>
      </c>
      <c r="C28" s="9" t="s">
        <v>599</v>
      </c>
      <c r="D28" s="115">
        <v>0.01</v>
      </c>
      <c r="E28" s="33" t="s">
        <v>600</v>
      </c>
      <c r="F28" s="35">
        <f>재료비목록표!E39</f>
        <v>900854</v>
      </c>
      <c r="G28" s="55">
        <f t="shared" si="0"/>
        <v>9009</v>
      </c>
      <c r="H28" s="14" t="s">
        <v>597</v>
      </c>
      <c r="J28" s="19" t="str">
        <f ca="1">HYPERLINK("#"&amp;재료비목록표!G2&amp;"!A"&amp;ROW(재료비목록표!A39),"자재   36 →")</f>
        <v>자재   36 →</v>
      </c>
    </row>
    <row r="29" spans="1:10" ht="21.75" customHeight="1" x14ac:dyDescent="0.3">
      <c r="A29" s="8" t="s">
        <v>616</v>
      </c>
      <c r="B29" s="9" t="s">
        <v>617</v>
      </c>
      <c r="C29" s="9" t="s">
        <v>499</v>
      </c>
      <c r="D29" s="115">
        <v>41.8</v>
      </c>
      <c r="E29" s="33" t="s">
        <v>42</v>
      </c>
      <c r="F29" s="35">
        <f>재료비목록표!E43</f>
        <v>0</v>
      </c>
      <c r="G29" s="55">
        <f t="shared" si="0"/>
        <v>0</v>
      </c>
      <c r="H29" s="14" t="s">
        <v>616</v>
      </c>
      <c r="J29" s="19" t="str">
        <f ca="1">HYPERLINK("#"&amp;재료비목록표!G2&amp;"!A"&amp;ROW(재료비목록표!A43),"자재   40 →")</f>
        <v>자재   40 →</v>
      </c>
    </row>
    <row r="30" spans="1:10" ht="21.75" customHeight="1" x14ac:dyDescent="0.3">
      <c r="A30" s="8" t="s">
        <v>620</v>
      </c>
      <c r="B30" s="9" t="s">
        <v>621</v>
      </c>
      <c r="C30" s="9" t="s">
        <v>499</v>
      </c>
      <c r="D30" s="115">
        <v>22</v>
      </c>
      <c r="E30" s="33" t="s">
        <v>474</v>
      </c>
      <c r="F30" s="35">
        <f>재료비목록표!E44</f>
        <v>0</v>
      </c>
      <c r="G30" s="55">
        <f t="shared" si="0"/>
        <v>0</v>
      </c>
      <c r="H30" s="14" t="s">
        <v>620</v>
      </c>
      <c r="J30" s="19" t="str">
        <f ca="1">HYPERLINK("#"&amp;재료비목록표!G2&amp;"!A"&amp;ROW(재료비목록표!A44),"자재   41 →")</f>
        <v>자재   41 →</v>
      </c>
    </row>
    <row r="31" spans="1:10" ht="21.75" customHeight="1" x14ac:dyDescent="0.3">
      <c r="A31" s="8" t="s">
        <v>628</v>
      </c>
      <c r="B31" s="9" t="s">
        <v>629</v>
      </c>
      <c r="C31" s="9" t="s">
        <v>499</v>
      </c>
      <c r="D31" s="115">
        <v>20</v>
      </c>
      <c r="E31" s="33" t="s">
        <v>42</v>
      </c>
      <c r="F31" s="35">
        <f>재료비목록표!E46</f>
        <v>0</v>
      </c>
      <c r="G31" s="55">
        <f t="shared" si="0"/>
        <v>0</v>
      </c>
      <c r="H31" s="14" t="s">
        <v>628</v>
      </c>
      <c r="J31" s="19" t="str">
        <f ca="1">HYPERLINK("#"&amp;재료비목록표!G2&amp;"!A"&amp;ROW(재료비목록표!A46),"자재   43 →")</f>
        <v>자재   43 →</v>
      </c>
    </row>
  </sheetData>
  <mergeCells count="1">
    <mergeCell ref="A1:H1"/>
  </mergeCells>
  <phoneticPr fontId="26" type="noConversion"/>
  <hyperlinks>
    <hyperlink ref="J1" r:id="rId1" tooltip="설계예산시스템(STmate w24.04)으로 작성 하였으며,_x000a_엑셀 인쇄품질 600 dpi에 최적화 되어 있습니다._x000a_경영정보(주) http://www.stma.co.kr_x000a_Tel) 070-4350-0040_x000a_Fax) 0505-300-3948"/>
    <hyperlink ref="I1" r:id="rId2" tooltip="설계예산시스템(STmate w24.04)으로 작성 하였으며,_x000a_엑셀 인쇄품질 600 dpi에 최적화 되어 있습니다._x000a_경영정보(주) http://www.stma.co.kr_x000a_Tel) 070-4350-0040_x000a_Fax) 0505-300-3948"/>
  </hyperlinks>
  <printOptions horizontalCentered="1"/>
  <pageMargins left="0.78740157480314965" right="0.78740157480314965" top="0.59055118110236215" bottom="0.55118110236220474" header="0" footer="0.35433070866141736"/>
  <pageSetup paperSize="9" fitToWidth="0" fitToHeight="0" orientation="landscape" r:id="rId3"/>
  <headerFooter alignWithMargins="0">
    <oddFooter xml:space="preserve">&amp;R&amp;"굴림체,"&amp;9 </oddFooter>
  </headerFooter>
  <legacyDrawing r:id="rId4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2"/>
  <sheetViews>
    <sheetView workbookViewId="0">
      <pane ySplit="3" topLeftCell="A4" activePane="bottomLeft" state="frozenSplit"/>
      <selection pane="bottomLeft" activeCell="A4" sqref="A4"/>
    </sheetView>
  </sheetViews>
  <sheetFormatPr defaultColWidth="9.125" defaultRowHeight="16.5" x14ac:dyDescent="0.3"/>
  <cols>
    <col min="1" max="1" width="10" style="5" customWidth="1"/>
    <col min="2" max="3" width="24.25" style="5" customWidth="1"/>
    <col min="4" max="4" width="10" style="5" customWidth="1"/>
    <col min="5" max="5" width="5.5" style="5" customWidth="1"/>
    <col min="6" max="6" width="10" style="5" customWidth="1"/>
    <col min="7" max="8" width="11.5" style="5" customWidth="1"/>
    <col min="9" max="9" width="9.125" style="5" hidden="1" customWidth="1"/>
    <col min="10" max="10" width="9.125" style="17" customWidth="1"/>
    <col min="11" max="16384" width="9.125" style="5"/>
  </cols>
  <sheetData>
    <row r="1" spans="1:10" ht="24.95" customHeight="1" x14ac:dyDescent="0.3">
      <c r="A1" s="145" t="s">
        <v>2257</v>
      </c>
      <c r="B1" s="135"/>
      <c r="C1" s="135"/>
      <c r="D1" s="135"/>
      <c r="E1" s="135"/>
      <c r="F1" s="135"/>
      <c r="G1" s="135"/>
      <c r="H1" s="135"/>
      <c r="I1" s="4" t="s">
        <v>166</v>
      </c>
      <c r="J1" s="18" t="s">
        <v>166</v>
      </c>
    </row>
    <row r="2" spans="1:10" ht="21.75" customHeight="1" x14ac:dyDescent="0.3">
      <c r="A2" s="1" t="s">
        <v>1</v>
      </c>
      <c r="I2" s="21" t="str">
        <f ca="1">MID(CELL("filename",$A$1),FIND("]",CELL("filename",$A$1))+1,LEN(CELL("filename",$A$1)))</f>
        <v>노무비수량금액집계표</v>
      </c>
    </row>
    <row r="3" spans="1:10" ht="21.75" customHeight="1" x14ac:dyDescent="0.3">
      <c r="A3" s="7" t="s">
        <v>2</v>
      </c>
      <c r="B3" s="7" t="s">
        <v>3</v>
      </c>
      <c r="C3" s="7" t="s">
        <v>4</v>
      </c>
      <c r="D3" s="7" t="s">
        <v>630</v>
      </c>
      <c r="E3" s="7" t="s">
        <v>5</v>
      </c>
      <c r="F3" s="7" t="s">
        <v>428</v>
      </c>
      <c r="G3" s="7" t="s">
        <v>622</v>
      </c>
      <c r="H3" s="13" t="s">
        <v>10</v>
      </c>
      <c r="J3" s="19" t="str">
        <f>HYPERLINK("#'〓 목 차 〓'!B2","목차 →")</f>
        <v>목차 →</v>
      </c>
    </row>
    <row r="4" spans="1:10" ht="21.75" customHeight="1" x14ac:dyDescent="0.3">
      <c r="A4" s="8" t="s">
        <v>429</v>
      </c>
      <c r="B4" s="9" t="s">
        <v>646</v>
      </c>
      <c r="C4" s="9"/>
      <c r="D4" s="115">
        <v>8.2899999999999991</v>
      </c>
      <c r="E4" s="33" t="s">
        <v>647</v>
      </c>
      <c r="F4" s="35">
        <f>노무비목록표!E4</f>
        <v>268058</v>
      </c>
      <c r="G4" s="55">
        <f t="shared" ref="G4:G12" si="0">ROUND(D4*F4,0)</f>
        <v>2222201</v>
      </c>
      <c r="H4" s="14" t="s">
        <v>429</v>
      </c>
      <c r="J4" s="19" t="str">
        <f ca="1">HYPERLINK("#"&amp;노무비목록표!G2&amp;"!A"&amp;ROW(노무비목록표!A4),"노무    1 →")</f>
        <v>노무    1 →</v>
      </c>
    </row>
    <row r="5" spans="1:10" ht="21.75" customHeight="1" x14ac:dyDescent="0.3">
      <c r="A5" s="8" t="s">
        <v>434</v>
      </c>
      <c r="B5" s="9" t="s">
        <v>650</v>
      </c>
      <c r="C5" s="9"/>
      <c r="D5" s="115">
        <v>9.3000000000000007</v>
      </c>
      <c r="E5" s="33" t="s">
        <v>647</v>
      </c>
      <c r="F5" s="35">
        <f>노무비목록표!E5</f>
        <v>274978</v>
      </c>
      <c r="G5" s="55">
        <f t="shared" si="0"/>
        <v>2557295</v>
      </c>
      <c r="H5" s="14" t="s">
        <v>434</v>
      </c>
      <c r="J5" s="19" t="str">
        <f ca="1">HYPERLINK("#"&amp;노무비목록표!G2&amp;"!A"&amp;ROW(노무비목록표!A5),"노무    2 →")</f>
        <v>노무    2 →</v>
      </c>
    </row>
    <row r="6" spans="1:10" ht="21.75" customHeight="1" x14ac:dyDescent="0.3">
      <c r="A6" s="8" t="s">
        <v>439</v>
      </c>
      <c r="B6" s="9" t="s">
        <v>653</v>
      </c>
      <c r="C6" s="9"/>
      <c r="D6" s="115">
        <v>137.01</v>
      </c>
      <c r="E6" s="33" t="s">
        <v>647</v>
      </c>
      <c r="F6" s="35">
        <f>노무비목록표!E6</f>
        <v>258935</v>
      </c>
      <c r="G6" s="55">
        <f t="shared" si="0"/>
        <v>35476684</v>
      </c>
      <c r="H6" s="14" t="s">
        <v>439</v>
      </c>
      <c r="J6" s="19" t="str">
        <f ca="1">HYPERLINK("#"&amp;노무비목록표!G2&amp;"!A"&amp;ROW(노무비목록표!A6),"노무    3 →")</f>
        <v>노무    3 →</v>
      </c>
    </row>
    <row r="7" spans="1:10" ht="21.75" customHeight="1" x14ac:dyDescent="0.3">
      <c r="A7" s="8" t="s">
        <v>445</v>
      </c>
      <c r="B7" s="9" t="s">
        <v>656</v>
      </c>
      <c r="C7" s="9"/>
      <c r="D7" s="115">
        <v>6.39</v>
      </c>
      <c r="E7" s="33" t="s">
        <v>647</v>
      </c>
      <c r="F7" s="35">
        <f>노무비목록표!E7</f>
        <v>261283</v>
      </c>
      <c r="G7" s="55">
        <f t="shared" si="0"/>
        <v>1669598</v>
      </c>
      <c r="H7" s="14" t="s">
        <v>445</v>
      </c>
      <c r="J7" s="19" t="str">
        <f ca="1">HYPERLINK("#"&amp;노무비목록표!G2&amp;"!A"&amp;ROW(노무비목록표!A7),"노무    4 →")</f>
        <v>노무    4 →</v>
      </c>
    </row>
    <row r="8" spans="1:10" ht="21.75" customHeight="1" x14ac:dyDescent="0.3">
      <c r="A8" s="8" t="s">
        <v>451</v>
      </c>
      <c r="B8" s="9" t="s">
        <v>659</v>
      </c>
      <c r="C8" s="9"/>
      <c r="D8" s="115">
        <v>51.95</v>
      </c>
      <c r="E8" s="33" t="s">
        <v>647</v>
      </c>
      <c r="F8" s="35">
        <f>노무비목록표!E8</f>
        <v>254202</v>
      </c>
      <c r="G8" s="55">
        <f t="shared" si="0"/>
        <v>13205794</v>
      </c>
      <c r="H8" s="14" t="s">
        <v>451</v>
      </c>
      <c r="J8" s="19" t="str">
        <f ca="1">HYPERLINK("#"&amp;노무비목록표!G2&amp;"!A"&amp;ROW(노무비목록표!A8),"노무    5 →")</f>
        <v>노무    5 →</v>
      </c>
    </row>
    <row r="9" spans="1:10" ht="21.75" customHeight="1" x14ac:dyDescent="0.3">
      <c r="A9" s="8" t="s">
        <v>455</v>
      </c>
      <c r="B9" s="9" t="s">
        <v>662</v>
      </c>
      <c r="C9" s="9"/>
      <c r="D9" s="115">
        <v>220.04</v>
      </c>
      <c r="E9" s="33" t="s">
        <v>647</v>
      </c>
      <c r="F9" s="35">
        <f>노무비목록표!E9</f>
        <v>165545</v>
      </c>
      <c r="G9" s="55">
        <f t="shared" si="0"/>
        <v>36426522</v>
      </c>
      <c r="H9" s="14" t="s">
        <v>455</v>
      </c>
      <c r="J9" s="19" t="str">
        <f ca="1">HYPERLINK("#"&amp;노무비목록표!G2&amp;"!A"&amp;ROW(노무비목록표!A9),"노무    6 →")</f>
        <v>노무    6 →</v>
      </c>
    </row>
    <row r="10" spans="1:10" ht="21.75" customHeight="1" x14ac:dyDescent="0.3">
      <c r="A10" s="8" t="s">
        <v>477</v>
      </c>
      <c r="B10" s="9" t="s">
        <v>674</v>
      </c>
      <c r="C10" s="9"/>
      <c r="D10" s="115">
        <v>16.91</v>
      </c>
      <c r="E10" s="33" t="s">
        <v>647</v>
      </c>
      <c r="F10" s="35">
        <f>노무비목록표!E13</f>
        <v>243168</v>
      </c>
      <c r="G10" s="55">
        <f t="shared" si="0"/>
        <v>4111971</v>
      </c>
      <c r="H10" s="14" t="s">
        <v>477</v>
      </c>
      <c r="J10" s="19" t="str">
        <f ca="1">HYPERLINK("#"&amp;노무비목록표!G2&amp;"!A"&amp;ROW(노무비목록표!A13),"노무   10 →")</f>
        <v>노무   10 →</v>
      </c>
    </row>
    <row r="11" spans="1:10" ht="21.75" customHeight="1" x14ac:dyDescent="0.3">
      <c r="A11" s="8" t="s">
        <v>483</v>
      </c>
      <c r="B11" s="9" t="s">
        <v>677</v>
      </c>
      <c r="C11" s="9"/>
      <c r="D11" s="115">
        <v>0.02</v>
      </c>
      <c r="E11" s="33" t="s">
        <v>647</v>
      </c>
      <c r="F11" s="35">
        <f>노무비목록표!E14</f>
        <v>260137</v>
      </c>
      <c r="G11" s="55">
        <f t="shared" si="0"/>
        <v>5203</v>
      </c>
      <c r="H11" s="14" t="s">
        <v>483</v>
      </c>
      <c r="J11" s="19" t="str">
        <f ca="1">HYPERLINK("#"&amp;노무비목록표!G2&amp;"!A"&amp;ROW(노무비목록표!A14),"노무   11 →")</f>
        <v>노무   11 →</v>
      </c>
    </row>
    <row r="12" spans="1:10" ht="21.75" customHeight="1" x14ac:dyDescent="0.3">
      <c r="A12" s="8" t="s">
        <v>488</v>
      </c>
      <c r="B12" s="9" t="s">
        <v>680</v>
      </c>
      <c r="C12" s="9"/>
      <c r="D12" s="115">
        <v>0.77</v>
      </c>
      <c r="E12" s="33" t="s">
        <v>647</v>
      </c>
      <c r="F12" s="35">
        <f>노무비목록표!E15</f>
        <v>258360</v>
      </c>
      <c r="G12" s="55">
        <f t="shared" si="0"/>
        <v>198937</v>
      </c>
      <c r="H12" s="14" t="s">
        <v>488</v>
      </c>
      <c r="J12" s="19" t="str">
        <f ca="1">HYPERLINK("#"&amp;노무비목록표!G2&amp;"!A"&amp;ROW(노무비목록표!A15),"노무   12 →")</f>
        <v>노무   12 →</v>
      </c>
    </row>
  </sheetData>
  <mergeCells count="1">
    <mergeCell ref="A1:H1"/>
  </mergeCells>
  <phoneticPr fontId="26" type="noConversion"/>
  <hyperlinks>
    <hyperlink ref="J1" r:id="rId1" tooltip="설계예산시스템(STmate w24.04)으로 작성 하였으며,_x000a_엑셀 인쇄품질 600 dpi에 최적화 되어 있습니다._x000a_경영정보(주) http://www.stma.co.kr_x000a_Tel) 070-4350-0040_x000a_Fax) 0505-300-3948"/>
    <hyperlink ref="I1" r:id="rId2" tooltip="설계예산시스템(STmate w24.04)으로 작성 하였으며,_x000a_엑셀 인쇄품질 600 dpi에 최적화 되어 있습니다._x000a_경영정보(주) http://www.stma.co.kr_x000a_Tel) 070-4350-0040_x000a_Fax) 0505-300-3948"/>
  </hyperlinks>
  <printOptions horizontalCentered="1"/>
  <pageMargins left="0.78740157480314965" right="0.78740157480314965" top="0.59055118110236215" bottom="0.55118110236220474" header="0" footer="0.35433070866141736"/>
  <pageSetup paperSize="9" fitToWidth="0" fitToHeight="0" orientation="landscape" r:id="rId3"/>
  <headerFooter alignWithMargins="0">
    <oddFooter xml:space="preserve">&amp;R&amp;"굴림체,"&amp;9 </oddFooter>
  </headerFooter>
  <legacyDrawing r:id="rId4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5"/>
  <sheetViews>
    <sheetView workbookViewId="0">
      <pane ySplit="3" topLeftCell="A4" activePane="bottomLeft" state="frozenSplit"/>
      <selection pane="bottomLeft" activeCell="A4" sqref="A4"/>
    </sheetView>
  </sheetViews>
  <sheetFormatPr defaultColWidth="9.125" defaultRowHeight="16.5" x14ac:dyDescent="0.3"/>
  <cols>
    <col min="1" max="1" width="10" style="5" customWidth="1"/>
    <col min="2" max="3" width="24.25" style="5" customWidth="1"/>
    <col min="4" max="4" width="10" style="5" customWidth="1"/>
    <col min="5" max="5" width="5.5" style="5" customWidth="1"/>
    <col min="6" max="6" width="10" style="5" customWidth="1"/>
    <col min="7" max="8" width="11.5" style="5" customWidth="1"/>
    <col min="9" max="9" width="9.125" style="5" hidden="1" customWidth="1"/>
    <col min="10" max="10" width="9.125" style="17" customWidth="1"/>
    <col min="11" max="16384" width="9.125" style="5"/>
  </cols>
  <sheetData>
    <row r="1" spans="1:10" ht="24.95" customHeight="1" x14ac:dyDescent="0.3">
      <c r="A1" s="145" t="s">
        <v>2258</v>
      </c>
      <c r="B1" s="135"/>
      <c r="C1" s="135"/>
      <c r="D1" s="135"/>
      <c r="E1" s="135"/>
      <c r="F1" s="135"/>
      <c r="G1" s="135"/>
      <c r="H1" s="135"/>
      <c r="I1" s="4" t="s">
        <v>166</v>
      </c>
      <c r="J1" s="18" t="s">
        <v>166</v>
      </c>
    </row>
    <row r="2" spans="1:10" ht="21.75" customHeight="1" x14ac:dyDescent="0.3">
      <c r="A2" s="1" t="s">
        <v>1</v>
      </c>
      <c r="I2" s="21" t="str">
        <f ca="1">MID(CELL("filename",$A$1),FIND("]",CELL("filename",$A$1))+1,LEN(CELL("filename",$A$1)))</f>
        <v>경비수량금액집계표</v>
      </c>
    </row>
    <row r="3" spans="1:10" ht="21.75" customHeight="1" x14ac:dyDescent="0.3">
      <c r="A3" s="7" t="s">
        <v>2</v>
      </c>
      <c r="B3" s="7" t="s">
        <v>3</v>
      </c>
      <c r="C3" s="7" t="s">
        <v>4</v>
      </c>
      <c r="D3" s="7" t="s">
        <v>630</v>
      </c>
      <c r="E3" s="7" t="s">
        <v>5</v>
      </c>
      <c r="F3" s="7" t="s">
        <v>428</v>
      </c>
      <c r="G3" s="7" t="s">
        <v>622</v>
      </c>
      <c r="H3" s="13" t="s">
        <v>10</v>
      </c>
      <c r="J3" s="19" t="str">
        <f>HYPERLINK("#'〓 목 차 〓'!B2","목차 →")</f>
        <v>목차 →</v>
      </c>
    </row>
    <row r="4" spans="1:10" ht="21.75" customHeight="1" x14ac:dyDescent="0.3">
      <c r="A4" s="8" t="s">
        <v>506</v>
      </c>
      <c r="B4" s="9" t="s">
        <v>725</v>
      </c>
      <c r="C4" s="9" t="s">
        <v>726</v>
      </c>
      <c r="D4" s="115">
        <v>11.03</v>
      </c>
      <c r="E4" s="33" t="s">
        <v>727</v>
      </c>
      <c r="F4" s="35">
        <f>경비목록표!E19</f>
        <v>61500</v>
      </c>
      <c r="G4" s="55">
        <f>ROUND(D4*F4,0)</f>
        <v>678345</v>
      </c>
      <c r="H4" s="14" t="s">
        <v>506</v>
      </c>
      <c r="J4" s="19" t="str">
        <f ca="1">HYPERLINK("#"&amp;경비목록표!G2&amp;"!A"&amp;ROW(경비목록표!A19),"경비   16 →")</f>
        <v>경비   16 →</v>
      </c>
    </row>
    <row r="5" spans="1:10" ht="21.75" customHeight="1" x14ac:dyDescent="0.3">
      <c r="A5" s="8" t="s">
        <v>529</v>
      </c>
      <c r="B5" s="9" t="s">
        <v>375</v>
      </c>
      <c r="C5" s="9" t="s">
        <v>400</v>
      </c>
      <c r="D5" s="115">
        <v>243.89</v>
      </c>
      <c r="E5" s="33" t="s">
        <v>685</v>
      </c>
      <c r="F5" s="35">
        <f>경비목록표!E24</f>
        <v>1794</v>
      </c>
      <c r="G5" s="55">
        <f>ROUND(D5*F5,0)</f>
        <v>437539</v>
      </c>
      <c r="H5" s="14" t="s">
        <v>529</v>
      </c>
      <c r="J5" s="19" t="str">
        <f ca="1">HYPERLINK("#"&amp;경비목록표!G2&amp;"!A"&amp;ROW(경비목록표!A24),"경비   21 →")</f>
        <v>경비   21 →</v>
      </c>
    </row>
  </sheetData>
  <mergeCells count="1">
    <mergeCell ref="A1:H1"/>
  </mergeCells>
  <phoneticPr fontId="26" type="noConversion"/>
  <hyperlinks>
    <hyperlink ref="J1" r:id="rId1" tooltip="설계예산시스템(STmate w24.04)으로 작성 하였으며,_x000a_엑셀 인쇄품질 600 dpi에 최적화 되어 있습니다._x000a_경영정보(주) http://www.stma.co.kr_x000a_Tel) 070-4350-0040_x000a_Fax) 0505-300-3948"/>
    <hyperlink ref="I1" r:id="rId2" tooltip="설계예산시스템(STmate w24.04)으로 작성 하였으며,_x000a_엑셀 인쇄품질 600 dpi에 최적화 되어 있습니다._x000a_경영정보(주) http://www.stma.co.kr_x000a_Tel) 070-4350-0040_x000a_Fax) 0505-300-3948"/>
  </hyperlinks>
  <printOptions horizontalCentered="1"/>
  <pageMargins left="0.78740157480314965" right="0.78740157480314965" top="0.59055118110236215" bottom="0.55118110236220474" header="0" footer="0.35433070866141736"/>
  <pageSetup paperSize="9" fitToWidth="0" fitToHeight="0" orientation="landscape" r:id="rId3"/>
  <headerFooter alignWithMargins="0">
    <oddFooter xml:space="preserve">&amp;R&amp;"굴림체,"&amp;9 </oddFooter>
  </headerFooter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2:J22"/>
  <sheetViews>
    <sheetView workbookViewId="0"/>
  </sheetViews>
  <sheetFormatPr defaultRowHeight="16.5" x14ac:dyDescent="0.3"/>
  <cols>
    <col min="1" max="1" width="9.125" style="3" customWidth="1"/>
    <col min="2" max="2" width="4.75" customWidth="1"/>
  </cols>
  <sheetData>
    <row r="2" spans="1:10" x14ac:dyDescent="0.3">
      <c r="A2" s="2" t="str">
        <f>HYPERLINK("#'〓 목 차 〓'!B2","목차 →")</f>
        <v>목차 →</v>
      </c>
      <c r="B2" s="116" t="s">
        <v>2260</v>
      </c>
    </row>
    <row r="4" spans="1:10" ht="18.75" x14ac:dyDescent="0.3">
      <c r="B4" s="117" t="s">
        <v>2261</v>
      </c>
    </row>
    <row r="6" spans="1:10" x14ac:dyDescent="0.3">
      <c r="B6" s="94" t="s">
        <v>2262</v>
      </c>
    </row>
    <row r="7" spans="1:10" x14ac:dyDescent="0.3">
      <c r="B7" s="94" t="s">
        <v>2263</v>
      </c>
    </row>
    <row r="8" spans="1:10" x14ac:dyDescent="0.3">
      <c r="B8" s="118" t="s">
        <v>2264</v>
      </c>
    </row>
    <row r="9" spans="1:10" x14ac:dyDescent="0.3">
      <c r="B9" s="94" t="s">
        <v>2265</v>
      </c>
    </row>
    <row r="10" spans="1:10" x14ac:dyDescent="0.3">
      <c r="B10" s="94" t="s">
        <v>2266</v>
      </c>
    </row>
    <row r="11" spans="1:10" x14ac:dyDescent="0.3">
      <c r="B11" s="94" t="s">
        <v>2267</v>
      </c>
    </row>
    <row r="12" spans="1:10" x14ac:dyDescent="0.3">
      <c r="B12" s="134" t="str">
        <f ca="1">HYPERLINK("#"&amp;단가산출근거!G2&amp;"!Y3","◈ 단가산출근거의 수량부분은 산출근거 우측 연두색 부분에서 수정합니다. →")</f>
        <v>◈ 단가산출근거의 수량부분은 산출근거 우측 연두색 부분에서 수정합니다. →</v>
      </c>
      <c r="C12" s="135"/>
      <c r="D12" s="135"/>
      <c r="E12" s="135"/>
      <c r="F12" s="135"/>
      <c r="G12" s="135"/>
      <c r="H12" s="135"/>
      <c r="I12" s="135"/>
      <c r="J12" s="135"/>
    </row>
    <row r="13" spans="1:10" x14ac:dyDescent="0.3">
      <c r="B13" s="94" t="s">
        <v>2268</v>
      </c>
    </row>
    <row r="15" spans="1:10" x14ac:dyDescent="0.3">
      <c r="B15" s="119" t="s">
        <v>2269</v>
      </c>
    </row>
    <row r="16" spans="1:10" x14ac:dyDescent="0.3">
      <c r="B16" s="2" t="str">
        <f ca="1">HYPERLINK("#"&amp;설계내역서!O2&amp;"!A"&amp;ROW(설계내역서!A253)," → ")</f>
        <v xml:space="preserve"> → </v>
      </c>
      <c r="C16" s="1" t="s">
        <v>2270</v>
      </c>
    </row>
    <row r="17" spans="2:3" x14ac:dyDescent="0.3">
      <c r="B17" s="2" t="str">
        <f ca="1">HYPERLINK("#"&amp;총괄설계내역서!H2&amp;"!I"&amp;ROW(총괄설계내역서!I62)," → ")</f>
        <v xml:space="preserve"> → </v>
      </c>
      <c r="C17" s="120" t="s">
        <v>2271</v>
      </c>
    </row>
    <row r="18" spans="2:3" x14ac:dyDescent="0.3">
      <c r="B18" s="2" t="str">
        <f ca="1">HYPERLINK("#"&amp;일위대가표!N2&amp;"!I"&amp;ROW(일위대가표!I18)," → ")</f>
        <v xml:space="preserve"> → </v>
      </c>
      <c r="C18" s="1" t="s">
        <v>2272</v>
      </c>
    </row>
    <row r="19" spans="2:3" x14ac:dyDescent="0.3">
      <c r="B19" s="2" t="str">
        <f ca="1">HYPERLINK("#"&amp;일위대가표!N2&amp;"!I"&amp;ROW(일위대가표!I27)," → ")</f>
        <v xml:space="preserve"> → </v>
      </c>
      <c r="C19" s="1" t="s">
        <v>2273</v>
      </c>
    </row>
    <row r="20" spans="2:3" x14ac:dyDescent="0.3">
      <c r="B20" s="2" t="str">
        <f ca="1">HYPERLINK("#"&amp;일위대가표!N2&amp;"!I"&amp;ROW(일위대가표!I235)," → ")</f>
        <v xml:space="preserve"> → </v>
      </c>
      <c r="C20" s="1" t="s">
        <v>2274</v>
      </c>
    </row>
    <row r="21" spans="2:3" x14ac:dyDescent="0.3">
      <c r="B21" s="2" t="str">
        <f ca="1">HYPERLINK("#"&amp;단가산출근거!G2&amp;"!B"&amp;ROW(단가산출근거!B21)," → ")</f>
        <v xml:space="preserve"> → </v>
      </c>
      <c r="C21" s="1" t="s">
        <v>2275</v>
      </c>
    </row>
    <row r="22" spans="2:3" x14ac:dyDescent="0.3">
      <c r="B22" s="2" t="str">
        <f ca="1">HYPERLINK("#"&amp;중기사용료!N2&amp;"!I"&amp;ROW(중기사용료!I106)," → ")</f>
        <v xml:space="preserve"> → </v>
      </c>
      <c r="C22" s="1" t="s">
        <v>2276</v>
      </c>
    </row>
  </sheetData>
  <mergeCells count="1">
    <mergeCell ref="B12:J12"/>
  </mergeCells>
  <phoneticPr fontId="26" type="noConversion"/>
  <printOptions horizontalCentered="1"/>
  <pageMargins left="0.59055118110236215" right="0.59055118110236215" top="0.78740157480314965" bottom="1" header="0" footer="0.5"/>
  <pageSetup paperSize="9" fitToWidth="0" fitToHeight="0" orientation="portrait"/>
  <headerFooter alignWithMargins="0">
    <oddFooter xml:space="preserve">&amp;R&amp;"굴림체,"&amp;9 </oddFooter>
  </headerFooter>
  <legacy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6"/>
  <sheetViews>
    <sheetView workbookViewId="0">
      <pane ySplit="3" topLeftCell="A4" activePane="bottomLeft" state="frozenSplit"/>
      <selection pane="bottomLeft" activeCell="A4" sqref="A4"/>
    </sheetView>
  </sheetViews>
  <sheetFormatPr defaultColWidth="9.125" defaultRowHeight="16.5" x14ac:dyDescent="0.3"/>
  <cols>
    <col min="1" max="1" width="10" style="5" customWidth="1"/>
    <col min="2" max="3" width="24.25" style="5" customWidth="1"/>
    <col min="4" max="4" width="10" style="5" customWidth="1"/>
    <col min="5" max="5" width="5.5" style="5" customWidth="1"/>
    <col min="6" max="9" width="13" style="5" customWidth="1"/>
    <col min="10" max="10" width="10" style="5" customWidth="1"/>
    <col min="11" max="11" width="9.125" style="5" hidden="1" customWidth="1"/>
    <col min="12" max="12" width="9.125" style="17" customWidth="1"/>
    <col min="13" max="16384" width="9.125" style="5"/>
  </cols>
  <sheetData>
    <row r="1" spans="1:12" ht="24.95" customHeight="1" x14ac:dyDescent="0.3">
      <c r="A1" s="145" t="s">
        <v>2259</v>
      </c>
      <c r="B1" s="135"/>
      <c r="C1" s="135"/>
      <c r="D1" s="135"/>
      <c r="E1" s="135"/>
      <c r="F1" s="135"/>
      <c r="G1" s="135"/>
      <c r="H1" s="135"/>
      <c r="I1" s="135"/>
      <c r="J1" s="135"/>
      <c r="K1" s="4" t="s">
        <v>166</v>
      </c>
      <c r="L1" s="18" t="s">
        <v>166</v>
      </c>
    </row>
    <row r="2" spans="1:12" ht="24.95" customHeight="1" x14ac:dyDescent="0.3">
      <c r="A2" s="1" t="s">
        <v>1</v>
      </c>
      <c r="K2" s="21" t="str">
        <f ca="1">MID(CELL("filename",$A$1),FIND("]",CELL("filename",$A$1))+1,LEN(CELL("filename",$A$1)))</f>
        <v>중기시간금액집계표</v>
      </c>
    </row>
    <row r="3" spans="1:12" ht="24.95" customHeight="1" x14ac:dyDescent="0.3">
      <c r="A3" s="7" t="s">
        <v>2</v>
      </c>
      <c r="B3" s="7" t="s">
        <v>3</v>
      </c>
      <c r="C3" s="7" t="s">
        <v>4</v>
      </c>
      <c r="D3" s="7" t="s">
        <v>630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13" t="s">
        <v>10</v>
      </c>
      <c r="L3" s="19" t="str">
        <f>HYPERLINK("#'〓 목 차 〓'!B2","목차 →")</f>
        <v>목차 →</v>
      </c>
    </row>
    <row r="4" spans="1:12" ht="24.95" customHeight="1" x14ac:dyDescent="0.3">
      <c r="A4" s="8" t="s">
        <v>429</v>
      </c>
      <c r="B4" s="9" t="s">
        <v>342</v>
      </c>
      <c r="C4" s="9" t="s">
        <v>343</v>
      </c>
      <c r="D4" s="115">
        <v>42.95</v>
      </c>
      <c r="E4" s="33" t="s">
        <v>344</v>
      </c>
      <c r="F4" s="55">
        <f t="shared" ref="F4:F26" si="0">H4+G4+I4</f>
        <v>5411700</v>
      </c>
      <c r="G4" s="54">
        <f>ROUND(D4*중기목록표!F4,0)</f>
        <v>2392315</v>
      </c>
      <c r="H4" s="63">
        <f>ROUND(D4*중기목록표!G4,0)</f>
        <v>1584340</v>
      </c>
      <c r="I4" s="55">
        <f>ROUND(D4*중기목록표!H4,0)</f>
        <v>1435045</v>
      </c>
      <c r="J4" s="14" t="s">
        <v>429</v>
      </c>
      <c r="L4" s="19" t="str">
        <f ca="1">HYPERLINK("#"&amp;중기목록표!J2&amp;"!A"&amp;ROW(중기목록표!A4),"중기    1 →")</f>
        <v>중기    1 →</v>
      </c>
    </row>
    <row r="5" spans="1:12" ht="24.95" customHeight="1" x14ac:dyDescent="0.3">
      <c r="A5" s="8" t="s">
        <v>434</v>
      </c>
      <c r="B5" s="9" t="s">
        <v>347</v>
      </c>
      <c r="C5" s="9"/>
      <c r="D5" s="115">
        <v>89.88</v>
      </c>
      <c r="E5" s="33" t="s">
        <v>344</v>
      </c>
      <c r="F5" s="55">
        <f t="shared" si="0"/>
        <v>6870068</v>
      </c>
      <c r="G5" s="54">
        <f>ROUND(D5*중기목록표!F5,0)</f>
        <v>5006316</v>
      </c>
      <c r="H5" s="63">
        <f>ROUND(D5*중기목록표!G5,0)</f>
        <v>691627</v>
      </c>
      <c r="I5" s="55">
        <f>ROUND(D5*중기목록표!H5,0)</f>
        <v>1172125</v>
      </c>
      <c r="J5" s="14" t="s">
        <v>434</v>
      </c>
      <c r="L5" s="19" t="str">
        <f ca="1">HYPERLINK("#"&amp;중기목록표!J2&amp;"!A"&amp;ROW(중기목록표!A5),"중기    2 →")</f>
        <v>중기    2 →</v>
      </c>
    </row>
    <row r="6" spans="1:12" ht="24.95" customHeight="1" x14ac:dyDescent="0.3">
      <c r="A6" s="8" t="s">
        <v>439</v>
      </c>
      <c r="B6" s="9" t="s">
        <v>350</v>
      </c>
      <c r="C6" s="9"/>
      <c r="D6" s="115">
        <v>2.19</v>
      </c>
      <c r="E6" s="33" t="s">
        <v>344</v>
      </c>
      <c r="F6" s="55">
        <f t="shared" si="0"/>
        <v>191496</v>
      </c>
      <c r="G6" s="54">
        <f>ROUND(D6*중기목록표!F6,0)</f>
        <v>121983</v>
      </c>
      <c r="H6" s="63">
        <f>ROUND(D6*중기목록표!G6,0)</f>
        <v>33645</v>
      </c>
      <c r="I6" s="55">
        <f>ROUND(D6*중기목록표!H6,0)</f>
        <v>35868</v>
      </c>
      <c r="J6" s="14" t="s">
        <v>439</v>
      </c>
      <c r="L6" s="19" t="str">
        <f ca="1">HYPERLINK("#"&amp;중기목록표!J2&amp;"!A"&amp;ROW(중기목록표!A6),"중기    3 →")</f>
        <v>중기    3 →</v>
      </c>
    </row>
    <row r="7" spans="1:12" ht="24.95" customHeight="1" x14ac:dyDescent="0.3">
      <c r="A7" s="8" t="s">
        <v>445</v>
      </c>
      <c r="B7" s="9" t="s">
        <v>353</v>
      </c>
      <c r="C7" s="9"/>
      <c r="D7" s="115">
        <v>871.38</v>
      </c>
      <c r="E7" s="33" t="s">
        <v>344</v>
      </c>
      <c r="F7" s="55">
        <f t="shared" si="0"/>
        <v>84374854</v>
      </c>
      <c r="G7" s="54">
        <f>ROUND(D7*중기목록표!F7,0)</f>
        <v>48535866</v>
      </c>
      <c r="H7" s="63">
        <f>ROUND(D7*중기목록표!G7,0)</f>
        <v>15685711</v>
      </c>
      <c r="I7" s="55">
        <f>ROUND(D7*중기목록표!H7,0)</f>
        <v>20153277</v>
      </c>
      <c r="J7" s="14" t="s">
        <v>445</v>
      </c>
      <c r="L7" s="19" t="str">
        <f ca="1">HYPERLINK("#"&amp;중기목록표!J2&amp;"!A"&amp;ROW(중기목록표!A7),"중기    4 →")</f>
        <v>중기    4 →</v>
      </c>
    </row>
    <row r="8" spans="1:12" ht="24.95" customHeight="1" x14ac:dyDescent="0.3">
      <c r="A8" s="8" t="s">
        <v>451</v>
      </c>
      <c r="B8" s="9" t="s">
        <v>356</v>
      </c>
      <c r="C8" s="9"/>
      <c r="D8" s="115">
        <v>103.9</v>
      </c>
      <c r="E8" s="33" t="s">
        <v>344</v>
      </c>
      <c r="F8" s="55">
        <f t="shared" si="0"/>
        <v>11830158</v>
      </c>
      <c r="G8" s="54">
        <f>ROUND(D8*중기목록표!F8,0)</f>
        <v>5787230</v>
      </c>
      <c r="H8" s="63">
        <f>ROUND(D8*중기목록표!G8,0)</f>
        <v>3144014</v>
      </c>
      <c r="I8" s="55">
        <f>ROUND(D8*중기목록표!H8,0)</f>
        <v>2898914</v>
      </c>
      <c r="J8" s="14" t="s">
        <v>451</v>
      </c>
      <c r="L8" s="19" t="str">
        <f ca="1">HYPERLINK("#"&amp;중기목록표!J2&amp;"!A"&amp;ROW(중기목록표!A8),"중기    5 →")</f>
        <v>중기    5 →</v>
      </c>
    </row>
    <row r="9" spans="1:12" ht="24.95" customHeight="1" x14ac:dyDescent="0.3">
      <c r="A9" s="8" t="s">
        <v>455</v>
      </c>
      <c r="B9" s="9" t="s">
        <v>353</v>
      </c>
      <c r="C9" s="9" t="s">
        <v>359</v>
      </c>
      <c r="D9" s="115">
        <v>506.07</v>
      </c>
      <c r="E9" s="33" t="s">
        <v>344</v>
      </c>
      <c r="F9" s="55">
        <f t="shared" si="0"/>
        <v>50798294</v>
      </c>
      <c r="G9" s="54">
        <f>ROUND(D9*중기목록표!F9,0)</f>
        <v>28188099</v>
      </c>
      <c r="H9" s="63">
        <f>ROUND(D9*중기목록표!G9,0)</f>
        <v>9109766</v>
      </c>
      <c r="I9" s="55">
        <f>ROUND(D9*중기목록표!H9,0)</f>
        <v>13500429</v>
      </c>
      <c r="J9" s="14" t="s">
        <v>455</v>
      </c>
      <c r="L9" s="19" t="str">
        <f ca="1">HYPERLINK("#"&amp;중기목록표!J2&amp;"!A"&amp;ROW(중기목록표!A9),"중기    6 →")</f>
        <v>중기    6 →</v>
      </c>
    </row>
    <row r="10" spans="1:12" ht="24.95" customHeight="1" x14ac:dyDescent="0.3">
      <c r="A10" s="8" t="s">
        <v>461</v>
      </c>
      <c r="B10" s="9" t="s">
        <v>362</v>
      </c>
      <c r="C10" s="9"/>
      <c r="D10" s="115">
        <v>1436.14</v>
      </c>
      <c r="E10" s="33" t="s">
        <v>344</v>
      </c>
      <c r="F10" s="55">
        <f t="shared" si="0"/>
        <v>153254808</v>
      </c>
      <c r="G10" s="54">
        <f>ROUND(D10*중기목록표!F10,0)</f>
        <v>79992998</v>
      </c>
      <c r="H10" s="63">
        <f>ROUND(D10*중기목록표!G10,0)</f>
        <v>24580972</v>
      </c>
      <c r="I10" s="55">
        <f>ROUND(D10*중기목록표!H10,0)</f>
        <v>48680838</v>
      </c>
      <c r="J10" s="14" t="s">
        <v>461</v>
      </c>
      <c r="L10" s="19" t="str">
        <f ca="1">HYPERLINK("#"&amp;중기목록표!J2&amp;"!A"&amp;ROW(중기목록표!A10),"중기    7 →")</f>
        <v>중기    7 →</v>
      </c>
    </row>
    <row r="11" spans="1:12" ht="24.95" customHeight="1" x14ac:dyDescent="0.3">
      <c r="A11" s="8" t="s">
        <v>466</v>
      </c>
      <c r="B11" s="9" t="s">
        <v>365</v>
      </c>
      <c r="C11" s="9"/>
      <c r="D11" s="115">
        <v>178.48</v>
      </c>
      <c r="E11" s="33" t="s">
        <v>344</v>
      </c>
      <c r="F11" s="55">
        <f t="shared" si="0"/>
        <v>18426454</v>
      </c>
      <c r="G11" s="54">
        <f>ROUND(D11*중기목록표!F11,0)</f>
        <v>9941336</v>
      </c>
      <c r="H11" s="63">
        <f>ROUND(D11*중기목록표!G11,0)</f>
        <v>4981377</v>
      </c>
      <c r="I11" s="55">
        <f>ROUND(D11*중기목록표!H11,0)</f>
        <v>3503741</v>
      </c>
      <c r="J11" s="14" t="s">
        <v>466</v>
      </c>
      <c r="L11" s="19" t="str">
        <f ca="1">HYPERLINK("#"&amp;중기목록표!J2&amp;"!A"&amp;ROW(중기목록표!A11),"중기    8 →")</f>
        <v>중기    8 →</v>
      </c>
    </row>
    <row r="12" spans="1:12" ht="24.95" customHeight="1" x14ac:dyDescent="0.3">
      <c r="A12" s="8" t="s">
        <v>471</v>
      </c>
      <c r="B12" s="9" t="s">
        <v>368</v>
      </c>
      <c r="C12" s="9" t="s">
        <v>369</v>
      </c>
      <c r="D12" s="115">
        <v>169.26</v>
      </c>
      <c r="E12" s="33" t="s">
        <v>344</v>
      </c>
      <c r="F12" s="55">
        <f t="shared" si="0"/>
        <v>14421460</v>
      </c>
      <c r="G12" s="54">
        <f>ROUND(D12*중기목록표!F12,0)</f>
        <v>7994319</v>
      </c>
      <c r="H12" s="63">
        <f>ROUND(D12*중기목록표!G12,0)</f>
        <v>4189185</v>
      </c>
      <c r="I12" s="55">
        <f>ROUND(D12*중기목록표!H12,0)</f>
        <v>2237956</v>
      </c>
      <c r="J12" s="14" t="s">
        <v>471</v>
      </c>
      <c r="L12" s="19" t="str">
        <f ca="1">HYPERLINK("#"&amp;중기목록표!J2&amp;"!A"&amp;ROW(중기목록표!A12),"중기    9 →")</f>
        <v>중기    9 →</v>
      </c>
    </row>
    <row r="13" spans="1:12" ht="24.95" customHeight="1" x14ac:dyDescent="0.3">
      <c r="A13" s="8" t="s">
        <v>488</v>
      </c>
      <c r="B13" s="9" t="s">
        <v>379</v>
      </c>
      <c r="C13" s="9" t="s">
        <v>380</v>
      </c>
      <c r="D13" s="115">
        <v>16.7</v>
      </c>
      <c r="E13" s="33" t="s">
        <v>344</v>
      </c>
      <c r="F13" s="55">
        <f t="shared" si="0"/>
        <v>1085651</v>
      </c>
      <c r="G13" s="54">
        <f>ROUND(D13*중기목록표!F15,0)</f>
        <v>788758</v>
      </c>
      <c r="H13" s="63">
        <f>ROUND(D13*중기목록표!G15,0)</f>
        <v>129993</v>
      </c>
      <c r="I13" s="55">
        <f>ROUND(D13*중기목록표!H15,0)</f>
        <v>166900</v>
      </c>
      <c r="J13" s="14" t="s">
        <v>488</v>
      </c>
      <c r="L13" s="19" t="str">
        <f ca="1">HYPERLINK("#"&amp;중기목록표!J2&amp;"!A"&amp;ROW(중기목록표!A15),"중기   12 →")</f>
        <v>중기   12 →</v>
      </c>
    </row>
    <row r="14" spans="1:12" ht="24.95" customHeight="1" x14ac:dyDescent="0.3">
      <c r="A14" s="8" t="s">
        <v>493</v>
      </c>
      <c r="B14" s="9" t="s">
        <v>383</v>
      </c>
      <c r="C14" s="9" t="s">
        <v>384</v>
      </c>
      <c r="D14" s="115">
        <v>17.14</v>
      </c>
      <c r="E14" s="33" t="s">
        <v>344</v>
      </c>
      <c r="F14" s="55">
        <f t="shared" si="0"/>
        <v>1735013</v>
      </c>
      <c r="G14" s="54">
        <f>ROUND(D14*중기목록표!F16,0)</f>
        <v>954698</v>
      </c>
      <c r="H14" s="63">
        <f>ROUND(D14*중기목록표!G16,0)</f>
        <v>500025</v>
      </c>
      <c r="I14" s="55">
        <f>ROUND(D14*중기목록표!H16,0)</f>
        <v>280290</v>
      </c>
      <c r="J14" s="14" t="s">
        <v>493</v>
      </c>
      <c r="L14" s="19" t="str">
        <f ca="1">HYPERLINK("#"&amp;중기목록표!J2&amp;"!A"&amp;ROW(중기목록표!A16),"중기   13 →")</f>
        <v>중기   13 →</v>
      </c>
    </row>
    <row r="15" spans="1:12" ht="24.95" customHeight="1" x14ac:dyDescent="0.3">
      <c r="A15" s="8" t="s">
        <v>497</v>
      </c>
      <c r="B15" s="9" t="s">
        <v>387</v>
      </c>
      <c r="C15" s="9"/>
      <c r="D15" s="115">
        <v>24.13</v>
      </c>
      <c r="E15" s="33" t="s">
        <v>344</v>
      </c>
      <c r="F15" s="55">
        <f t="shared" si="0"/>
        <v>981102</v>
      </c>
      <c r="G15" s="54">
        <f>ROUND(D15*중기목록표!F17,0)</f>
        <v>810068</v>
      </c>
      <c r="H15" s="63">
        <f>ROUND(D15*중기목록표!G17,0)</f>
        <v>131388</v>
      </c>
      <c r="I15" s="55">
        <f>ROUND(D15*중기목록표!H17,0)</f>
        <v>39646</v>
      </c>
      <c r="J15" s="14" t="s">
        <v>497</v>
      </c>
      <c r="L15" s="19" t="str">
        <f ca="1">HYPERLINK("#"&amp;중기목록표!J2&amp;"!A"&amp;ROW(중기목록표!A17),"중기   14 →")</f>
        <v>중기   14 →</v>
      </c>
    </row>
    <row r="16" spans="1:12" ht="24.95" customHeight="1" x14ac:dyDescent="0.3">
      <c r="A16" s="8" t="s">
        <v>502</v>
      </c>
      <c r="B16" s="9" t="s">
        <v>390</v>
      </c>
      <c r="C16" s="9" t="s">
        <v>391</v>
      </c>
      <c r="D16" s="115">
        <v>181.82</v>
      </c>
      <c r="E16" s="33" t="s">
        <v>344</v>
      </c>
      <c r="F16" s="55">
        <f t="shared" si="0"/>
        <v>19658924</v>
      </c>
      <c r="G16" s="54">
        <f>ROUND(D16*중기목록표!F18,0)</f>
        <v>10127374</v>
      </c>
      <c r="H16" s="63">
        <f>ROUND(D16*중기목록표!G18,0)</f>
        <v>5290962</v>
      </c>
      <c r="I16" s="55">
        <f>ROUND(D16*중기목록표!H18,0)</f>
        <v>4240588</v>
      </c>
      <c r="J16" s="14" t="s">
        <v>502</v>
      </c>
      <c r="L16" s="19" t="str">
        <f ca="1">HYPERLINK("#"&amp;중기목록표!J2&amp;"!A"&amp;ROW(중기목록표!A18),"중기   15 →")</f>
        <v>중기   15 →</v>
      </c>
    </row>
    <row r="17" spans="1:12" ht="24.95" customHeight="1" x14ac:dyDescent="0.3">
      <c r="A17" s="8" t="s">
        <v>506</v>
      </c>
      <c r="B17" s="9" t="s">
        <v>394</v>
      </c>
      <c r="C17" s="9"/>
      <c r="D17" s="115">
        <v>17.899999999999999</v>
      </c>
      <c r="E17" s="33" t="s">
        <v>344</v>
      </c>
      <c r="F17" s="55">
        <f t="shared" si="0"/>
        <v>1046971</v>
      </c>
      <c r="G17" s="54">
        <f>ROUND(D17*중기목록표!F19,0)</f>
        <v>845435</v>
      </c>
      <c r="H17" s="63">
        <f>ROUND(D17*중기목록표!G19,0)</f>
        <v>91111</v>
      </c>
      <c r="I17" s="55">
        <f>ROUND(D17*중기목록표!H19,0)</f>
        <v>110425</v>
      </c>
      <c r="J17" s="14" t="s">
        <v>506</v>
      </c>
      <c r="L17" s="19" t="str">
        <f ca="1">HYPERLINK("#"&amp;중기목록표!J2&amp;"!A"&amp;ROW(중기목록표!A19),"중기   16 →")</f>
        <v>중기   16 →</v>
      </c>
    </row>
    <row r="18" spans="1:12" ht="24.95" customHeight="1" x14ac:dyDescent="0.3">
      <c r="A18" s="8" t="s">
        <v>512</v>
      </c>
      <c r="B18" s="9" t="s">
        <v>342</v>
      </c>
      <c r="C18" s="9" t="s">
        <v>397</v>
      </c>
      <c r="D18" s="115">
        <v>58.42</v>
      </c>
      <c r="E18" s="33" t="s">
        <v>344</v>
      </c>
      <c r="F18" s="55">
        <f t="shared" si="0"/>
        <v>7647645</v>
      </c>
      <c r="G18" s="54">
        <f>ROUND(D18*중기목록표!F20,0)</f>
        <v>3253994</v>
      </c>
      <c r="H18" s="63">
        <f>ROUND(D18*중기목록표!G20,0)</f>
        <v>2154997</v>
      </c>
      <c r="I18" s="55">
        <f>ROUND(D18*중기목록표!H20,0)</f>
        <v>2238654</v>
      </c>
      <c r="J18" s="14" t="s">
        <v>512</v>
      </c>
      <c r="L18" s="19" t="str">
        <f ca="1">HYPERLINK("#"&amp;중기목록표!J2&amp;"!A"&amp;ROW(중기목록표!A20),"중기   17 →")</f>
        <v>중기   17 →</v>
      </c>
    </row>
    <row r="19" spans="1:12" ht="24.95" customHeight="1" x14ac:dyDescent="0.3">
      <c r="A19" s="8" t="s">
        <v>517</v>
      </c>
      <c r="B19" s="9" t="s">
        <v>375</v>
      </c>
      <c r="C19" s="9" t="s">
        <v>400</v>
      </c>
      <c r="D19" s="115">
        <v>24.89</v>
      </c>
      <c r="E19" s="33" t="s">
        <v>344</v>
      </c>
      <c r="F19" s="55">
        <f t="shared" si="0"/>
        <v>11972</v>
      </c>
      <c r="G19" s="54">
        <f>ROUND(D19*중기목록표!F21,0)</f>
        <v>0</v>
      </c>
      <c r="H19" s="63">
        <f>ROUND(D19*중기목록표!G21,0)</f>
        <v>0</v>
      </c>
      <c r="I19" s="55">
        <f>ROUND(D19*중기목록표!H21,0)</f>
        <v>11972</v>
      </c>
      <c r="J19" s="14" t="s">
        <v>517</v>
      </c>
      <c r="L19" s="19" t="str">
        <f ca="1">HYPERLINK("#"&amp;중기목록표!J2&amp;"!A"&amp;ROW(중기목록표!A21),"중기   18 →")</f>
        <v>중기   18 →</v>
      </c>
    </row>
    <row r="20" spans="1:12" ht="24.95" customHeight="1" x14ac:dyDescent="0.3">
      <c r="A20" s="8" t="s">
        <v>521</v>
      </c>
      <c r="B20" s="9" t="s">
        <v>403</v>
      </c>
      <c r="C20" s="9"/>
      <c r="D20" s="115">
        <v>268.77999999999997</v>
      </c>
      <c r="E20" s="33" t="s">
        <v>344</v>
      </c>
      <c r="F20" s="55">
        <f t="shared" si="0"/>
        <v>34263806</v>
      </c>
      <c r="G20" s="54">
        <f>ROUND(D20*중기목록표!F22,0)</f>
        <v>14971046</v>
      </c>
      <c r="H20" s="63">
        <f>ROUND(D20*중기목록표!G22,0)</f>
        <v>10851455</v>
      </c>
      <c r="I20" s="55">
        <f>ROUND(D20*중기목록표!H22,0)</f>
        <v>8441305</v>
      </c>
      <c r="J20" s="14" t="s">
        <v>521</v>
      </c>
      <c r="L20" s="19" t="str">
        <f ca="1">HYPERLINK("#"&amp;중기목록표!J2&amp;"!A"&amp;ROW(중기목록표!A22),"중기   19 →")</f>
        <v>중기   19 →</v>
      </c>
    </row>
    <row r="21" spans="1:12" ht="24.95" customHeight="1" x14ac:dyDescent="0.3">
      <c r="A21" s="8" t="s">
        <v>525</v>
      </c>
      <c r="B21" s="9" t="s">
        <v>406</v>
      </c>
      <c r="C21" s="9"/>
      <c r="D21" s="115">
        <v>389.46</v>
      </c>
      <c r="E21" s="33" t="s">
        <v>344</v>
      </c>
      <c r="F21" s="55">
        <f t="shared" si="0"/>
        <v>40957171</v>
      </c>
      <c r="G21" s="54">
        <f>ROUND(D21*중기목록표!F23,0)</f>
        <v>21692922</v>
      </c>
      <c r="H21" s="63">
        <f>ROUND(D21*중기목록표!G23,0)</f>
        <v>7125560</v>
      </c>
      <c r="I21" s="55">
        <f>ROUND(D21*중기목록표!H23,0)</f>
        <v>12138689</v>
      </c>
      <c r="J21" s="14" t="s">
        <v>525</v>
      </c>
      <c r="L21" s="19" t="str">
        <f ca="1">HYPERLINK("#"&amp;중기목록표!J2&amp;"!A"&amp;ROW(중기목록표!A23),"중기   20 →")</f>
        <v>중기   20 →</v>
      </c>
    </row>
    <row r="22" spans="1:12" ht="24.95" customHeight="1" x14ac:dyDescent="0.3">
      <c r="A22" s="8" t="s">
        <v>529</v>
      </c>
      <c r="B22" s="9" t="s">
        <v>409</v>
      </c>
      <c r="C22" s="9"/>
      <c r="D22" s="115">
        <v>100.42</v>
      </c>
      <c r="E22" s="33" t="s">
        <v>344</v>
      </c>
      <c r="F22" s="55">
        <f t="shared" si="0"/>
        <v>6485425</v>
      </c>
      <c r="G22" s="54">
        <f>ROUND(D22*중기목록표!F24,0)</f>
        <v>4742937</v>
      </c>
      <c r="H22" s="63">
        <f>ROUND(D22*중기목록표!G24,0)</f>
        <v>881286</v>
      </c>
      <c r="I22" s="55">
        <f>ROUND(D22*중기목록표!H24,0)</f>
        <v>861202</v>
      </c>
      <c r="J22" s="14" t="s">
        <v>529</v>
      </c>
      <c r="L22" s="19" t="str">
        <f ca="1">HYPERLINK("#"&amp;중기목록표!J2&amp;"!A"&amp;ROW(중기목록표!A24),"중기   21 →")</f>
        <v>중기   21 →</v>
      </c>
    </row>
    <row r="23" spans="1:12" ht="24.95" customHeight="1" x14ac:dyDescent="0.3">
      <c r="A23" s="8" t="s">
        <v>534</v>
      </c>
      <c r="B23" s="9" t="s">
        <v>412</v>
      </c>
      <c r="C23" s="9" t="s">
        <v>413</v>
      </c>
      <c r="D23" s="115">
        <v>135.63999999999999</v>
      </c>
      <c r="E23" s="33" t="s">
        <v>344</v>
      </c>
      <c r="F23" s="55">
        <f t="shared" si="0"/>
        <v>13612153</v>
      </c>
      <c r="G23" s="54">
        <f>ROUND(D23*중기목록표!F25,0)</f>
        <v>7555148</v>
      </c>
      <c r="H23" s="63">
        <f>ROUND(D23*중기목록표!G25,0)</f>
        <v>2441656</v>
      </c>
      <c r="I23" s="55">
        <f>ROUND(D23*중기목록표!H25,0)</f>
        <v>3615349</v>
      </c>
      <c r="J23" s="14" t="s">
        <v>534</v>
      </c>
      <c r="L23" s="19" t="str">
        <f ca="1">HYPERLINK("#"&amp;중기목록표!J2&amp;"!A"&amp;ROW(중기목록표!A25),"중기   22 →")</f>
        <v>중기   22 →</v>
      </c>
    </row>
    <row r="24" spans="1:12" ht="24.95" customHeight="1" x14ac:dyDescent="0.3">
      <c r="A24" s="8" t="s">
        <v>539</v>
      </c>
      <c r="B24" s="9" t="s">
        <v>356</v>
      </c>
      <c r="C24" s="9" t="s">
        <v>416</v>
      </c>
      <c r="D24" s="115">
        <v>235.1</v>
      </c>
      <c r="E24" s="33" t="s">
        <v>344</v>
      </c>
      <c r="F24" s="55">
        <f t="shared" si="0"/>
        <v>27775419</v>
      </c>
      <c r="G24" s="54">
        <f>ROUND(D24*중기목록표!F26,0)</f>
        <v>13095070</v>
      </c>
      <c r="H24" s="63">
        <f>ROUND(D24*중기목록표!G26,0)</f>
        <v>7114126</v>
      </c>
      <c r="I24" s="55">
        <f>ROUND(D24*중기목록표!H26,0)</f>
        <v>7566223</v>
      </c>
      <c r="J24" s="14" t="s">
        <v>539</v>
      </c>
      <c r="L24" s="19" t="str">
        <f ca="1">HYPERLINK("#"&amp;중기목록표!J2&amp;"!A"&amp;ROW(중기목록표!A26),"중기   23 →")</f>
        <v>중기   23 →</v>
      </c>
    </row>
    <row r="25" spans="1:12" ht="24.95" customHeight="1" x14ac:dyDescent="0.3">
      <c r="A25" s="8" t="s">
        <v>542</v>
      </c>
      <c r="B25" s="9" t="s">
        <v>419</v>
      </c>
      <c r="C25" s="9" t="s">
        <v>420</v>
      </c>
      <c r="D25" s="115">
        <v>20.29</v>
      </c>
      <c r="E25" s="33" t="s">
        <v>344</v>
      </c>
      <c r="F25" s="55">
        <f t="shared" si="0"/>
        <v>1689122</v>
      </c>
      <c r="G25" s="54">
        <f>ROUND(D25*중기목록표!F27,0)</f>
        <v>958317</v>
      </c>
      <c r="H25" s="63">
        <f>ROUND(D25*중기목록표!G27,0)</f>
        <v>502583</v>
      </c>
      <c r="I25" s="55">
        <f>ROUND(D25*중기목록표!H27,0)</f>
        <v>228222</v>
      </c>
      <c r="J25" s="14" t="s">
        <v>542</v>
      </c>
      <c r="L25" s="19" t="str">
        <f ca="1">HYPERLINK("#"&amp;중기목록표!J2&amp;"!A"&amp;ROW(중기목록표!A27),"중기   24 →")</f>
        <v>중기   24 →</v>
      </c>
    </row>
    <row r="26" spans="1:12" ht="24.95" customHeight="1" x14ac:dyDescent="0.3">
      <c r="A26" s="8" t="s">
        <v>546</v>
      </c>
      <c r="B26" s="9" t="s">
        <v>423</v>
      </c>
      <c r="C26" s="9" t="s">
        <v>424</v>
      </c>
      <c r="D26" s="115">
        <v>26.9</v>
      </c>
      <c r="E26" s="33" t="s">
        <v>344</v>
      </c>
      <c r="F26" s="55">
        <f t="shared" si="0"/>
        <v>2829288</v>
      </c>
      <c r="G26" s="54">
        <f>ROUND(D26*중기목록표!F28,0)</f>
        <v>1498330</v>
      </c>
      <c r="H26" s="63">
        <f>ROUND(D26*중기목록표!G28,0)</f>
        <v>492539</v>
      </c>
      <c r="I26" s="55">
        <f>ROUND(D26*중기목록표!H28,0)</f>
        <v>838419</v>
      </c>
      <c r="J26" s="14" t="s">
        <v>546</v>
      </c>
      <c r="L26" s="19" t="str">
        <f ca="1">HYPERLINK("#"&amp;중기목록표!J2&amp;"!A"&amp;ROW(중기목록표!A28),"중기   25 →")</f>
        <v>중기   25 →</v>
      </c>
    </row>
  </sheetData>
  <mergeCells count="1">
    <mergeCell ref="A1:J1"/>
  </mergeCells>
  <phoneticPr fontId="26" type="noConversion"/>
  <hyperlinks>
    <hyperlink ref="L1" r:id="rId1" tooltip="설계예산시스템(STmate w24.04)으로 작성 하였으며,_x000a_엑셀 인쇄품질 600 dpi에 최적화 되어 있습니다._x000a_경영정보(주) http://www.stma.co.kr_x000a_Tel) 070-4350-0040_x000a_Fax) 0505-300-3948"/>
    <hyperlink ref="K1" r:id="rId2" tooltip="설계예산시스템(STmate w24.04)으로 작성 하였으며,_x000a_엑셀 인쇄품질 600 dpi에 최적화 되어 있습니다._x000a_경영정보(주) http://www.stma.co.kr_x000a_Tel) 070-4350-0040_x000a_Fax) 0505-300-3948"/>
  </hyperlinks>
  <printOptions horizontalCentered="1"/>
  <pageMargins left="0.78740157480314965" right="0.78740157480314965" top="0.59055118110236215" bottom="0.59055118110236215" header="0" footer="0.39370078740157477"/>
  <pageSetup paperSize="9" scale="87" fitToWidth="0" fitToHeight="0" orientation="landscape" r:id="rId3"/>
  <headerFooter alignWithMargins="0">
    <oddFooter xml:space="preserve">&amp;R&amp;"굴림체,"&amp;9 </oddFooter>
  </headerFooter>
  <legacyDrawing r:id="rId4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B2:X80"/>
  <sheetViews>
    <sheetView workbookViewId="0"/>
  </sheetViews>
  <sheetFormatPr defaultColWidth="9.125" defaultRowHeight="16.5" x14ac:dyDescent="0.3"/>
  <cols>
    <col min="1" max="1" width="9.125" style="123" customWidth="1"/>
    <col min="2" max="2" width="16.75" style="123" customWidth="1"/>
    <col min="3" max="3" width="15.25" style="123" customWidth="1"/>
    <col min="4" max="24" width="2.5" style="123" customWidth="1"/>
    <col min="25" max="16384" width="9.125" style="123"/>
  </cols>
  <sheetData>
    <row r="2" spans="2:24" ht="19.5" x14ac:dyDescent="0.3">
      <c r="B2" s="169" t="s">
        <v>2299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</row>
    <row r="4" spans="2:24" hidden="1" x14ac:dyDescent="0.3">
      <c r="B4" s="124" t="s">
        <v>2300</v>
      </c>
      <c r="C4" s="127" t="b">
        <f ca="1">ISERROR(SUM(C6:X15,C18:X23))</f>
        <v>0</v>
      </c>
      <c r="D4" s="130">
        <f>ROW(C24)</f>
        <v>24</v>
      </c>
    </row>
    <row r="5" spans="2:24" hidden="1" x14ac:dyDescent="0.3">
      <c r="B5" s="125" t="s">
        <v>2301</v>
      </c>
      <c r="C5" s="125" t="s">
        <v>2302</v>
      </c>
      <c r="D5" s="125" t="s">
        <v>2303</v>
      </c>
      <c r="E5" s="125" t="s">
        <v>2304</v>
      </c>
      <c r="F5" s="125" t="s">
        <v>2305</v>
      </c>
      <c r="G5" s="125" t="s">
        <v>2306</v>
      </c>
      <c r="H5" s="125" t="s">
        <v>1312</v>
      </c>
      <c r="I5" s="125" t="s">
        <v>2307</v>
      </c>
      <c r="J5" s="125" t="s">
        <v>2308</v>
      </c>
      <c r="K5" s="125" t="s">
        <v>2309</v>
      </c>
      <c r="L5" s="125" t="s">
        <v>2310</v>
      </c>
      <c r="M5" s="125" t="s">
        <v>2311</v>
      </c>
      <c r="N5" s="125" t="s">
        <v>2312</v>
      </c>
      <c r="O5" s="125" t="s">
        <v>2313</v>
      </c>
      <c r="P5" s="125" t="s">
        <v>2314</v>
      </c>
      <c r="Q5" s="125" t="s">
        <v>2315</v>
      </c>
      <c r="R5" s="125" t="s">
        <v>2316</v>
      </c>
      <c r="S5" s="125" t="s">
        <v>2317</v>
      </c>
      <c r="T5" s="125" t="s">
        <v>2318</v>
      </c>
      <c r="U5" s="125" t="s">
        <v>2319</v>
      </c>
      <c r="V5" s="125" t="s">
        <v>2320</v>
      </c>
      <c r="W5" s="125" t="s">
        <v>2321</v>
      </c>
      <c r="X5" s="125" t="s">
        <v>2322</v>
      </c>
    </row>
    <row r="6" spans="2:24" hidden="1" x14ac:dyDescent="0.3">
      <c r="B6" s="126" t="s">
        <v>2323</v>
      </c>
      <c r="C6" s="128" t="str">
        <f ca="1">IF(D6="","재료비목록표",MID(D6,FIND("]",D6)+1,LEN(D6)))</f>
        <v>재료비목록표</v>
      </c>
      <c r="D6" s="128" t="str">
        <f ca="1">CELL("filename",재료비목록표!A1)</f>
        <v>C:\Users\user\Desktop\[새 폴더(750)-2024년 간선임도사업(기번3).xlsx]재료비목록표</v>
      </c>
      <c r="E6" s="131"/>
      <c r="F6" s="132">
        <f ca="1">HYPERLINK("#"&amp;C6&amp;"!"&amp;CHAR(COLUMN(재료비목록표!B1)+64)&amp;3,COLUMN(재료비목록표!B1))</f>
        <v>2</v>
      </c>
      <c r="G6" s="132">
        <f ca="1">HYPERLINK("#"&amp;C6&amp;"!"&amp;CHAR(COLUMN(재료비목록표!C1)+64)&amp;3,COLUMN(재료비목록표!C1))</f>
        <v>3</v>
      </c>
      <c r="H6" s="131"/>
      <c r="I6" s="132">
        <f ca="1">HYPERLINK("#"&amp;C6&amp;"!"&amp;CHAR(COLUMN(재료비목록표!D1)+64)&amp;3,COLUMN(재료비목록표!D1))</f>
        <v>4</v>
      </c>
      <c r="J6" s="132">
        <f ca="1">HYPERLINK("#"&amp;C6&amp;"!A"&amp;ROW(재료비목록표!A4),ROW(재료비목록표!A4))</f>
        <v>4</v>
      </c>
      <c r="K6" s="132">
        <f ca="1">HYPERLINK("#"&amp;C6&amp;"!A"&amp;ROW(재료비목록표!A49),ROW(재료비목록표!A49))</f>
        <v>49</v>
      </c>
      <c r="L6" s="132">
        <f ca="1">HYPERLINK("#"&amp;C6&amp;"!"&amp;CHAR(COLUMN(재료비목록표!E1)+64)&amp;3,COLUMN(재료비목록표!E1))</f>
        <v>5</v>
      </c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2">
        <f ca="1">HYPERLINK("#"&amp;C6&amp;"!"&amp;CHAR(COLUMN(재료비목록표!G1)+64)&amp;3,COLUMN(재료비목록표!G1))</f>
        <v>7</v>
      </c>
    </row>
    <row r="7" spans="2:24" hidden="1" x14ac:dyDescent="0.3">
      <c r="B7" s="126" t="s">
        <v>2324</v>
      </c>
      <c r="C7" s="128" t="str">
        <f ca="1">IF(D7="","노무비목록표",MID(D7,FIND("]",D7)+1,LEN(D7)))</f>
        <v>노무비목록표</v>
      </c>
      <c r="D7" s="128" t="str">
        <f ca="1">CELL("filename",노무비목록표!A1)</f>
        <v>C:\Users\user\Desktop\[새 폴더(750)-2024년 간선임도사업(기번3).xlsx]노무비목록표</v>
      </c>
      <c r="E7" s="131"/>
      <c r="F7" s="132">
        <f ca="1">HYPERLINK("#"&amp;C7&amp;"!"&amp;CHAR(COLUMN(노무비목록표!B1)+64)&amp;3,COLUMN(노무비목록표!B1))</f>
        <v>2</v>
      </c>
      <c r="G7" s="132">
        <f ca="1">HYPERLINK("#"&amp;C7&amp;"!"&amp;CHAR(COLUMN(노무비목록표!C1)+64)&amp;3,COLUMN(노무비목록표!C1))</f>
        <v>3</v>
      </c>
      <c r="H7" s="131"/>
      <c r="I7" s="132">
        <f ca="1">HYPERLINK("#"&amp;C7&amp;"!"&amp;CHAR(COLUMN(노무비목록표!D1)+64)&amp;3,COLUMN(노무비목록표!D1))</f>
        <v>4</v>
      </c>
      <c r="J7" s="132">
        <f ca="1">HYPERLINK("#"&amp;C7&amp;"!A"&amp;ROW(노무비목록표!A4),ROW(노무비목록표!A4))</f>
        <v>4</v>
      </c>
      <c r="K7" s="132">
        <f ca="1">HYPERLINK("#"&amp;C7&amp;"!A"&amp;ROW(노무비목록표!A15),ROW(노무비목록표!A15))</f>
        <v>15</v>
      </c>
      <c r="L7" s="132">
        <f ca="1">HYPERLINK("#"&amp;C7&amp;"!"&amp;CHAR(COLUMN(노무비목록표!E1)+64)&amp;3,COLUMN(노무비목록표!E1))</f>
        <v>5</v>
      </c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2">
        <f ca="1">HYPERLINK("#"&amp;C7&amp;"!"&amp;CHAR(COLUMN(노무비목록표!G1)+64)&amp;3,COLUMN(노무비목록표!G1))</f>
        <v>7</v>
      </c>
    </row>
    <row r="8" spans="2:24" hidden="1" x14ac:dyDescent="0.3">
      <c r="B8" s="126" t="s">
        <v>2325</v>
      </c>
      <c r="C8" s="128" t="str">
        <f ca="1">IF(D8="","경비목록표",MID(D8,FIND("]",D8)+1,LEN(D8)))</f>
        <v>경비목록표</v>
      </c>
      <c r="D8" s="128" t="str">
        <f ca="1">CELL("filename",경비목록표!A1)</f>
        <v>C:\Users\user\Desktop\[새 폴더(750)-2024년 간선임도사업(기번3).xlsx]경비목록표</v>
      </c>
      <c r="E8" s="131"/>
      <c r="F8" s="132">
        <f ca="1">HYPERLINK("#"&amp;C8&amp;"!"&amp;CHAR(COLUMN(경비목록표!B1)+64)&amp;3,COLUMN(경비목록표!B1))</f>
        <v>2</v>
      </c>
      <c r="G8" s="132">
        <f ca="1">HYPERLINK("#"&amp;C8&amp;"!"&amp;CHAR(COLUMN(경비목록표!C1)+64)&amp;3,COLUMN(경비목록표!C1))</f>
        <v>3</v>
      </c>
      <c r="H8" s="131"/>
      <c r="I8" s="132">
        <f ca="1">HYPERLINK("#"&amp;C8&amp;"!"&amp;CHAR(COLUMN(경비목록표!D1)+64)&amp;3,COLUMN(경비목록표!D1))</f>
        <v>4</v>
      </c>
      <c r="J8" s="132">
        <f ca="1">HYPERLINK("#"&amp;C8&amp;"!A"&amp;ROW(경비목록표!A4),ROW(경비목록표!A4))</f>
        <v>4</v>
      </c>
      <c r="K8" s="132">
        <f ca="1">HYPERLINK("#"&amp;C8&amp;"!A"&amp;ROW(경비목록표!A26),ROW(경비목록표!A26))</f>
        <v>26</v>
      </c>
      <c r="L8" s="132">
        <f ca="1">HYPERLINK("#"&amp;C8&amp;"!"&amp;CHAR(COLUMN(경비목록표!E1)+64)&amp;3,COLUMN(경비목록표!E1))</f>
        <v>5</v>
      </c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2">
        <f ca="1">HYPERLINK("#"&amp;C8&amp;"!"&amp;CHAR(COLUMN(경비목록표!G1)+64)&amp;3,COLUMN(경비목록표!G1))</f>
        <v>7</v>
      </c>
    </row>
    <row r="9" spans="2:24" hidden="1" x14ac:dyDescent="0.3">
      <c r="B9" s="126" t="s">
        <v>2326</v>
      </c>
      <c r="C9" s="126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</row>
    <row r="10" spans="2:24" hidden="1" x14ac:dyDescent="0.3">
      <c r="B10" s="126" t="s">
        <v>2327</v>
      </c>
      <c r="C10" s="128" t="str">
        <f ca="1">IF(D10="","환율및기초자료",MID(D10,FIND("]",D10)+1,LEN(D10)))</f>
        <v>환율및기초자료</v>
      </c>
      <c r="D10" s="128" t="str">
        <f ca="1">CELL("filename",환율및기초자료!A1)</f>
        <v>C:\Users\user\Desktop\[새 폴더(750)-2024년 간선임도사업(기번3).xlsx]환율및기초자료</v>
      </c>
      <c r="E10" s="132">
        <f ca="1">HYPERLINK("#"&amp;C10&amp;"!"&amp;CHAR(COLUMN(환율및기초자료!B1)+64)&amp;5,COLUMN(환율및기초자료!B1))</f>
        <v>2</v>
      </c>
      <c r="F10" s="132">
        <f ca="1">HYPERLINK("#"&amp;C10&amp;"!"&amp;CHAR(COLUMN(환율및기초자료!C1)+64)&amp;5,COLUMN(환율및기초자료!C1))</f>
        <v>3</v>
      </c>
      <c r="G10" s="132">
        <f ca="1">HYPERLINK("#"&amp;C10&amp;"!"&amp;CHAR(COLUMN(환율및기초자료!D1)+64)&amp;5,COLUMN(환율및기초자료!D1))</f>
        <v>4</v>
      </c>
      <c r="H10" s="131"/>
      <c r="I10" s="132">
        <f ca="1">HYPERLINK("#"&amp;C10&amp;"!"&amp;CHAR(COLUMN(환율및기초자료!E1)+64)&amp;5,COLUMN(환율및기초자료!E1))</f>
        <v>5</v>
      </c>
      <c r="J10" s="132">
        <f ca="1">HYPERLINK("#"&amp;C10&amp;"!A"&amp;ROW(환율및기초자료!A6),ROW(환율및기초자료!A6))</f>
        <v>6</v>
      </c>
      <c r="K10" s="132">
        <f ca="1">HYPERLINK("#"&amp;C10&amp;"!A"&amp;ROW(환율및기초자료!A17),ROW(환율및기초자료!A17))</f>
        <v>17</v>
      </c>
      <c r="L10" s="132">
        <f ca="1">HYPERLINK("#"&amp;C10&amp;"!"&amp;CHAR(COLUMN(환율및기초자료!F1)+64)&amp;5,COLUMN(환율및기초자료!F1))</f>
        <v>6</v>
      </c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2">
        <f ca="1">HYPERLINK("#"&amp;C10&amp;"!"&amp;CHAR(COLUMN(환율및기초자료!I1)+64)&amp;5,COLUMN(환율및기초자료!I1))</f>
        <v>9</v>
      </c>
    </row>
    <row r="11" spans="2:24" hidden="1" x14ac:dyDescent="0.3">
      <c r="B11" s="126" t="s">
        <v>2328</v>
      </c>
      <c r="C11" s="128" t="str">
        <f ca="1">IF(D11="","중기목록표",MID(D11,FIND("]",D11)+1,LEN(D11)))</f>
        <v>중기목록표</v>
      </c>
      <c r="D11" s="128" t="str">
        <f ca="1">CELL("filename",중기목록표!A1)</f>
        <v>C:\Users\user\Desktop\[새 폴더(750)-2024년 간선임도사업(기번3).xlsx]중기목록표</v>
      </c>
      <c r="E11" s="131"/>
      <c r="F11" s="132">
        <f ca="1">HYPERLINK("#"&amp;C11&amp;"!"&amp;CHAR(COLUMN(중기목록표!B1)+64)&amp;3,COLUMN(중기목록표!B1))</f>
        <v>2</v>
      </c>
      <c r="G11" s="132">
        <f ca="1">HYPERLINK("#"&amp;C11&amp;"!"&amp;CHAR(COLUMN(중기목록표!C1)+64)&amp;3,COLUMN(중기목록표!C1))</f>
        <v>3</v>
      </c>
      <c r="H11" s="131"/>
      <c r="I11" s="132">
        <f ca="1">HYPERLINK("#"&amp;C11&amp;"!"&amp;CHAR(COLUMN(중기목록표!D1)+64)&amp;3,COLUMN(중기목록표!D1))</f>
        <v>4</v>
      </c>
      <c r="J11" s="132">
        <f ca="1">HYPERLINK("#"&amp;C11&amp;"!A"&amp;ROW(중기목록표!A4),ROW(중기목록표!A4))</f>
        <v>4</v>
      </c>
      <c r="K11" s="132">
        <f ca="1">HYPERLINK("#"&amp;C11&amp;"!A"&amp;ROW(중기목록표!A28),ROW(중기목록표!A28))</f>
        <v>28</v>
      </c>
      <c r="L11" s="132">
        <f ca="1">HYPERLINK("#"&amp;C11&amp;"!"&amp;CHAR(COLUMN(중기목록표!E1)+64)&amp;3,COLUMN(중기목록표!E1))</f>
        <v>5</v>
      </c>
      <c r="M11" s="131"/>
      <c r="N11" s="132">
        <f ca="1">HYPERLINK("#"&amp;C11&amp;"!"&amp;CHAR(COLUMN(중기목록표!G1)+64)&amp;3,COLUMN(중기목록표!G1))</f>
        <v>7</v>
      </c>
      <c r="O11" s="131"/>
      <c r="P11" s="132">
        <f ca="1">HYPERLINK("#"&amp;C11&amp;"!"&amp;CHAR(COLUMN(중기목록표!F1)+64)&amp;3,COLUMN(중기목록표!F1))</f>
        <v>6</v>
      </c>
      <c r="Q11" s="131"/>
      <c r="R11" s="132">
        <f ca="1">HYPERLINK("#"&amp;C11&amp;"!"&amp;CHAR(COLUMN(중기목록표!H1)+64)&amp;3,COLUMN(중기목록표!H1))</f>
        <v>8</v>
      </c>
      <c r="S11" s="131"/>
      <c r="T11" s="131"/>
      <c r="U11" s="131"/>
      <c r="V11" s="131"/>
      <c r="W11" s="131"/>
      <c r="X11" s="132">
        <f ca="1">HYPERLINK("#"&amp;C11&amp;"!"&amp;CHAR(COLUMN(중기목록표!J1)+64)&amp;3,COLUMN(중기목록표!J1))</f>
        <v>10</v>
      </c>
    </row>
    <row r="12" spans="2:24" hidden="1" x14ac:dyDescent="0.3">
      <c r="B12" s="126" t="s">
        <v>2329</v>
      </c>
      <c r="C12" s="126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</row>
    <row r="13" spans="2:24" hidden="1" x14ac:dyDescent="0.3">
      <c r="B13" s="126" t="s">
        <v>2330</v>
      </c>
      <c r="C13" s="128" t="str">
        <f ca="1">IF(D13="","일위대가목록표",MID(D13,FIND("]",D13)+1,LEN(D13)))</f>
        <v>일위대가목록표</v>
      </c>
      <c r="D13" s="128" t="str">
        <f ca="1">CELL("filename",일위대가목록표!A1)</f>
        <v>C:\Users\user\Desktop\[새 폴더(750)-2024년 간선임도사업(기번3).xlsx]일위대가목록표</v>
      </c>
      <c r="E13" s="131"/>
      <c r="F13" s="132">
        <f ca="1">HYPERLINK("#"&amp;C13&amp;"!"&amp;CHAR(COLUMN(일위대가목록표!B1)+64)&amp;3,COLUMN(일위대가목록표!B1))</f>
        <v>2</v>
      </c>
      <c r="G13" s="132">
        <f ca="1">HYPERLINK("#"&amp;C13&amp;"!"&amp;CHAR(COLUMN(일위대가목록표!C1)+64)&amp;3,COLUMN(일위대가목록표!C1))</f>
        <v>3</v>
      </c>
      <c r="H13" s="131"/>
      <c r="I13" s="132">
        <f ca="1">HYPERLINK("#"&amp;C13&amp;"!"&amp;CHAR(COLUMN(일위대가목록표!D1)+64)&amp;3,COLUMN(일위대가목록표!D1))</f>
        <v>4</v>
      </c>
      <c r="J13" s="132">
        <f ca="1">HYPERLINK("#"&amp;C13&amp;"!A"&amp;ROW(일위대가목록표!A4),ROW(일위대가목록표!A4))</f>
        <v>4</v>
      </c>
      <c r="K13" s="132">
        <f ca="1">HYPERLINK("#"&amp;C13&amp;"!A"&amp;ROW(일위대가목록표!A37),ROW(일위대가목록표!A37))</f>
        <v>37</v>
      </c>
      <c r="L13" s="132">
        <f ca="1">HYPERLINK("#"&amp;C13&amp;"!"&amp;CHAR(COLUMN(일위대가목록표!E1)+64)&amp;3,COLUMN(일위대가목록표!E1))</f>
        <v>5</v>
      </c>
      <c r="M13" s="131"/>
      <c r="N13" s="132">
        <f ca="1">HYPERLINK("#"&amp;C13&amp;"!"&amp;CHAR(COLUMN(일위대가목록표!G1)+64)&amp;3,COLUMN(일위대가목록표!G1))</f>
        <v>7</v>
      </c>
      <c r="O13" s="131"/>
      <c r="P13" s="132">
        <f ca="1">HYPERLINK("#"&amp;C13&amp;"!"&amp;CHAR(COLUMN(일위대가목록표!F1)+64)&amp;3,COLUMN(일위대가목록표!F1))</f>
        <v>6</v>
      </c>
      <c r="Q13" s="131"/>
      <c r="R13" s="132">
        <f ca="1">HYPERLINK("#"&amp;C13&amp;"!"&amp;CHAR(COLUMN(일위대가목록표!H1)+64)&amp;3,COLUMN(일위대가목록표!H1))</f>
        <v>8</v>
      </c>
      <c r="S13" s="131"/>
      <c r="T13" s="131"/>
      <c r="U13" s="131"/>
      <c r="V13" s="131"/>
      <c r="W13" s="131"/>
      <c r="X13" s="132">
        <f ca="1">HYPERLINK("#"&amp;C13&amp;"!"&amp;CHAR(COLUMN(일위대가목록표!J1)+64)&amp;3,COLUMN(일위대가목록표!J1))</f>
        <v>10</v>
      </c>
    </row>
    <row r="14" spans="2:24" hidden="1" x14ac:dyDescent="0.3">
      <c r="B14" s="126" t="s">
        <v>2331</v>
      </c>
      <c r="C14" s="128" t="str">
        <f ca="1">IF(D14="","단가산출근거목록표",MID(D14,FIND("]",D14)+1,LEN(D14)))</f>
        <v>단가산출근거목록표</v>
      </c>
      <c r="D14" s="128" t="str">
        <f ca="1">CELL("filename",단가산출근거목록표!A1)</f>
        <v>C:\Users\user\Desktop\[새 폴더(750)-2024년 간선임도사업(기번3).xlsx]단가산출근거목록표</v>
      </c>
      <c r="E14" s="131"/>
      <c r="F14" s="132">
        <f ca="1">HYPERLINK("#"&amp;C14&amp;"!"&amp;CHAR(COLUMN(단가산출근거목록표!B1)+64)&amp;3,COLUMN(단가산출근거목록표!B1))</f>
        <v>2</v>
      </c>
      <c r="G14" s="132">
        <f ca="1">HYPERLINK("#"&amp;C14&amp;"!"&amp;CHAR(COLUMN(단가산출근거목록표!C1)+64)&amp;3,COLUMN(단가산출근거목록표!C1))</f>
        <v>3</v>
      </c>
      <c r="H14" s="131"/>
      <c r="I14" s="132">
        <f ca="1">HYPERLINK("#"&amp;C14&amp;"!"&amp;CHAR(COLUMN(단가산출근거목록표!D1)+64)&amp;3,COLUMN(단가산출근거목록표!D1))</f>
        <v>4</v>
      </c>
      <c r="J14" s="132">
        <f ca="1">HYPERLINK("#"&amp;C14&amp;"!A"&amp;ROW(단가산출근거목록표!A4),ROW(단가산출근거목록표!A4))</f>
        <v>4</v>
      </c>
      <c r="K14" s="132">
        <f ca="1">HYPERLINK("#"&amp;C14&amp;"!A"&amp;ROW(단가산출근거목록표!A49),ROW(단가산출근거목록표!A49))</f>
        <v>49</v>
      </c>
      <c r="L14" s="132">
        <f ca="1">HYPERLINK("#"&amp;C14&amp;"!"&amp;CHAR(COLUMN(단가산출근거목록표!E1)+64)&amp;3,COLUMN(단가산출근거목록표!E1))</f>
        <v>5</v>
      </c>
      <c r="M14" s="131"/>
      <c r="N14" s="132">
        <f ca="1">HYPERLINK("#"&amp;C14&amp;"!"&amp;CHAR(COLUMN(단가산출근거목록표!G1)+64)&amp;3,COLUMN(단가산출근거목록표!G1))</f>
        <v>7</v>
      </c>
      <c r="O14" s="131"/>
      <c r="P14" s="132">
        <f ca="1">HYPERLINK("#"&amp;C14&amp;"!"&amp;CHAR(COLUMN(단가산출근거목록표!F1)+64)&amp;3,COLUMN(단가산출근거목록표!F1))</f>
        <v>6</v>
      </c>
      <c r="Q14" s="131"/>
      <c r="R14" s="132">
        <f ca="1">HYPERLINK("#"&amp;C14&amp;"!"&amp;CHAR(COLUMN(단가산출근거목록표!H1)+64)&amp;3,COLUMN(단가산출근거목록표!H1))</f>
        <v>8</v>
      </c>
      <c r="S14" s="131"/>
      <c r="T14" s="131"/>
      <c r="U14" s="131"/>
      <c r="V14" s="131"/>
      <c r="W14" s="131"/>
      <c r="X14" s="132">
        <f ca="1">HYPERLINK("#"&amp;C14&amp;"!"&amp;CHAR(COLUMN(단가산출근거목록표!J1)+64)&amp;3,COLUMN(단가산출근거목록표!J1))</f>
        <v>10</v>
      </c>
    </row>
    <row r="15" spans="2:24" hidden="1" x14ac:dyDescent="0.3">
      <c r="B15" s="126" t="s">
        <v>2332</v>
      </c>
      <c r="C15" s="128" t="str">
        <f ca="1">IF(D15="","자재단가대비표",MID(D15,FIND("]",D15)+1,LEN(D15)))</f>
        <v>자재단가대비표</v>
      </c>
      <c r="D15" s="128" t="str">
        <f ca="1">CELL("filename",자재단가대비표!A1)</f>
        <v>C:\Users\user\Desktop\[새 폴더(750)-2024년 간선임도사업(기번3).xlsx]자재단가대비표</v>
      </c>
      <c r="E15" s="131"/>
      <c r="F15" s="132">
        <f ca="1">HYPERLINK("#"&amp;C15&amp;"!"&amp;CHAR(COLUMN(자재단가대비표!B1)+64)&amp;4,COLUMN(자재단가대비표!B1))</f>
        <v>2</v>
      </c>
      <c r="G15" s="132">
        <f ca="1">HYPERLINK("#"&amp;C15&amp;"!"&amp;CHAR(COLUMN(자재단가대비표!C1)+64)&amp;4,COLUMN(자재단가대비표!C1))</f>
        <v>3</v>
      </c>
      <c r="H15" s="131"/>
      <c r="I15" s="132">
        <f ca="1">HYPERLINK("#"&amp;C15&amp;"!"&amp;CHAR(COLUMN(자재단가대비표!D1)+64)&amp;4,COLUMN(자재단가대비표!D1))</f>
        <v>4</v>
      </c>
      <c r="J15" s="132">
        <f ca="1">HYPERLINK("#"&amp;C15&amp;"!A"&amp;ROW(자재단가대비표!A5),ROW(자재단가대비표!A5))</f>
        <v>5</v>
      </c>
      <c r="K15" s="132">
        <f ca="1">HYPERLINK("#"&amp;C15&amp;"!A"&amp;ROW(자재단가대비표!A50),ROW(자재단가대비표!A50))</f>
        <v>50</v>
      </c>
      <c r="L15" s="132">
        <f ca="1">HYPERLINK("#"&amp;C15&amp;"!"&amp;CHAR(COLUMN(자재단가대비표!E1)+64)&amp;4,COLUMN(자재단가대비표!E1))</f>
        <v>5</v>
      </c>
      <c r="M15" s="132">
        <f ca="1">HYPERLINK("#"&amp;C15&amp;"!"&amp;CHAR(COLUMN(자재단가대비표!F1)+64)&amp;4,COLUMN(자재단가대비표!F1))</f>
        <v>6</v>
      </c>
      <c r="N15" s="132">
        <f ca="1">HYPERLINK("#"&amp;C15&amp;"!"&amp;CHAR(COLUMN(자재단가대비표!G1)+64)&amp;4,COLUMN(자재단가대비표!G1))</f>
        <v>7</v>
      </c>
      <c r="O15" s="132">
        <f ca="1">HYPERLINK("#"&amp;C15&amp;"!"&amp;CHAR(COLUMN(자재단가대비표!H1)+64)&amp;4,COLUMN(자재단가대비표!H1))</f>
        <v>8</v>
      </c>
      <c r="P15" s="132">
        <f ca="1">HYPERLINK("#"&amp;C15&amp;"!"&amp;CHAR(COLUMN(자재단가대비표!I1)+64)&amp;4,COLUMN(자재단가대비표!I1))</f>
        <v>9</v>
      </c>
      <c r="Q15" s="132">
        <f ca="1">HYPERLINK("#"&amp;C15&amp;"!"&amp;CHAR(COLUMN(자재단가대비표!J1)+64)&amp;4,COLUMN(자재단가대비표!J1))</f>
        <v>10</v>
      </c>
      <c r="R15" s="132">
        <f ca="1">HYPERLINK("#"&amp;C15&amp;"!"&amp;CHAR(COLUMN(자재단가대비표!K1)+64)&amp;4,COLUMN(자재단가대비표!K1))</f>
        <v>11</v>
      </c>
      <c r="S15" s="132">
        <f ca="1">HYPERLINK("#"&amp;C15&amp;"!"&amp;CHAR(COLUMN(자재단가대비표!L1)+64)&amp;4,COLUMN(자재단가대비표!L1))</f>
        <v>12</v>
      </c>
      <c r="T15" s="132">
        <f ca="1">HYPERLINK("#"&amp;C15&amp;"!"&amp;CHAR(COLUMN(자재단가대비표!M1)+64)&amp;4,COLUMN(자재단가대비표!M1))</f>
        <v>13</v>
      </c>
      <c r="U15" s="132">
        <f ca="1">HYPERLINK("#"&amp;C15&amp;"!"&amp;CHAR(COLUMN(자재단가대비표!N1)+64)&amp;4,COLUMN(자재단가대비표!N1))</f>
        <v>14</v>
      </c>
      <c r="V15" s="132">
        <f ca="1">HYPERLINK("#"&amp;C15&amp;"!"&amp;CHAR(COLUMN(자재단가대비표!O1)+64)&amp;4,COLUMN(자재단가대비표!O1))</f>
        <v>15</v>
      </c>
      <c r="W15" s="132">
        <f ca="1">HYPERLINK("#"&amp;C15&amp;"!"&amp;CHAR(COLUMN(자재단가대비표!P1)+64)&amp;4,COLUMN(자재단가대비표!P1))</f>
        <v>16</v>
      </c>
      <c r="X15" s="132">
        <f ca="1">HYPERLINK("#"&amp;C15&amp;"!"&amp;CHAR(COLUMN(자재단가대비표!R1)+64)&amp;4,COLUMN(자재단가대비표!R1))</f>
        <v>18</v>
      </c>
    </row>
    <row r="16" spans="2:24" hidden="1" x14ac:dyDescent="0.3">
      <c r="B16" s="126" t="s">
        <v>2333</v>
      </c>
      <c r="C16" s="128" t="str">
        <f ca="1">IF(D16="","설계내역서",MID(D16,FIND("]",D16)+1,LEN(D16)))</f>
        <v>설계내역서</v>
      </c>
      <c r="D16" s="128" t="str">
        <f ca="1">CELL("filename",설계내역서!A1)</f>
        <v>C:\Users\user\Desktop\[새 폴더(750)-2024년 간선임도사업(기번3).xlsx]설계내역서</v>
      </c>
      <c r="E16" s="132">
        <f ca="1">HYPERLINK("#"&amp;C16&amp;"!"&amp;CHAR(COLUMN(설계내역서!A1)+64)&amp;4,COLUMN(설계내역서!A1))</f>
        <v>1</v>
      </c>
      <c r="F16" s="132">
        <f ca="1">HYPERLINK("#"&amp;C16&amp;"!"&amp;CHAR(COLUMN(설계내역서!B1)+64)&amp;4,COLUMN(설계내역서!B1))</f>
        <v>2</v>
      </c>
      <c r="G16" s="132">
        <f ca="1">HYPERLINK("#"&amp;C16&amp;"!"&amp;CHAR(COLUMN(설계내역서!C1)+64)&amp;4,COLUMN(설계내역서!C1))</f>
        <v>3</v>
      </c>
      <c r="H16" s="132">
        <f ca="1">HYPERLINK("#"&amp;C16&amp;"!"&amp;CHAR(COLUMN(설계내역서!D1)+64)&amp;4,COLUMN(설계내역서!D1))</f>
        <v>4</v>
      </c>
      <c r="I16" s="132">
        <f ca="1">HYPERLINK("#"&amp;C16&amp;"!"&amp;CHAR(COLUMN(설계내역서!E1)+64)&amp;4,COLUMN(설계내역서!E1))</f>
        <v>5</v>
      </c>
      <c r="J16" s="132">
        <f ca="1">HYPERLINK("#"&amp;C16&amp;"!A"&amp;ROW(설계내역서!A5),ROW(설계내역서!A5))</f>
        <v>5</v>
      </c>
      <c r="K16" s="132">
        <f ca="1">HYPERLINK("#"&amp;C16&amp;"!A"&amp;ROW(설계내역서!A265),ROW(설계내역서!A265))</f>
        <v>265</v>
      </c>
      <c r="L16" s="132">
        <f ca="1">HYPERLINK("#"&amp;C16&amp;"!"&amp;CHAR(COLUMN(설계내역서!F1)+64)&amp;4,COLUMN(설계내역서!F1))</f>
        <v>6</v>
      </c>
      <c r="M16" s="132">
        <f ca="1">HYPERLINK("#"&amp;C16&amp;"!"&amp;CHAR(COLUMN(설계내역서!G1)+64)&amp;4,COLUMN(설계내역서!G1))</f>
        <v>7</v>
      </c>
      <c r="N16" s="132">
        <f ca="1">HYPERLINK("#"&amp;C16&amp;"!"&amp;CHAR(COLUMN(설계내역서!J1)+64)&amp;4,COLUMN(설계내역서!J1))</f>
        <v>10</v>
      </c>
      <c r="O16" s="132">
        <f ca="1">HYPERLINK("#"&amp;C16&amp;"!"&amp;CHAR(COLUMN(설계내역서!K1)+64)&amp;4,COLUMN(설계내역서!K1))</f>
        <v>11</v>
      </c>
      <c r="P16" s="132">
        <f ca="1">HYPERLINK("#"&amp;C16&amp;"!"&amp;CHAR(COLUMN(설계내역서!H1)+64)&amp;4,COLUMN(설계내역서!H1))</f>
        <v>8</v>
      </c>
      <c r="Q16" s="132">
        <f ca="1">HYPERLINK("#"&amp;C16&amp;"!"&amp;CHAR(COLUMN(설계내역서!I1)+64)&amp;4,COLUMN(설계내역서!I1))</f>
        <v>9</v>
      </c>
      <c r="R16" s="132">
        <f ca="1">HYPERLINK("#"&amp;C16&amp;"!"&amp;CHAR(COLUMN(설계내역서!L1)+64)&amp;4,COLUMN(설계내역서!L1))</f>
        <v>12</v>
      </c>
      <c r="S16" s="132">
        <f ca="1">HYPERLINK("#"&amp;C16&amp;"!"&amp;CHAR(COLUMN(설계내역서!M1)+64)&amp;4,COLUMN(설계내역서!M1))</f>
        <v>13</v>
      </c>
      <c r="T16" s="131"/>
      <c r="U16" s="131"/>
      <c r="V16" s="131"/>
      <c r="W16" s="131"/>
      <c r="X16" s="132">
        <f ca="1">HYPERLINK("#"&amp;C16&amp;"!"&amp;CHAR(COLUMN(설계내역서!O1)+64)&amp;4,COLUMN(설계내역서!O1))</f>
        <v>15</v>
      </c>
    </row>
    <row r="17" spans="2:24" hidden="1" x14ac:dyDescent="0.3">
      <c r="B17" s="126" t="s">
        <v>2334</v>
      </c>
      <c r="C17" s="128" t="str">
        <f ca="1">IF(D17="","총괄설계내역서",MID(D17,FIND("]",D17)+1,LEN(D17)))</f>
        <v>총괄설계내역서</v>
      </c>
      <c r="D17" s="128" t="str">
        <f ca="1">CELL("filename",총괄설계내역서!A1)</f>
        <v>C:\Users\user\Desktop\[새 폴더(750)-2024년 간선임도사업(기번3).xlsx]총괄설계내역서</v>
      </c>
      <c r="E17" s="132">
        <f ca="1">HYPERLINK("#"&amp;C17&amp;"!"&amp;CHAR(COLUMN(총괄설계내역서!A1)+64)&amp;3,COLUMN(총괄설계내역서!A1))</f>
        <v>1</v>
      </c>
      <c r="F17" s="132">
        <f ca="1">HYPERLINK("#"&amp;C17&amp;"!"&amp;CHAR(COLUMN(총괄설계내역서!B1)+64)&amp;3,COLUMN(총괄설계내역서!B1))</f>
        <v>2</v>
      </c>
      <c r="G17" s="132">
        <f ca="1">HYPERLINK("#"&amp;C17&amp;"!"&amp;CHAR(COLUMN(총괄설계내역서!C1)+64)&amp;3,COLUMN(총괄설계내역서!C1))</f>
        <v>3</v>
      </c>
      <c r="H17" s="131"/>
      <c r="I17" s="132">
        <f ca="1">HYPERLINK("#"&amp;C17&amp;"!"&amp;CHAR(COLUMN(총괄설계내역서!E1)+64)&amp;3,COLUMN(총괄설계내역서!E1))</f>
        <v>5</v>
      </c>
      <c r="J17" s="132">
        <f ca="1">HYPERLINK("#"&amp;C17&amp;"!A"&amp;ROW(총괄설계내역서!A4),ROW(총괄설계내역서!A4))</f>
        <v>4</v>
      </c>
      <c r="K17" s="132">
        <f ca="1">HYPERLINK("#"&amp;C17&amp;"!A"&amp;ROW(총괄설계내역서!A67),ROW(총괄설계내역서!A67))</f>
        <v>67</v>
      </c>
      <c r="L17" s="132">
        <f ca="1">HYPERLINK("#"&amp;C17&amp;"!"&amp;CHAR(COLUMN(총괄설계내역서!D1)+64)&amp;3,COLUMN(총괄설계내역서!D1))</f>
        <v>4</v>
      </c>
      <c r="M17" s="132">
        <f ca="1">HYPERLINK("#"&amp;C17&amp;"!"&amp;CHAR(COLUMN(총괄설계내역서!I1)+64)&amp;3,COLUMN(총괄설계내역서!I1))</f>
        <v>9</v>
      </c>
      <c r="N17" s="132">
        <f ca="1">HYPERLINK("#"&amp;C17&amp;"!"&amp;CHAR(COLUMN(총괄설계내역서!M1)+64)&amp;3,COLUMN(총괄설계내역서!M1))</f>
        <v>13</v>
      </c>
      <c r="O17" s="132">
        <f ca="1">HYPERLINK("#"&amp;C17&amp;"!"&amp;CHAR(COLUMN(총괄설계내역서!N1)+64)&amp;3,COLUMN(총괄설계내역서!N1))</f>
        <v>14</v>
      </c>
      <c r="P17" s="132">
        <f ca="1">HYPERLINK("#"&amp;C17&amp;"!"&amp;CHAR(COLUMN(총괄설계내역서!O1)+64)&amp;3,COLUMN(총괄설계내역서!O1))</f>
        <v>15</v>
      </c>
      <c r="Q17" s="132">
        <f ca="1">HYPERLINK("#"&amp;C17&amp;"!"&amp;CHAR(COLUMN(총괄설계내역서!P1)+64)&amp;3,COLUMN(총괄설계내역서!P1))</f>
        <v>16</v>
      </c>
      <c r="R17" s="131"/>
      <c r="S17" s="131"/>
      <c r="T17" s="131"/>
      <c r="U17" s="131"/>
      <c r="V17" s="131"/>
      <c r="W17" s="131"/>
      <c r="X17" s="132">
        <f ca="1">HYPERLINK("#"&amp;C17&amp;"!"&amp;CHAR(COLUMN(총괄설계내역서!H1)+64)&amp;3,COLUMN(총괄설계내역서!H1))</f>
        <v>8</v>
      </c>
    </row>
    <row r="18" spans="2:24" hidden="1" x14ac:dyDescent="0.3">
      <c r="B18" s="126" t="s">
        <v>2335</v>
      </c>
      <c r="C18" s="128" t="str">
        <f ca="1">IF(D18="","중기사용료",MID(D18,FIND("]",D18)+1,LEN(D18)))</f>
        <v>중기사용료</v>
      </c>
      <c r="D18" s="128" t="str">
        <f ca="1">CELL("filename",중기사용료!A1)</f>
        <v>C:\Users\user\Desktop\[새 폴더(750)-2024년 간선임도사업(기번3).xlsx]중기사용료</v>
      </c>
      <c r="E18" s="131"/>
      <c r="F18" s="132">
        <f ca="1">HYPERLINK("#"&amp;C18&amp;"!"&amp;CHAR(COLUMN(중기사용료!A1)+64)&amp;4,COLUMN(중기사용료!A1))</f>
        <v>1</v>
      </c>
      <c r="G18" s="132">
        <f ca="1">HYPERLINK("#"&amp;C18&amp;"!"&amp;CHAR(COLUMN(중기사용료!B1)+64)&amp;4,COLUMN(중기사용료!B1))</f>
        <v>2</v>
      </c>
      <c r="H18" s="132">
        <f ca="1">HYPERLINK("#"&amp;C18&amp;"!"&amp;CHAR(COLUMN(중기사용료!C1)+64)&amp;4,COLUMN(중기사용료!C1))</f>
        <v>3</v>
      </c>
      <c r="I18" s="132">
        <f ca="1">HYPERLINK("#"&amp;C18&amp;"!"&amp;CHAR(COLUMN(중기사용료!D1)+64)&amp;4,COLUMN(중기사용료!D1))</f>
        <v>4</v>
      </c>
      <c r="J18" s="132">
        <f ca="1">HYPERLINK("#"&amp;C18&amp;"!A"&amp;ROW(중기사용료!A5),ROW(중기사용료!A5))</f>
        <v>5</v>
      </c>
      <c r="K18" s="132">
        <f ca="1">HYPERLINK("#"&amp;C18&amp;"!A"&amp;ROW(중기사용료!A177),ROW(중기사용료!A177))</f>
        <v>177</v>
      </c>
      <c r="L18" s="132">
        <f ca="1">HYPERLINK("#"&amp;C18&amp;"!"&amp;CHAR(COLUMN(중기사용료!E1)+64)&amp;4,COLUMN(중기사용료!E1))</f>
        <v>5</v>
      </c>
      <c r="M18" s="132">
        <f ca="1">HYPERLINK("#"&amp;C18&amp;"!"&amp;CHAR(COLUMN(중기사용료!F1)+64)&amp;4,COLUMN(중기사용료!F1))</f>
        <v>6</v>
      </c>
      <c r="N18" s="132">
        <f ca="1">HYPERLINK("#"&amp;C18&amp;"!"&amp;CHAR(COLUMN(중기사용료!I1)+64)&amp;4,COLUMN(중기사용료!I1))</f>
        <v>9</v>
      </c>
      <c r="O18" s="132">
        <f ca="1">HYPERLINK("#"&amp;C18&amp;"!"&amp;CHAR(COLUMN(중기사용료!J1)+64)&amp;4,COLUMN(중기사용료!J1))</f>
        <v>10</v>
      </c>
      <c r="P18" s="132">
        <f ca="1">HYPERLINK("#"&amp;C18&amp;"!"&amp;CHAR(COLUMN(중기사용료!G1)+64)&amp;4,COLUMN(중기사용료!G1))</f>
        <v>7</v>
      </c>
      <c r="Q18" s="132">
        <f ca="1">HYPERLINK("#"&amp;C18&amp;"!"&amp;CHAR(COLUMN(중기사용료!H1)+64)&amp;4,COLUMN(중기사용료!H1))</f>
        <v>8</v>
      </c>
      <c r="R18" s="132">
        <f ca="1">HYPERLINK("#"&amp;C18&amp;"!"&amp;CHAR(COLUMN(중기사용료!K1)+64)&amp;4,COLUMN(중기사용료!K1))</f>
        <v>11</v>
      </c>
      <c r="S18" s="132">
        <f ca="1">HYPERLINK("#"&amp;C18&amp;"!"&amp;CHAR(COLUMN(중기사용료!L1)+64)&amp;4,COLUMN(중기사용료!L1))</f>
        <v>12</v>
      </c>
      <c r="T18" s="131"/>
      <c r="U18" s="131"/>
      <c r="V18" s="131"/>
      <c r="W18" s="131"/>
      <c r="X18" s="132">
        <f ca="1">HYPERLINK("#"&amp;C18&amp;"!"&amp;CHAR(COLUMN(중기사용료!N1)+64)&amp;4,COLUMN(중기사용료!N1))</f>
        <v>14</v>
      </c>
    </row>
    <row r="19" spans="2:24" hidden="1" x14ac:dyDescent="0.3">
      <c r="B19" s="126" t="s">
        <v>2336</v>
      </c>
      <c r="C19" s="128" t="str">
        <f ca="1">IF(D19="","일위대가표",MID(D19,FIND("]",D19)+1,LEN(D19)))</f>
        <v>일위대가표</v>
      </c>
      <c r="D19" s="128" t="str">
        <f ca="1">CELL("filename",일위대가표!A1)</f>
        <v>C:\Users\user\Desktop\[새 폴더(750)-2024년 간선임도사업(기번3).xlsx]일위대가표</v>
      </c>
      <c r="E19" s="131"/>
      <c r="F19" s="132">
        <f ca="1">HYPERLINK("#"&amp;C19&amp;"!"&amp;CHAR(COLUMN(일위대가표!A1)+64)&amp;4,COLUMN(일위대가표!A1))</f>
        <v>1</v>
      </c>
      <c r="G19" s="132">
        <f ca="1">HYPERLINK("#"&amp;C19&amp;"!"&amp;CHAR(COLUMN(일위대가표!B1)+64)&amp;4,COLUMN(일위대가표!B1))</f>
        <v>2</v>
      </c>
      <c r="H19" s="132">
        <f ca="1">HYPERLINK("#"&amp;C19&amp;"!"&amp;CHAR(COLUMN(일위대가표!C1)+64)&amp;4,COLUMN(일위대가표!C1))</f>
        <v>3</v>
      </c>
      <c r="I19" s="132">
        <f ca="1">HYPERLINK("#"&amp;C19&amp;"!"&amp;CHAR(COLUMN(일위대가표!D1)+64)&amp;4,COLUMN(일위대가표!D1))</f>
        <v>4</v>
      </c>
      <c r="J19" s="132">
        <f ca="1">HYPERLINK("#"&amp;C19&amp;"!A"&amp;ROW(일위대가표!A5),ROW(일위대가표!A5))</f>
        <v>5</v>
      </c>
      <c r="K19" s="132">
        <f ca="1">HYPERLINK("#"&amp;C19&amp;"!A"&amp;ROW(일위대가표!A290),ROW(일위대가표!A290))</f>
        <v>290</v>
      </c>
      <c r="L19" s="132">
        <f ca="1">HYPERLINK("#"&amp;C19&amp;"!"&amp;CHAR(COLUMN(일위대가표!E1)+64)&amp;4,COLUMN(일위대가표!E1))</f>
        <v>5</v>
      </c>
      <c r="M19" s="132">
        <f ca="1">HYPERLINK("#"&amp;C19&amp;"!"&amp;CHAR(COLUMN(일위대가표!F1)+64)&amp;4,COLUMN(일위대가표!F1))</f>
        <v>6</v>
      </c>
      <c r="N19" s="132">
        <f ca="1">HYPERLINK("#"&amp;C19&amp;"!"&amp;CHAR(COLUMN(일위대가표!I1)+64)&amp;4,COLUMN(일위대가표!I1))</f>
        <v>9</v>
      </c>
      <c r="O19" s="132">
        <f ca="1">HYPERLINK("#"&amp;C19&amp;"!"&amp;CHAR(COLUMN(일위대가표!J1)+64)&amp;4,COLUMN(일위대가표!J1))</f>
        <v>10</v>
      </c>
      <c r="P19" s="132">
        <f ca="1">HYPERLINK("#"&amp;C19&amp;"!"&amp;CHAR(COLUMN(일위대가표!G1)+64)&amp;4,COLUMN(일위대가표!G1))</f>
        <v>7</v>
      </c>
      <c r="Q19" s="132">
        <f ca="1">HYPERLINK("#"&amp;C19&amp;"!"&amp;CHAR(COLUMN(일위대가표!H1)+64)&amp;4,COLUMN(일위대가표!H1))</f>
        <v>8</v>
      </c>
      <c r="R19" s="132">
        <f ca="1">HYPERLINK("#"&amp;C19&amp;"!"&amp;CHAR(COLUMN(일위대가표!K1)+64)&amp;4,COLUMN(일위대가표!K1))</f>
        <v>11</v>
      </c>
      <c r="S19" s="132">
        <f ca="1">HYPERLINK("#"&amp;C19&amp;"!"&amp;CHAR(COLUMN(일위대가표!L1)+64)&amp;4,COLUMN(일위대가표!L1))</f>
        <v>12</v>
      </c>
      <c r="T19" s="131"/>
      <c r="U19" s="131"/>
      <c r="V19" s="131"/>
      <c r="W19" s="131"/>
      <c r="X19" s="132">
        <f ca="1">HYPERLINK("#"&amp;C19&amp;"!"&amp;CHAR(COLUMN(일위대가표!N1)+64)&amp;4,COLUMN(일위대가표!N1))</f>
        <v>14</v>
      </c>
    </row>
    <row r="20" spans="2:24" hidden="1" x14ac:dyDescent="0.3">
      <c r="B20" s="126" t="s">
        <v>2337</v>
      </c>
      <c r="C20" s="128" t="str">
        <f ca="1">IF(D20="","단가산출근거",MID(D20,FIND("]",D20)+1,LEN(D20)))</f>
        <v>단가산출근거</v>
      </c>
      <c r="D20" s="128" t="str">
        <f ca="1">CELL("filename",단가산출근거!A1)</f>
        <v>C:\Users\user\Desktop\[새 폴더(750)-2024년 간선임도사업(기번3).xlsx]단가산출근거</v>
      </c>
      <c r="E20" s="132">
        <f ca="1">HYPERLINK("#"&amp;C20&amp;"!"&amp;CHAR(COLUMN(단가산출근거!A1)+64)&amp;4,COLUMN(단가산출근거!A1))</f>
        <v>1</v>
      </c>
      <c r="F20" s="132">
        <f ca="1">HYPERLINK("#"&amp;C20&amp;"!"&amp;CHAR(COLUMN(단가산출근거!B1)+64)&amp;4,COLUMN(단가산출근거!B1))</f>
        <v>2</v>
      </c>
      <c r="G20" s="131"/>
      <c r="H20" s="131"/>
      <c r="I20" s="131"/>
      <c r="J20" s="132">
        <f ca="1">HYPERLINK("#"&amp;C20&amp;"!A"&amp;ROW(단가산출근거!A5),ROW(단가산출근거!A5))</f>
        <v>5</v>
      </c>
      <c r="K20" s="132">
        <f ca="1">HYPERLINK("#"&amp;C20&amp;"!A"&amp;ROW(단가산출근거!A3294),ROW(단가산출근거!A3294))</f>
        <v>3294</v>
      </c>
      <c r="L20" s="132">
        <f ca="1">HYPERLINK("#"&amp;C20&amp;"!"&amp;CHAR(COLUMN(단가산출근거!C1)+64)&amp;4,COLUMN(단가산출근거!C1))</f>
        <v>3</v>
      </c>
      <c r="M20" s="131"/>
      <c r="N20" s="132">
        <f ca="1">HYPERLINK("#"&amp;C20&amp;"!"&amp;CHAR(COLUMN(단가산출근거!E1)+64)&amp;4,COLUMN(단가산출근거!E1))</f>
        <v>5</v>
      </c>
      <c r="O20" s="131"/>
      <c r="P20" s="132">
        <f ca="1">HYPERLINK("#"&amp;C20&amp;"!"&amp;CHAR(COLUMN(단가산출근거!D1)+64)&amp;4,COLUMN(단가산출근거!D1))</f>
        <v>4</v>
      </c>
      <c r="Q20" s="131"/>
      <c r="R20" s="132">
        <f ca="1">HYPERLINK("#"&amp;C20&amp;"!"&amp;CHAR(COLUMN(단가산출근거!F1)+64)&amp;4,COLUMN(단가산출근거!F1))</f>
        <v>6</v>
      </c>
      <c r="S20" s="131"/>
      <c r="T20" s="131"/>
      <c r="U20" s="131"/>
      <c r="V20" s="131"/>
      <c r="W20" s="131"/>
      <c r="X20" s="132">
        <f ca="1">HYPERLINK("#"&amp;C20&amp;"!"&amp;CHAR(COLUMN(단가산출근거!G1)+64)&amp;4,COLUMN(단가산출근거!G1))</f>
        <v>7</v>
      </c>
    </row>
    <row r="21" spans="2:24" hidden="1" x14ac:dyDescent="0.3">
      <c r="B21" s="126" t="s">
        <v>2338</v>
      </c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1"/>
      <c r="X21" s="131"/>
    </row>
    <row r="22" spans="2:24" hidden="1" x14ac:dyDescent="0.3">
      <c r="B22" s="126" t="s">
        <v>2339</v>
      </c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</row>
    <row r="23" spans="2:24" hidden="1" x14ac:dyDescent="0.3">
      <c r="B23" s="126" t="s">
        <v>2340</v>
      </c>
      <c r="C23" s="126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</row>
    <row r="24" spans="2:24" hidden="1" x14ac:dyDescent="0.3">
      <c r="B24" s="124" t="s">
        <v>2341</v>
      </c>
      <c r="D24" s="130">
        <f>ROW(C33)</f>
        <v>33</v>
      </c>
    </row>
    <row r="25" spans="2:24" hidden="1" x14ac:dyDescent="0.3">
      <c r="B25" s="126" t="s">
        <v>2342</v>
      </c>
      <c r="C25" s="126" t="s">
        <v>2343</v>
      </c>
    </row>
    <row r="26" spans="2:24" hidden="1" x14ac:dyDescent="0.3">
      <c r="B26" s="126" t="s">
        <v>2344</v>
      </c>
      <c r="C26" s="126" t="s">
        <v>601</v>
      </c>
    </row>
    <row r="27" spans="2:24" hidden="1" x14ac:dyDescent="0.3">
      <c r="B27" s="126" t="s">
        <v>2345</v>
      </c>
      <c r="C27" s="126" t="s">
        <v>2346</v>
      </c>
    </row>
    <row r="28" spans="2:24" hidden="1" x14ac:dyDescent="0.3">
      <c r="B28" s="126" t="s">
        <v>2347</v>
      </c>
      <c r="C28" s="126" t="s">
        <v>2346</v>
      </c>
    </row>
    <row r="29" spans="2:24" hidden="1" x14ac:dyDescent="0.3">
      <c r="B29" s="126" t="s">
        <v>2348</v>
      </c>
      <c r="C29" s="126" t="s">
        <v>2346</v>
      </c>
    </row>
    <row r="30" spans="2:24" hidden="1" x14ac:dyDescent="0.3">
      <c r="B30" s="126" t="s">
        <v>2349</v>
      </c>
      <c r="C30" s="128" t="s">
        <v>2350</v>
      </c>
    </row>
    <row r="31" spans="2:24" hidden="1" x14ac:dyDescent="0.3">
      <c r="B31" s="126" t="s">
        <v>2351</v>
      </c>
      <c r="C31" s="126" t="s">
        <v>764</v>
      </c>
    </row>
    <row r="32" spans="2:24" hidden="1" x14ac:dyDescent="0.3">
      <c r="B32" s="126" t="s">
        <v>2352</v>
      </c>
      <c r="C32" s="126" t="s">
        <v>765</v>
      </c>
    </row>
    <row r="33" spans="2:10" hidden="1" x14ac:dyDescent="0.3">
      <c r="B33" s="124" t="s">
        <v>2353</v>
      </c>
      <c r="D33" s="130">
        <f>ROW(C52)</f>
        <v>52</v>
      </c>
    </row>
    <row r="34" spans="2:10" hidden="1" x14ac:dyDescent="0.3">
      <c r="B34" s="126" t="s">
        <v>2354</v>
      </c>
      <c r="C34" s="126" t="s">
        <v>764</v>
      </c>
      <c r="D34" s="126" t="s">
        <v>764</v>
      </c>
      <c r="E34" s="126" t="s">
        <v>2346</v>
      </c>
      <c r="F34" s="126" t="s">
        <v>2346</v>
      </c>
      <c r="G34" s="126" t="s">
        <v>2346</v>
      </c>
      <c r="H34" s="126" t="s">
        <v>2346</v>
      </c>
    </row>
    <row r="35" spans="2:10" hidden="1" x14ac:dyDescent="0.3">
      <c r="B35" s="126" t="s">
        <v>2355</v>
      </c>
      <c r="C35" s="129">
        <f>환율및기초자료!C3</f>
        <v>1289</v>
      </c>
      <c r="D35" s="129">
        <f>환율및기초자료!D3</f>
        <v>1289</v>
      </c>
      <c r="E35" s="129">
        <f>환율및기초자료!C3</f>
        <v>1289</v>
      </c>
      <c r="F35" s="129">
        <f>환율및기초자료!D3</f>
        <v>1289</v>
      </c>
      <c r="G35" s="129">
        <f>환율및기초자료!E3</f>
        <v>1000</v>
      </c>
      <c r="H35" s="129">
        <f>환율및기초자료!E3</f>
        <v>1000</v>
      </c>
      <c r="I35" s="129">
        <f>환율및기초자료!G3</f>
        <v>1000</v>
      </c>
      <c r="J35" s="129">
        <f>환율및기초자료!G3</f>
        <v>1000</v>
      </c>
    </row>
    <row r="36" spans="2:10" hidden="1" x14ac:dyDescent="0.3">
      <c r="B36" s="126" t="s">
        <v>2356</v>
      </c>
      <c r="C36" s="128" t="s">
        <v>2357</v>
      </c>
    </row>
    <row r="37" spans="2:10" hidden="1" x14ac:dyDescent="0.3">
      <c r="B37" s="126" t="s">
        <v>2358</v>
      </c>
      <c r="C37" s="126" t="s">
        <v>2359</v>
      </c>
      <c r="D37" s="126"/>
      <c r="E37" s="126"/>
      <c r="F37" s="126"/>
      <c r="G37" s="126"/>
      <c r="H37" s="126"/>
    </row>
    <row r="38" spans="2:10" hidden="1" x14ac:dyDescent="0.3">
      <c r="B38" s="126" t="s">
        <v>2360</v>
      </c>
      <c r="C38" s="126" t="s">
        <v>2361</v>
      </c>
      <c r="D38" s="126"/>
      <c r="E38" s="126"/>
      <c r="F38" s="126"/>
      <c r="G38" s="126"/>
      <c r="H38" s="126"/>
    </row>
    <row r="39" spans="2:10" hidden="1" x14ac:dyDescent="0.3">
      <c r="B39" s="126" t="s">
        <v>2362</v>
      </c>
      <c r="C39" s="126" t="s">
        <v>764</v>
      </c>
    </row>
    <row r="40" spans="2:10" hidden="1" x14ac:dyDescent="0.3">
      <c r="B40" s="126" t="s">
        <v>2363</v>
      </c>
      <c r="C40" s="126" t="s">
        <v>2346</v>
      </c>
    </row>
    <row r="41" spans="2:10" hidden="1" x14ac:dyDescent="0.3">
      <c r="B41" s="126" t="s">
        <v>2364</v>
      </c>
      <c r="C41" s="126" t="s">
        <v>2346</v>
      </c>
    </row>
    <row r="42" spans="2:10" hidden="1" x14ac:dyDescent="0.3">
      <c r="B42" s="126" t="s">
        <v>2365</v>
      </c>
      <c r="C42" s="126" t="s">
        <v>764</v>
      </c>
    </row>
    <row r="43" spans="2:10" hidden="1" x14ac:dyDescent="0.3">
      <c r="B43" s="126" t="s">
        <v>2366</v>
      </c>
      <c r="C43" s="126" t="s">
        <v>764</v>
      </c>
    </row>
    <row r="44" spans="2:10" hidden="1" x14ac:dyDescent="0.3">
      <c r="B44" s="126" t="s">
        <v>2367</v>
      </c>
      <c r="C44" s="126" t="s">
        <v>765</v>
      </c>
    </row>
    <row r="45" spans="2:10" hidden="1" x14ac:dyDescent="0.3">
      <c r="B45" s="126" t="s">
        <v>2368</v>
      </c>
      <c r="C45" s="128" t="s">
        <v>2350</v>
      </c>
    </row>
    <row r="46" spans="2:10" hidden="1" x14ac:dyDescent="0.3">
      <c r="B46" s="126" t="s">
        <v>2369</v>
      </c>
      <c r="C46" s="128" t="s">
        <v>2350</v>
      </c>
    </row>
    <row r="47" spans="2:10" hidden="1" x14ac:dyDescent="0.3">
      <c r="B47" s="126" t="s">
        <v>2370</v>
      </c>
      <c r="C47" s="128" t="s">
        <v>2350</v>
      </c>
    </row>
    <row r="48" spans="2:10" hidden="1" x14ac:dyDescent="0.3">
      <c r="B48" s="126" t="s">
        <v>2371</v>
      </c>
      <c r="C48" s="128" t="s">
        <v>2357</v>
      </c>
    </row>
    <row r="49" spans="2:6" hidden="1" x14ac:dyDescent="0.3">
      <c r="B49" s="126" t="s">
        <v>2372</v>
      </c>
      <c r="C49" s="126" t="s">
        <v>2373</v>
      </c>
    </row>
    <row r="50" spans="2:6" hidden="1" x14ac:dyDescent="0.3">
      <c r="B50" s="126" t="s">
        <v>2374</v>
      </c>
      <c r="C50" s="128" t="s">
        <v>2357</v>
      </c>
    </row>
    <row r="51" spans="2:6" hidden="1" x14ac:dyDescent="0.3">
      <c r="B51" s="126" t="s">
        <v>2375</v>
      </c>
      <c r="C51" s="126"/>
    </row>
    <row r="52" spans="2:6" hidden="1" x14ac:dyDescent="0.3">
      <c r="B52" s="124" t="s">
        <v>2376</v>
      </c>
      <c r="D52" s="130">
        <f>ROW(C75)</f>
        <v>75</v>
      </c>
    </row>
    <row r="53" spans="2:6" hidden="1" x14ac:dyDescent="0.3">
      <c r="B53" s="126" t="s">
        <v>2377</v>
      </c>
      <c r="C53" s="126" t="s">
        <v>8</v>
      </c>
      <c r="D53" s="126" t="s">
        <v>7</v>
      </c>
      <c r="E53" s="126" t="s">
        <v>9</v>
      </c>
      <c r="F53" s="126" t="s">
        <v>6</v>
      </c>
    </row>
    <row r="54" spans="2:6" hidden="1" x14ac:dyDescent="0.3">
      <c r="B54" s="126" t="s">
        <v>2378</v>
      </c>
      <c r="C54" s="126" t="s">
        <v>2379</v>
      </c>
    </row>
    <row r="55" spans="2:6" hidden="1" x14ac:dyDescent="0.3">
      <c r="B55" s="126" t="s">
        <v>2380</v>
      </c>
      <c r="C55" s="126" t="s">
        <v>2381</v>
      </c>
    </row>
    <row r="56" spans="2:6" hidden="1" x14ac:dyDescent="0.3">
      <c r="B56" s="126" t="s">
        <v>2382</v>
      </c>
      <c r="C56" s="126" t="s">
        <v>771</v>
      </c>
      <c r="D56" s="126" t="s">
        <v>783</v>
      </c>
    </row>
    <row r="57" spans="2:6" hidden="1" x14ac:dyDescent="0.3">
      <c r="B57" s="126" t="s">
        <v>2383</v>
      </c>
      <c r="C57" s="126" t="s">
        <v>773</v>
      </c>
      <c r="D57" s="126" t="s">
        <v>784</v>
      </c>
    </row>
    <row r="58" spans="2:6" hidden="1" x14ac:dyDescent="0.3">
      <c r="B58" s="126" t="s">
        <v>2384</v>
      </c>
      <c r="C58" s="126" t="s">
        <v>774</v>
      </c>
      <c r="D58" s="126" t="s">
        <v>785</v>
      </c>
    </row>
    <row r="59" spans="2:6" hidden="1" x14ac:dyDescent="0.3">
      <c r="B59" s="126" t="s">
        <v>2385</v>
      </c>
      <c r="C59" s="126" t="s">
        <v>775</v>
      </c>
      <c r="D59" s="126" t="s">
        <v>786</v>
      </c>
    </row>
    <row r="60" spans="2:6" hidden="1" x14ac:dyDescent="0.3">
      <c r="B60" s="126" t="s">
        <v>2386</v>
      </c>
      <c r="C60" s="126" t="s">
        <v>776</v>
      </c>
      <c r="D60" s="126" t="s">
        <v>787</v>
      </c>
    </row>
    <row r="61" spans="2:6" hidden="1" x14ac:dyDescent="0.3">
      <c r="B61" s="126" t="s">
        <v>2387</v>
      </c>
      <c r="C61" s="126" t="s">
        <v>777</v>
      </c>
    </row>
    <row r="62" spans="2:6" hidden="1" x14ac:dyDescent="0.3">
      <c r="B62" s="126" t="s">
        <v>2388</v>
      </c>
      <c r="C62" s="126" t="s">
        <v>2389</v>
      </c>
    </row>
    <row r="63" spans="2:6" hidden="1" x14ac:dyDescent="0.3">
      <c r="B63" s="126" t="s">
        <v>2390</v>
      </c>
      <c r="C63" s="126" t="s">
        <v>2</v>
      </c>
    </row>
    <row r="64" spans="2:6" hidden="1" x14ac:dyDescent="0.3">
      <c r="B64" s="126" t="s">
        <v>2391</v>
      </c>
      <c r="C64" s="126" t="s">
        <v>2392</v>
      </c>
    </row>
    <row r="65" spans="2:4" hidden="1" x14ac:dyDescent="0.3">
      <c r="B65" s="126" t="s">
        <v>2393</v>
      </c>
      <c r="C65" s="126" t="s">
        <v>2394</v>
      </c>
    </row>
    <row r="66" spans="2:4" hidden="1" x14ac:dyDescent="0.3">
      <c r="B66" s="126" t="s">
        <v>2395</v>
      </c>
      <c r="C66" s="126" t="s">
        <v>639</v>
      </c>
    </row>
    <row r="67" spans="2:4" hidden="1" x14ac:dyDescent="0.3">
      <c r="B67" s="126" t="s">
        <v>2396</v>
      </c>
      <c r="C67" s="126" t="s">
        <v>3</v>
      </c>
    </row>
    <row r="68" spans="2:4" hidden="1" x14ac:dyDescent="0.3">
      <c r="B68" s="126" t="s">
        <v>2397</v>
      </c>
      <c r="C68" s="126" t="s">
        <v>4</v>
      </c>
    </row>
    <row r="69" spans="2:4" hidden="1" x14ac:dyDescent="0.3">
      <c r="B69" s="126" t="s">
        <v>2398</v>
      </c>
      <c r="C69" s="126" t="s">
        <v>630</v>
      </c>
    </row>
    <row r="70" spans="2:4" hidden="1" x14ac:dyDescent="0.3">
      <c r="B70" s="126" t="s">
        <v>2399</v>
      </c>
      <c r="C70" s="126" t="s">
        <v>5</v>
      </c>
    </row>
    <row r="71" spans="2:4" hidden="1" x14ac:dyDescent="0.3">
      <c r="B71" s="126" t="s">
        <v>2400</v>
      </c>
      <c r="C71" s="126" t="s">
        <v>428</v>
      </c>
    </row>
    <row r="72" spans="2:4" hidden="1" x14ac:dyDescent="0.3">
      <c r="B72" s="126" t="s">
        <v>2401</v>
      </c>
      <c r="C72" s="126" t="s">
        <v>772</v>
      </c>
    </row>
    <row r="73" spans="2:4" hidden="1" x14ac:dyDescent="0.3">
      <c r="B73" s="126" t="s">
        <v>2402</v>
      </c>
      <c r="C73" s="126" t="s">
        <v>622</v>
      </c>
    </row>
    <row r="74" spans="2:4" hidden="1" x14ac:dyDescent="0.3">
      <c r="B74" s="126" t="s">
        <v>2403</v>
      </c>
      <c r="C74" s="126" t="s">
        <v>10</v>
      </c>
    </row>
    <row r="75" spans="2:4" hidden="1" x14ac:dyDescent="0.3">
      <c r="B75" s="124" t="s">
        <v>2404</v>
      </c>
      <c r="D75" s="130">
        <f>ROW(C79)</f>
        <v>79</v>
      </c>
    </row>
    <row r="76" spans="2:4" hidden="1" x14ac:dyDescent="0.3">
      <c r="B76" s="126" t="s">
        <v>2405</v>
      </c>
      <c r="C76" s="126" t="s">
        <v>2406</v>
      </c>
    </row>
    <row r="77" spans="2:4" hidden="1" x14ac:dyDescent="0.3">
      <c r="B77" s="126" t="s">
        <v>2407</v>
      </c>
      <c r="C77" s="126" t="s">
        <v>2408</v>
      </c>
    </row>
    <row r="78" spans="2:4" hidden="1" x14ac:dyDescent="0.3">
      <c r="B78" s="126" t="s">
        <v>2409</v>
      </c>
      <c r="C78" s="126" t="s">
        <v>2410</v>
      </c>
    </row>
    <row r="79" spans="2:4" hidden="1" x14ac:dyDescent="0.3">
      <c r="B79" s="124" t="s">
        <v>2411</v>
      </c>
    </row>
    <row r="80" spans="2:4" hidden="1" x14ac:dyDescent="0.3"/>
  </sheetData>
  <sheetProtection algorithmName="SHA-512" hashValue="LLoQGSzYvXMZVm9KYXAqnyW7iX+9VHqwdEoIPjEKfr9S79GxKox4ZV+0PfuNaAzMfUbAedfDDmSBSOmwSboJ7A==" saltValue="/uAiYFitFA0tifISrnsxXw==" spinCount="100000" sheet="1" objects="1" scenarios="1" selectLockedCells="1"/>
  <mergeCells count="1">
    <mergeCell ref="B2:X2"/>
  </mergeCells>
  <phoneticPr fontId="26" type="noConversion"/>
  <pageMargins left="0.59055118110236215" right="0.59055118110236215" top="0.78740157480314965" bottom="1" header="0" footer="0.5"/>
  <pageSetup paperSize="9" fitToWidth="0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9"/>
  <sheetViews>
    <sheetView tabSelected="1" workbookViewId="0">
      <pane ySplit="4" topLeftCell="A5" activePane="bottomLeft" state="frozenSplit"/>
      <selection pane="bottomLeft" activeCell="D29" sqref="D29"/>
    </sheetView>
  </sheetViews>
  <sheetFormatPr defaultColWidth="9.125" defaultRowHeight="16.5" x14ac:dyDescent="0.3"/>
  <cols>
    <col min="1" max="2" width="4.75" style="5" customWidth="1"/>
    <col min="3" max="3" width="23.5" style="5" customWidth="1"/>
    <col min="4" max="4" width="11.5" style="5" customWidth="1"/>
    <col min="5" max="5" width="8.5" style="5" customWidth="1"/>
    <col min="6" max="6" width="49.75" style="5" customWidth="1"/>
    <col min="7" max="7" width="9.125" style="5" hidden="1" customWidth="1"/>
    <col min="8" max="8" width="9.125" style="17" customWidth="1"/>
    <col min="9" max="16384" width="9.125" style="5"/>
  </cols>
  <sheetData>
    <row r="1" spans="1:8" ht="24.95" customHeight="1" x14ac:dyDescent="0.3">
      <c r="A1" s="145" t="s">
        <v>1054</v>
      </c>
      <c r="B1" s="135"/>
      <c r="C1" s="135"/>
      <c r="D1" s="135"/>
      <c r="E1" s="135"/>
      <c r="F1" s="135"/>
      <c r="G1" s="4" t="s">
        <v>166</v>
      </c>
      <c r="H1" s="18" t="s">
        <v>166</v>
      </c>
    </row>
    <row r="2" spans="1:8" ht="17.100000000000001" customHeight="1" x14ac:dyDescent="0.3">
      <c r="A2" s="1" t="s">
        <v>1</v>
      </c>
      <c r="F2" s="76"/>
      <c r="G2" s="21" t="str">
        <f ca="1">MID(CELL("filename",$A$1),FIND("]",CELL("filename",$A$1))+1,LEN(CELL("filename",$A$1)))</f>
        <v>공사원가계산서</v>
      </c>
    </row>
    <row r="3" spans="1:8" ht="17.100000000000001" customHeight="1" x14ac:dyDescent="0.3">
      <c r="A3" s="146" t="s">
        <v>1083</v>
      </c>
      <c r="B3" s="147"/>
      <c r="C3" s="147"/>
      <c r="D3" s="148" t="s">
        <v>622</v>
      </c>
      <c r="E3" s="148" t="s">
        <v>1084</v>
      </c>
      <c r="F3" s="148" t="s">
        <v>1085</v>
      </c>
    </row>
    <row r="4" spans="1:8" ht="17.100000000000001" customHeight="1" x14ac:dyDescent="0.3">
      <c r="A4" s="150" t="s">
        <v>1053</v>
      </c>
      <c r="B4" s="141"/>
      <c r="C4" s="141"/>
      <c r="D4" s="149"/>
      <c r="E4" s="149"/>
      <c r="F4" s="149"/>
      <c r="H4" s="19" t="str">
        <f>HYPERLINK("#'〓 목 차 〓'!B2","목차 →")</f>
        <v>목차 →</v>
      </c>
    </row>
    <row r="5" spans="1:8" ht="17.100000000000001" customHeight="1" x14ac:dyDescent="0.3">
      <c r="A5" s="139" t="s">
        <v>1109</v>
      </c>
      <c r="B5" s="139" t="s">
        <v>8</v>
      </c>
      <c r="C5" s="68" t="s">
        <v>1086</v>
      </c>
      <c r="D5" s="70">
        <f>총괄설계내역서!F48-D6+D7</f>
        <v>194234417</v>
      </c>
      <c r="E5" s="73">
        <f>D5/D29*100</f>
        <v>16.160896146783497</v>
      </c>
      <c r="F5" s="77"/>
      <c r="H5" s="19" t="str">
        <f ca="1">HYPERLINK("#"&amp;총괄설계내역서!H2&amp;"!F"&amp;ROW(총괄설계내역서!F48),"총괄표 →")</f>
        <v>총괄표 →</v>
      </c>
    </row>
    <row r="6" spans="1:8" ht="17.100000000000001" customHeight="1" x14ac:dyDescent="0.3">
      <c r="A6" s="140"/>
      <c r="B6" s="140"/>
      <c r="C6" s="68" t="s">
        <v>1087</v>
      </c>
      <c r="D6" s="71">
        <v>0</v>
      </c>
      <c r="E6" s="73">
        <f>D6/D29*100</f>
        <v>0</v>
      </c>
      <c r="F6" s="78"/>
    </row>
    <row r="7" spans="1:8" ht="17.100000000000001" customHeight="1" x14ac:dyDescent="0.3">
      <c r="A7" s="140"/>
      <c r="B7" s="140"/>
      <c r="C7" s="68" t="s">
        <v>1088</v>
      </c>
      <c r="D7" s="71">
        <v>0</v>
      </c>
      <c r="E7" s="73">
        <f>D7/D29*100</f>
        <v>0</v>
      </c>
      <c r="F7" s="78"/>
    </row>
    <row r="8" spans="1:8" ht="17.100000000000001" customHeight="1" x14ac:dyDescent="0.3">
      <c r="A8" s="140"/>
      <c r="B8" s="141"/>
      <c r="C8" s="13" t="s">
        <v>1089</v>
      </c>
      <c r="D8" s="72">
        <f>+D5+D6-D7</f>
        <v>194234417</v>
      </c>
      <c r="E8" s="74">
        <f>D8/D29*100</f>
        <v>16.160896146783497</v>
      </c>
      <c r="F8" s="79"/>
    </row>
    <row r="9" spans="1:8" ht="17.100000000000001" customHeight="1" x14ac:dyDescent="0.3">
      <c r="A9" s="140"/>
      <c r="B9" s="139" t="s">
        <v>7</v>
      </c>
      <c r="C9" s="68" t="s">
        <v>1090</v>
      </c>
      <c r="D9" s="70">
        <f>총괄설계내역서!E48</f>
        <v>346800554</v>
      </c>
      <c r="E9" s="73">
        <f>D9/D29*100</f>
        <v>28.854864258382086</v>
      </c>
      <c r="F9" s="77"/>
      <c r="H9" s="19" t="str">
        <f ca="1">HYPERLINK("#"&amp;총괄설계내역서!H2&amp;"!E"&amp;ROW(총괄설계내역서!E48),"총괄표 →")</f>
        <v>총괄표 →</v>
      </c>
    </row>
    <row r="10" spans="1:8" ht="17.100000000000001" customHeight="1" x14ac:dyDescent="0.3">
      <c r="A10" s="140"/>
      <c r="B10" s="140"/>
      <c r="C10" s="68" t="s">
        <v>1091</v>
      </c>
      <c r="D10" s="70">
        <f>총괄설계내역서!D49</f>
        <v>50286080</v>
      </c>
      <c r="E10" s="73">
        <f>D10/D29*100</f>
        <v>4.1839552900083952</v>
      </c>
      <c r="F10" s="80" t="str">
        <f>총괄설계내역서!E49</f>
        <v>직접노무비 x 14.5%</v>
      </c>
      <c r="H10" s="19" t="str">
        <f ca="1">HYPERLINK("#"&amp;총괄설계내역서!H2&amp;"!D"&amp;ROW(총괄설계내역서!D49),"총괄표 →")</f>
        <v>총괄표 →</v>
      </c>
    </row>
    <row r="11" spans="1:8" ht="17.100000000000001" customHeight="1" x14ac:dyDescent="0.3">
      <c r="A11" s="140"/>
      <c r="B11" s="141"/>
      <c r="C11" s="13" t="s">
        <v>1089</v>
      </c>
      <c r="D11" s="72">
        <f>+D9+D10</f>
        <v>397086634</v>
      </c>
      <c r="E11" s="74">
        <f>D11/D29*100</f>
        <v>33.038819548390478</v>
      </c>
      <c r="F11" s="79"/>
    </row>
    <row r="12" spans="1:8" ht="17.100000000000001" customHeight="1" x14ac:dyDescent="0.3">
      <c r="A12" s="140"/>
      <c r="B12" s="139" t="s">
        <v>1110</v>
      </c>
      <c r="C12" s="68" t="s">
        <v>1092</v>
      </c>
      <c r="D12" s="70">
        <f>총괄설계내역서!G48</f>
        <v>169324165</v>
      </c>
      <c r="E12" s="73">
        <f>D12/D29*100</f>
        <v>14.088287173667233</v>
      </c>
      <c r="F12" s="77"/>
      <c r="H12" s="19" t="str">
        <f ca="1">HYPERLINK("#"&amp;총괄설계내역서!H2&amp;"!G"&amp;ROW(총괄설계내역서!G48),"총괄표 →")</f>
        <v>총괄표 →</v>
      </c>
    </row>
    <row r="13" spans="1:8" ht="17.100000000000001" customHeight="1" x14ac:dyDescent="0.3">
      <c r="A13" s="140"/>
      <c r="B13" s="140"/>
      <c r="C13" s="68" t="s">
        <v>1093</v>
      </c>
      <c r="D13" s="70">
        <f>총괄설계내역서!D50</f>
        <v>14136284</v>
      </c>
      <c r="E13" s="73">
        <f>D13/D29*100</f>
        <v>1.1761819617449012</v>
      </c>
      <c r="F13" s="80" t="str">
        <f>총괄설계내역서!E50</f>
        <v>(직접노무비+간접노무비) x 3.56%</v>
      </c>
      <c r="H13" s="19" t="str">
        <f ca="1">HYPERLINK("#"&amp;총괄설계내역서!H2&amp;"!D"&amp;ROW(총괄설계내역서!D50),"총괄표 →")</f>
        <v>총괄표 →</v>
      </c>
    </row>
    <row r="14" spans="1:8" ht="17.100000000000001" customHeight="1" x14ac:dyDescent="0.3">
      <c r="A14" s="140"/>
      <c r="B14" s="140"/>
      <c r="C14" s="68" t="s">
        <v>1094</v>
      </c>
      <c r="D14" s="70">
        <f>총괄설계내역서!D51</f>
        <v>4010575</v>
      </c>
      <c r="E14" s="73">
        <f>D14/D29*100</f>
        <v>0.33369207715585347</v>
      </c>
      <c r="F14" s="80" t="str">
        <f>총괄설계내역서!E51</f>
        <v>(직접노무비+간접노무비) x 1.01%</v>
      </c>
      <c r="H14" s="19" t="str">
        <f ca="1">HYPERLINK("#"&amp;총괄설계내역서!H2&amp;"!D"&amp;ROW(총괄설계내역서!D51),"총괄표 →")</f>
        <v>총괄표 →</v>
      </c>
    </row>
    <row r="15" spans="1:8" ht="17.100000000000001" customHeight="1" x14ac:dyDescent="0.3">
      <c r="A15" s="140"/>
      <c r="B15" s="140"/>
      <c r="C15" s="68" t="s">
        <v>1095</v>
      </c>
      <c r="D15" s="70">
        <f>총괄설계내역서!D52</f>
        <v>12294079</v>
      </c>
      <c r="E15" s="73">
        <f>D15/D29*100</f>
        <v>1.0229048847679343</v>
      </c>
      <c r="F15" s="80" t="str">
        <f>총괄설계내역서!E52</f>
        <v>직접노무비 x 3.545%</v>
      </c>
      <c r="H15" s="19" t="str">
        <f ca="1">HYPERLINK("#"&amp;총괄설계내역서!H2&amp;"!D"&amp;ROW(총괄설계내역서!D52),"총괄표 →")</f>
        <v>총괄표 →</v>
      </c>
    </row>
    <row r="16" spans="1:8" ht="17.100000000000001" customHeight="1" x14ac:dyDescent="0.3">
      <c r="A16" s="140"/>
      <c r="B16" s="140"/>
      <c r="C16" s="68" t="s">
        <v>1096</v>
      </c>
      <c r="D16" s="70">
        <f>총괄설계내역서!D53</f>
        <v>1592083</v>
      </c>
      <c r="E16" s="73">
        <f>D16/D29*100</f>
        <v>0.13246616339914419</v>
      </c>
      <c r="F16" s="80" t="str">
        <f>총괄설계내역서!E53</f>
        <v>건강보험료 x 12.95%</v>
      </c>
      <c r="H16" s="19" t="str">
        <f ca="1">HYPERLINK("#"&amp;총괄설계내역서!H2&amp;"!D"&amp;ROW(총괄설계내역서!D53),"총괄표 →")</f>
        <v>총괄표 →</v>
      </c>
    </row>
    <row r="17" spans="1:8" ht="17.100000000000001" customHeight="1" x14ac:dyDescent="0.3">
      <c r="A17" s="140"/>
      <c r="B17" s="140"/>
      <c r="C17" s="68" t="s">
        <v>1097</v>
      </c>
      <c r="D17" s="70">
        <f>총괄설계내역서!D54</f>
        <v>15606024</v>
      </c>
      <c r="E17" s="73">
        <f>D17/D29*100</f>
        <v>1.298468814248356</v>
      </c>
      <c r="F17" s="80" t="str">
        <f>총괄설계내역서!E54</f>
        <v>직접노무비 x 4.5%</v>
      </c>
      <c r="H17" s="19" t="str">
        <f ca="1">HYPERLINK("#"&amp;총괄설계내역서!H2&amp;"!D"&amp;ROW(총괄설계내역서!D54),"총괄표 →")</f>
        <v>총괄표 →</v>
      </c>
    </row>
    <row r="18" spans="1:8" ht="17.100000000000001" customHeight="1" x14ac:dyDescent="0.3">
      <c r="A18" s="140"/>
      <c r="B18" s="140"/>
      <c r="C18" s="68" t="s">
        <v>1098</v>
      </c>
      <c r="D18" s="70">
        <f>총괄설계내역서!D55</f>
        <v>16586996</v>
      </c>
      <c r="E18" s="73">
        <f>D18/D29*100</f>
        <v>1.3800886778119927</v>
      </c>
      <c r="F18" s="81" t="str">
        <f>총괄설계내역서!E55</f>
        <v>A）(직노+직재+간재+관급재/1.1)x1.86% + 5,349,000 = 16,586,996
B）&lt;(직노+직재+간재)x1.86% + 5,349,000&gt;의 1.2배 = 18,494,700</v>
      </c>
      <c r="H18" s="19" t="str">
        <f ca="1">HYPERLINK("#"&amp;총괄설계내역서!H2&amp;"!D"&amp;ROW(총괄설계내역서!D55),"총괄표 →")</f>
        <v>총괄표 →</v>
      </c>
    </row>
    <row r="19" spans="1:8" ht="17.100000000000001" customHeight="1" x14ac:dyDescent="0.3">
      <c r="A19" s="140"/>
      <c r="B19" s="140"/>
      <c r="C19" s="68" t="s">
        <v>1099</v>
      </c>
      <c r="D19" s="70">
        <f>총괄설계내역서!D56</f>
        <v>35479263</v>
      </c>
      <c r="E19" s="73">
        <f>D19/D29*100</f>
        <v>2.9519829367182551</v>
      </c>
      <c r="F19" s="80" t="str">
        <f>총괄설계내역서!E56</f>
        <v>(직접노무비+간접노무비+재료비) x 6%</v>
      </c>
      <c r="H19" s="19" t="str">
        <f ca="1">HYPERLINK("#"&amp;총괄설계내역서!H2&amp;"!D"&amp;ROW(총괄설계내역서!D56),"총괄표 →")</f>
        <v>총괄표 →</v>
      </c>
    </row>
    <row r="20" spans="1:8" ht="17.100000000000001" customHeight="1" x14ac:dyDescent="0.3">
      <c r="A20" s="140"/>
      <c r="B20" s="140"/>
      <c r="C20" s="68" t="s">
        <v>1100</v>
      </c>
      <c r="D20" s="70">
        <f>총괄설계내역서!D57</f>
        <v>5682873</v>
      </c>
      <c r="E20" s="73">
        <f>D20/D29*100</f>
        <v>0.47283237330879396</v>
      </c>
      <c r="F20" s="80" t="str">
        <f>총괄설계내역서!E57</f>
        <v>(재료비 + 직접노무비 + 산출경비) x 0.8%</v>
      </c>
      <c r="H20" s="19" t="str">
        <f ca="1">HYPERLINK("#"&amp;총괄설계내역서!H2&amp;"!D"&amp;ROW(총괄설계내역서!D57),"총괄표 →")</f>
        <v>총괄표 →</v>
      </c>
    </row>
    <row r="21" spans="1:8" ht="17.100000000000001" customHeight="1" x14ac:dyDescent="0.3">
      <c r="A21" s="140"/>
      <c r="B21" s="140"/>
      <c r="C21" s="68" t="s">
        <v>1101</v>
      </c>
      <c r="D21" s="70">
        <f>총괄설계내역서!D58</f>
        <v>2841436</v>
      </c>
      <c r="E21" s="73">
        <f>D21/D29*100</f>
        <v>0.23641614505287137</v>
      </c>
      <c r="F21" s="80" t="str">
        <f>총괄설계내역서!E58</f>
        <v>(재료비 + 직접노무비 + 산출경비) x 0.4%</v>
      </c>
      <c r="H21" s="19" t="str">
        <f ca="1">HYPERLINK("#"&amp;총괄설계내역서!H2&amp;"!D"&amp;ROW(총괄설계내역서!D58),"총괄표 →")</f>
        <v>총괄표 →</v>
      </c>
    </row>
    <row r="22" spans="1:8" ht="17.100000000000001" customHeight="1" x14ac:dyDescent="0.3">
      <c r="A22" s="141"/>
      <c r="B22" s="141"/>
      <c r="C22" s="69" t="s">
        <v>1089</v>
      </c>
      <c r="D22" s="72">
        <f>+D12+D13+D14+D15+D16+D17+D18+D19+D20+D21</f>
        <v>277553778</v>
      </c>
      <c r="E22" s="74">
        <f>D22/D29*100</f>
        <v>23.093321207875338</v>
      </c>
      <c r="F22" s="79"/>
    </row>
    <row r="23" spans="1:8" ht="17.100000000000001" customHeight="1" x14ac:dyDescent="0.3">
      <c r="A23" s="142" t="s">
        <v>1102</v>
      </c>
      <c r="B23" s="143"/>
      <c r="C23" s="144"/>
      <c r="D23" s="55">
        <f>총괄설계내역서!D60</f>
        <v>52132489</v>
      </c>
      <c r="E23" s="75">
        <f>D23/D29*100</f>
        <v>4.3375821526127005</v>
      </c>
      <c r="F23" s="82" t="str">
        <f>"순공사원가 x "&amp;ROUND(총괄설계내역서!M60,5)&amp;"%"</f>
        <v>순공사원가 x 6%</v>
      </c>
      <c r="H23" s="19" t="str">
        <f ca="1">HYPERLINK("#"&amp;총괄설계내역서!H2&amp;"!D"&amp;ROW(총괄설계내역서!D60),"총괄표 →")</f>
        <v>총괄표 →</v>
      </c>
    </row>
    <row r="24" spans="1:8" ht="17.100000000000001" customHeight="1" x14ac:dyDescent="0.3">
      <c r="A24" s="138" t="s">
        <v>1103</v>
      </c>
      <c r="B24" s="137"/>
      <c r="C24" s="137"/>
      <c r="D24" s="55">
        <f>총괄설계내역서!D62</f>
        <v>108109955</v>
      </c>
      <c r="E24" s="75">
        <f>D24/D29*100</f>
        <v>8.9950781235049444</v>
      </c>
      <c r="F24" s="82" t="str">
        <f>"(노무비+경비+일반관리비) x "&amp;ROUND(총괄설계내역서!M62,5)&amp;"%"</f>
        <v>(노무비+경비+일반관리비) x 15%</v>
      </c>
      <c r="H24" s="19" t="str">
        <f ca="1">HYPERLINK("#"&amp;총괄설계내역서!H2&amp;"!D"&amp;ROW(총괄설계내역서!D62),"총괄표 →")</f>
        <v>총괄표 →</v>
      </c>
    </row>
    <row r="25" spans="1:8" ht="17.100000000000001" customHeight="1" x14ac:dyDescent="0.3">
      <c r="A25" s="136" t="s">
        <v>1104</v>
      </c>
      <c r="B25" s="137"/>
      <c r="C25" s="137"/>
      <c r="D25" s="55">
        <f>총괄설계내역서!D63</f>
        <v>1029117273</v>
      </c>
      <c r="E25" s="75">
        <f>D25/D29*100</f>
        <v>85.625697179166963</v>
      </c>
      <c r="F25" s="44"/>
      <c r="H25" s="19" t="str">
        <f ca="1">HYPERLINK("#"&amp;총괄설계내역서!H2&amp;"!D"&amp;ROW(총괄설계내역서!D63),"총괄표 →")</f>
        <v>총괄표 →</v>
      </c>
    </row>
    <row r="26" spans="1:8" ht="17.100000000000001" customHeight="1" x14ac:dyDescent="0.3">
      <c r="A26" s="138" t="s">
        <v>1105</v>
      </c>
      <c r="B26" s="137"/>
      <c r="C26" s="137"/>
      <c r="D26" s="55">
        <f>총괄설계내역서!D64</f>
        <v>102911727</v>
      </c>
      <c r="E26" s="75">
        <f>D26/D29*100</f>
        <v>8.5625696929557815</v>
      </c>
      <c r="F26" s="82" t="str">
        <f>"총 원 가 x "&amp;ROUND(총괄설계내역서!M64,5)&amp;"%"</f>
        <v>총 원 가 x 10%</v>
      </c>
      <c r="H26" s="19" t="str">
        <f ca="1">HYPERLINK("#"&amp;총괄설계내역서!H2&amp;"!D"&amp;ROW(총괄설계내역서!D64),"총괄표 →")</f>
        <v>총괄표 →</v>
      </c>
    </row>
    <row r="27" spans="1:8" ht="17.100000000000001" customHeight="1" x14ac:dyDescent="0.3">
      <c r="A27" s="136" t="s">
        <v>1106</v>
      </c>
      <c r="B27" s="137"/>
      <c r="C27" s="137"/>
      <c r="D27" s="55">
        <f>총괄설계내역서!D65</f>
        <v>1132029000</v>
      </c>
      <c r="E27" s="75">
        <f>D27/D29*100</f>
        <v>94.188266872122739</v>
      </c>
      <c r="F27" s="44"/>
      <c r="H27" s="19" t="str">
        <f ca="1">HYPERLINK("#"&amp;총괄설계내역서!H2&amp;"!D"&amp;ROW(총괄설계내역서!D65),"총괄표 →")</f>
        <v>총괄표 →</v>
      </c>
    </row>
    <row r="28" spans="1:8" ht="17.100000000000001" customHeight="1" x14ac:dyDescent="0.3">
      <c r="A28" s="138" t="s">
        <v>1107</v>
      </c>
      <c r="B28" s="137"/>
      <c r="C28" s="137"/>
      <c r="D28" s="55">
        <f>총괄설계내역서!D66</f>
        <v>69850000</v>
      </c>
      <c r="E28" s="75">
        <f>D28/D29*100</f>
        <v>5.8117331278772655</v>
      </c>
      <c r="F28" s="82" t="str">
        <f>총괄설계내역서!E66</f>
        <v>원자재대: 69,849,380 (조달수수료: 375,160 포함)</v>
      </c>
      <c r="H28" s="19" t="str">
        <f ca="1">HYPERLINK("#"&amp;총괄설계내역서!H2&amp;"!D"&amp;ROW(총괄설계내역서!D66),"총괄표 →")</f>
        <v>총괄표 →</v>
      </c>
    </row>
    <row r="29" spans="1:8" ht="17.100000000000001" customHeight="1" x14ac:dyDescent="0.3">
      <c r="A29" s="136" t="s">
        <v>1108</v>
      </c>
      <c r="B29" s="137"/>
      <c r="C29" s="137"/>
      <c r="D29" s="55">
        <f>총괄설계내역서!D67</f>
        <v>1201879000</v>
      </c>
      <c r="E29" s="75">
        <v>100</v>
      </c>
      <c r="F29" s="44"/>
      <c r="H29" s="19" t="str">
        <f ca="1">HYPERLINK("#"&amp;총괄설계내역서!H2&amp;"!D"&amp;ROW(총괄설계내역서!D67),"총괄표 →")</f>
        <v>총괄표 →</v>
      </c>
    </row>
  </sheetData>
  <mergeCells count="17">
    <mergeCell ref="A24:C24"/>
    <mergeCell ref="A1:F1"/>
    <mergeCell ref="A3:C3"/>
    <mergeCell ref="D3:D4"/>
    <mergeCell ref="E3:E4"/>
    <mergeCell ref="F3:F4"/>
    <mergeCell ref="A4:C4"/>
    <mergeCell ref="A5:A22"/>
    <mergeCell ref="B5:B8"/>
    <mergeCell ref="B9:B11"/>
    <mergeCell ref="B12:B22"/>
    <mergeCell ref="A23:C23"/>
    <mergeCell ref="A25:C25"/>
    <mergeCell ref="A26:C26"/>
    <mergeCell ref="A27:C27"/>
    <mergeCell ref="A28:C28"/>
    <mergeCell ref="A29:C29"/>
  </mergeCells>
  <phoneticPr fontId="26" type="noConversion"/>
  <hyperlinks>
    <hyperlink ref="H1" r:id="rId1" tooltip="설계예산시스템(STmate w24.04)으로 작성 하였으며,_x000a_엑셀 인쇄품질 600 dpi에 최적화 되어 있습니다._x000a_경영정보(주) http://www.stma.co.kr_x000a_Tel) 070-4350-0040_x000a_Fax) 0505-300-3948"/>
    <hyperlink ref="G1" r:id="rId2" tooltip="설계예산시스템(STmate w24.04)으로 작성 하였으며,_x000a_엑셀 인쇄품질 600 dpi에 최적화 되어 있습니다._x000a_경영정보(주) http://www.stma.co.kr_x000a_Tel) 070-4350-0040_x000a_Fax) 0505-300-3948"/>
  </hyperlinks>
  <printOptions horizontalCentered="1"/>
  <pageMargins left="0.78740157480314965" right="0.78740157480314965" top="0.59055118110236215" bottom="0.59055118110236215" header="0" footer="0.39370078740157477"/>
  <pageSetup paperSize="9" fitToWidth="0" fitToHeight="0" orientation="landscape" r:id="rId3"/>
  <headerFooter alignWithMargins="0">
    <oddFooter xml:space="preserve">&amp;R&amp;"굴림체,"&amp;9 </oddFooter>
  </headerFooter>
  <drawing r:id="rId4"/>
  <legacy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67"/>
  <sheetViews>
    <sheetView workbookViewId="0">
      <pane ySplit="3" topLeftCell="A4" activePane="bottomLeft" state="frozenSplit"/>
      <selection pane="bottomLeft" activeCell="A4" sqref="A4"/>
    </sheetView>
  </sheetViews>
  <sheetFormatPr defaultColWidth="9.125" defaultRowHeight="16.5" x14ac:dyDescent="0.3"/>
  <cols>
    <col min="1" max="1" width="10" style="5" customWidth="1"/>
    <col min="2" max="2" width="26.5" style="5" customWidth="1"/>
    <col min="3" max="3" width="22.75" style="5" customWidth="1"/>
    <col min="4" max="7" width="17.5" style="5" customWidth="1"/>
    <col min="8" max="8" width="9.125" style="15" hidden="1" customWidth="1"/>
    <col min="9" max="12" width="2.125" style="5" customWidth="1"/>
    <col min="13" max="14" width="4" style="5" customWidth="1"/>
    <col min="15" max="16" width="4" style="15" customWidth="1"/>
    <col min="17" max="17" width="9.125" style="17" customWidth="1"/>
    <col min="18" max="16384" width="9.125" style="5"/>
  </cols>
  <sheetData>
    <row r="1" spans="1:17" ht="24.95" customHeight="1" x14ac:dyDescent="0.3">
      <c r="A1" s="145" t="s">
        <v>795</v>
      </c>
      <c r="B1" s="135"/>
      <c r="C1" s="135"/>
      <c r="D1" s="135"/>
      <c r="E1" s="135"/>
      <c r="F1" s="135"/>
      <c r="G1" s="135"/>
      <c r="H1" s="18" t="s">
        <v>166</v>
      </c>
      <c r="Q1" s="18" t="s">
        <v>166</v>
      </c>
    </row>
    <row r="2" spans="1:17" ht="24" customHeight="1" x14ac:dyDescent="0.3">
      <c r="A2" s="1" t="s">
        <v>1</v>
      </c>
      <c r="H2" s="21" t="str">
        <f ca="1">MID(CELL("filename",$A$1),FIND("]",CELL("filename",$A$1))+1,LEN(CELL("filename",$A$1)))</f>
        <v>총괄설계내역서</v>
      </c>
    </row>
    <row r="3" spans="1:17" ht="24" customHeight="1" x14ac:dyDescent="0.3">
      <c r="A3" s="7" t="s">
        <v>639</v>
      </c>
      <c r="B3" s="7" t="s">
        <v>3</v>
      </c>
      <c r="C3" s="7" t="s">
        <v>4</v>
      </c>
      <c r="D3" s="7" t="s">
        <v>6</v>
      </c>
      <c r="E3" s="7" t="s">
        <v>7</v>
      </c>
      <c r="F3" s="7" t="s">
        <v>8</v>
      </c>
      <c r="G3" s="13" t="s">
        <v>9</v>
      </c>
      <c r="H3" s="16" t="s">
        <v>618</v>
      </c>
      <c r="Q3" s="19" t="str">
        <f>HYPERLINK("#'〓 목 차 〓'!B2","목차 →")</f>
        <v>목차 →</v>
      </c>
    </row>
    <row r="4" spans="1:17" ht="24" customHeight="1" x14ac:dyDescent="0.3">
      <c r="A4" s="9" t="s">
        <v>606</v>
      </c>
      <c r="B4" s="9" t="s">
        <v>601</v>
      </c>
      <c r="C4" s="9" t="s">
        <v>595</v>
      </c>
      <c r="D4" s="55">
        <f>설계내역서!G5</f>
        <v>710359136</v>
      </c>
      <c r="E4" s="54">
        <f>설계내역서!I5</f>
        <v>346800554</v>
      </c>
      <c r="F4" s="63">
        <f>설계내역서!K5</f>
        <v>194234417</v>
      </c>
      <c r="G4" s="55">
        <f>설계내역서!M5</f>
        <v>169324165</v>
      </c>
      <c r="Q4" s="19" t="str">
        <f ca="1">HYPERLINK("#"&amp;설계내역서!O2&amp;"!A"&amp;ROW(설계내역서!A5),"내역 →")</f>
        <v>내역 →</v>
      </c>
    </row>
    <row r="5" spans="1:17" ht="24" customHeight="1" x14ac:dyDescent="0.3">
      <c r="A5" s="9" t="s">
        <v>577</v>
      </c>
      <c r="B5" s="9" t="s">
        <v>568</v>
      </c>
      <c r="C5" s="9" t="s">
        <v>564</v>
      </c>
      <c r="D5" s="55">
        <f>설계내역서!G6</f>
        <v>229635562</v>
      </c>
      <c r="E5" s="54">
        <f>설계내역서!I6</f>
        <v>118305309</v>
      </c>
      <c r="F5" s="63">
        <f>설계내역서!K6</f>
        <v>59906736</v>
      </c>
      <c r="G5" s="55">
        <f>설계내역서!M6</f>
        <v>51423517</v>
      </c>
      <c r="Q5" s="19" t="str">
        <f ca="1">HYPERLINK("#"&amp;설계내역서!O2&amp;"!A"&amp;ROW(설계내역서!A6),"내역 →")</f>
        <v>내역 →</v>
      </c>
    </row>
    <row r="6" spans="1:17" ht="24" customHeight="1" x14ac:dyDescent="0.3">
      <c r="A6" s="9" t="s">
        <v>549</v>
      </c>
      <c r="B6" s="9" t="s">
        <v>544</v>
      </c>
      <c r="C6" s="9"/>
      <c r="D6" s="55">
        <f>설계내역서!G7</f>
        <v>136734069</v>
      </c>
      <c r="E6" s="54">
        <f>설계내역서!I7</f>
        <v>69316326</v>
      </c>
      <c r="F6" s="63">
        <f>설계내역서!K7</f>
        <v>37338842</v>
      </c>
      <c r="G6" s="55">
        <f>설계내역서!M7</f>
        <v>30078901</v>
      </c>
      <c r="Q6" s="19" t="str">
        <f ca="1">HYPERLINK("#"&amp;설계내역서!O2&amp;"!A"&amp;ROW(설계내역서!A7),"내역 →")</f>
        <v>내역 →</v>
      </c>
    </row>
    <row r="7" spans="1:17" ht="24" customHeight="1" x14ac:dyDescent="0.3">
      <c r="A7" s="9" t="s">
        <v>532</v>
      </c>
      <c r="B7" s="9" t="s">
        <v>527</v>
      </c>
      <c r="C7" s="9"/>
      <c r="D7" s="55">
        <f>설계내역서!G8</f>
        <v>3376748</v>
      </c>
      <c r="E7" s="54">
        <f>설계내역서!I8</f>
        <v>2411056</v>
      </c>
      <c r="F7" s="63">
        <f>설계내역서!K8</f>
        <v>563514</v>
      </c>
      <c r="G7" s="55">
        <f>설계내역서!M8</f>
        <v>402178</v>
      </c>
      <c r="Q7" s="19" t="str">
        <f ca="1">HYPERLINK("#"&amp;설계내역서!O2&amp;"!A"&amp;ROW(설계내역서!A8),"내역 →")</f>
        <v>내역 →</v>
      </c>
    </row>
    <row r="8" spans="1:17" ht="24" customHeight="1" x14ac:dyDescent="0.3">
      <c r="A8" s="9" t="s">
        <v>796</v>
      </c>
      <c r="B8" s="9" t="s">
        <v>797</v>
      </c>
      <c r="C8" s="9"/>
      <c r="D8" s="55">
        <f>설계내역서!G13</f>
        <v>77911018</v>
      </c>
      <c r="E8" s="54">
        <f>설계내역서!I13</f>
        <v>34884211</v>
      </c>
      <c r="F8" s="63">
        <f>설계내역서!K13</f>
        <v>27410895</v>
      </c>
      <c r="G8" s="55">
        <f>설계내역서!M13</f>
        <v>15615912</v>
      </c>
      <c r="Q8" s="19" t="str">
        <f ca="1">HYPERLINK("#"&amp;설계내역서!O2&amp;"!A"&amp;ROW(설계내역서!A13),"내역 →")</f>
        <v>내역 →</v>
      </c>
    </row>
    <row r="9" spans="1:17" ht="24" customHeight="1" x14ac:dyDescent="0.3">
      <c r="A9" s="9" t="s">
        <v>807</v>
      </c>
      <c r="B9" s="9" t="s">
        <v>808</v>
      </c>
      <c r="C9" s="9"/>
      <c r="D9" s="55">
        <f>설계내역서!G18</f>
        <v>4160207</v>
      </c>
      <c r="E9" s="54">
        <f>설계내역서!I18</f>
        <v>2335514</v>
      </c>
      <c r="F9" s="63">
        <f>설계내역서!K18</f>
        <v>758286</v>
      </c>
      <c r="G9" s="55">
        <f>설계내역서!M18</f>
        <v>1066407</v>
      </c>
      <c r="Q9" s="19" t="str">
        <f ca="1">HYPERLINK("#"&amp;설계내역서!O2&amp;"!A"&amp;ROW(설계내역서!A18),"내역 →")</f>
        <v>내역 →</v>
      </c>
    </row>
    <row r="10" spans="1:17" ht="24" customHeight="1" x14ac:dyDescent="0.3">
      <c r="A10" s="9" t="s">
        <v>818</v>
      </c>
      <c r="B10" s="9" t="s">
        <v>819</v>
      </c>
      <c r="C10" s="9"/>
      <c r="D10" s="55">
        <f>설계내역서!G23</f>
        <v>5670854</v>
      </c>
      <c r="E10" s="54">
        <f>설계내역서!I23</f>
        <v>2961011</v>
      </c>
      <c r="F10" s="63">
        <f>설계내역서!K23</f>
        <v>974960</v>
      </c>
      <c r="G10" s="55">
        <f>설계내역서!M23</f>
        <v>1734883</v>
      </c>
      <c r="Q10" s="19" t="str">
        <f ca="1">HYPERLINK("#"&amp;설계내역서!O2&amp;"!A"&amp;ROW(설계내역서!A23),"내역 →")</f>
        <v>내역 →</v>
      </c>
    </row>
    <row r="11" spans="1:17" ht="24" customHeight="1" x14ac:dyDescent="0.3">
      <c r="A11" s="9" t="s">
        <v>826</v>
      </c>
      <c r="B11" s="9" t="s">
        <v>827</v>
      </c>
      <c r="C11" s="9"/>
      <c r="D11" s="55">
        <f>설계내역서!G27</f>
        <v>34031967</v>
      </c>
      <c r="E11" s="54">
        <f>설계내역서!I27</f>
        <v>20191105</v>
      </c>
      <c r="F11" s="63">
        <f>설계내역서!K27</f>
        <v>5526224</v>
      </c>
      <c r="G11" s="55">
        <f>설계내역서!M27</f>
        <v>8314638</v>
      </c>
      <c r="Q11" s="19" t="str">
        <f ca="1">HYPERLINK("#"&amp;설계내역서!O2&amp;"!A"&amp;ROW(설계내역서!A27),"내역 →")</f>
        <v>내역 →</v>
      </c>
    </row>
    <row r="12" spans="1:17" ht="24" customHeight="1" x14ac:dyDescent="0.3">
      <c r="A12" s="9" t="s">
        <v>843</v>
      </c>
      <c r="B12" s="9" t="s">
        <v>844</v>
      </c>
      <c r="C12" s="9"/>
      <c r="D12" s="55">
        <f>설계내역서!G34</f>
        <v>11583275</v>
      </c>
      <c r="E12" s="54">
        <f>설계내역서!I34</f>
        <v>6533429</v>
      </c>
      <c r="F12" s="63">
        <f>설계내역서!K34</f>
        <v>2104963</v>
      </c>
      <c r="G12" s="55">
        <f>설계내역서!M34</f>
        <v>2944883</v>
      </c>
      <c r="Q12" s="19" t="str">
        <f ca="1">HYPERLINK("#"&amp;설계내역서!O2&amp;"!A"&amp;ROW(설계내역서!A34),"내역 →")</f>
        <v>내역 →</v>
      </c>
    </row>
    <row r="13" spans="1:17" ht="24" customHeight="1" x14ac:dyDescent="0.3">
      <c r="A13" s="9" t="s">
        <v>794</v>
      </c>
      <c r="B13" s="9" t="s">
        <v>854</v>
      </c>
      <c r="C13" s="9"/>
      <c r="D13" s="55">
        <f>설계내역서!G39</f>
        <v>65502446</v>
      </c>
      <c r="E13" s="54">
        <f>설계내역서!I39</f>
        <v>48988983</v>
      </c>
      <c r="F13" s="63">
        <f>설계내역서!K39</f>
        <v>7219894</v>
      </c>
      <c r="G13" s="55">
        <f>설계내역서!M39</f>
        <v>9293569</v>
      </c>
      <c r="Q13" s="19" t="str">
        <f ca="1">HYPERLINK("#"&amp;설계내역서!O2&amp;"!A"&amp;ROW(설계내역서!A39),"내역 →")</f>
        <v>내역 →</v>
      </c>
    </row>
    <row r="14" spans="1:17" ht="24" customHeight="1" x14ac:dyDescent="0.3">
      <c r="A14" s="9" t="s">
        <v>857</v>
      </c>
      <c r="B14" s="9" t="s">
        <v>858</v>
      </c>
      <c r="C14" s="9"/>
      <c r="D14" s="55">
        <f>설계내역서!G40</f>
        <v>21243588</v>
      </c>
      <c r="E14" s="54">
        <f>설계내역서!I40</f>
        <v>16148076</v>
      </c>
      <c r="F14" s="63">
        <f>설계내역서!K40</f>
        <v>2004126</v>
      </c>
      <c r="G14" s="55">
        <f>설계내역서!M40</f>
        <v>3091386</v>
      </c>
      <c r="Q14" s="19" t="str">
        <f ca="1">HYPERLINK("#"&amp;설계내역서!O2&amp;"!A"&amp;ROW(설계내역서!A40),"내역 →")</f>
        <v>내역 →</v>
      </c>
    </row>
    <row r="15" spans="1:17" ht="24" customHeight="1" x14ac:dyDescent="0.3">
      <c r="A15" s="9" t="s">
        <v>874</v>
      </c>
      <c r="B15" s="9" t="s">
        <v>875</v>
      </c>
      <c r="C15" s="9"/>
      <c r="D15" s="55">
        <f>설계내역서!G47</f>
        <v>9921252</v>
      </c>
      <c r="E15" s="54">
        <f>설계내역서!I47</f>
        <v>7966033</v>
      </c>
      <c r="F15" s="63">
        <f>설계내역서!K47</f>
        <v>833942</v>
      </c>
      <c r="G15" s="55">
        <f>설계내역서!M47</f>
        <v>1121277</v>
      </c>
      <c r="Q15" s="19" t="str">
        <f ca="1">HYPERLINK("#"&amp;설계내역서!O2&amp;"!A"&amp;ROW(설계내역서!A47),"내역 →")</f>
        <v>내역 →</v>
      </c>
    </row>
    <row r="16" spans="1:17" ht="24" customHeight="1" x14ac:dyDescent="0.3">
      <c r="A16" s="9" t="s">
        <v>891</v>
      </c>
      <c r="B16" s="9" t="s">
        <v>892</v>
      </c>
      <c r="C16" s="9"/>
      <c r="D16" s="55">
        <f>설계내역서!G54</f>
        <v>34337606</v>
      </c>
      <c r="E16" s="54">
        <f>설계내역서!I54</f>
        <v>24874874</v>
      </c>
      <c r="F16" s="63">
        <f>설계내역서!K54</f>
        <v>4381826</v>
      </c>
      <c r="G16" s="55">
        <f>설계내역서!M54</f>
        <v>5080906</v>
      </c>
      <c r="Q16" s="19" t="str">
        <f ca="1">HYPERLINK("#"&amp;설계내역서!O2&amp;"!A"&amp;ROW(설계내역서!A54),"내역 →")</f>
        <v>내역 →</v>
      </c>
    </row>
    <row r="17" spans="1:17" ht="24" customHeight="1" x14ac:dyDescent="0.3">
      <c r="A17" s="9" t="s">
        <v>856</v>
      </c>
      <c r="B17" s="9" t="s">
        <v>855</v>
      </c>
      <c r="C17" s="9"/>
      <c r="D17" s="55">
        <f>설계내역서!G60</f>
        <v>12051047</v>
      </c>
      <c r="E17" s="54">
        <f>설계내역서!I60</f>
        <v>0</v>
      </c>
      <c r="F17" s="63">
        <f>설계내역서!K60</f>
        <v>0</v>
      </c>
      <c r="G17" s="55">
        <f>설계내역서!M60</f>
        <v>12051047</v>
      </c>
      <c r="Q17" s="19" t="str">
        <f ca="1">HYPERLINK("#"&amp;설계내역서!O2&amp;"!A"&amp;ROW(설계내역서!A60),"내역 →")</f>
        <v>내역 →</v>
      </c>
    </row>
    <row r="18" spans="1:17" ht="24" customHeight="1" x14ac:dyDescent="0.3">
      <c r="A18" s="9" t="s">
        <v>923</v>
      </c>
      <c r="B18" s="9" t="s">
        <v>924</v>
      </c>
      <c r="C18" s="9"/>
      <c r="D18" s="55">
        <f>설계내역서!G68</f>
        <v>15348000</v>
      </c>
      <c r="E18" s="54">
        <f>설계내역서!I68</f>
        <v>0</v>
      </c>
      <c r="F18" s="63">
        <f>설계내역서!K68</f>
        <v>15348000</v>
      </c>
      <c r="G18" s="55">
        <f>설계내역서!M68</f>
        <v>0</v>
      </c>
      <c r="Q18" s="19" t="str">
        <f ca="1">HYPERLINK("#"&amp;설계내역서!O2&amp;"!A"&amp;ROW(설계내역서!A68),"내역 →")</f>
        <v>내역 →</v>
      </c>
    </row>
    <row r="19" spans="1:17" ht="24" customHeight="1" x14ac:dyDescent="0.3">
      <c r="A19" s="9" t="s">
        <v>577</v>
      </c>
      <c r="B19" s="9" t="s">
        <v>937</v>
      </c>
      <c r="C19" s="9" t="s">
        <v>564</v>
      </c>
      <c r="D19" s="55">
        <f>설계내역서!G85</f>
        <v>201184151</v>
      </c>
      <c r="E19" s="54">
        <f>설계내역서!I85</f>
        <v>110780774</v>
      </c>
      <c r="F19" s="63">
        <f>설계내역서!K85</f>
        <v>43324421</v>
      </c>
      <c r="G19" s="55">
        <f>설계내역서!M85</f>
        <v>47078956</v>
      </c>
      <c r="Q19" s="19" t="str">
        <f ca="1">HYPERLINK("#"&amp;설계내역서!O2&amp;"!A"&amp;ROW(설계내역서!A85),"내역 →")</f>
        <v>내역 →</v>
      </c>
    </row>
    <row r="20" spans="1:17" ht="24" customHeight="1" x14ac:dyDescent="0.3">
      <c r="A20" s="9" t="s">
        <v>549</v>
      </c>
      <c r="B20" s="9" t="s">
        <v>544</v>
      </c>
      <c r="C20" s="9"/>
      <c r="D20" s="55">
        <f>설계내역서!G86</f>
        <v>147181557</v>
      </c>
      <c r="E20" s="54">
        <f>설계내역서!I86</f>
        <v>77129293</v>
      </c>
      <c r="F20" s="63">
        <f>설계내역서!K86</f>
        <v>33254810</v>
      </c>
      <c r="G20" s="55">
        <f>설계내역서!M86</f>
        <v>36797454</v>
      </c>
      <c r="Q20" s="19" t="str">
        <f ca="1">HYPERLINK("#"&amp;설계내역서!O2&amp;"!A"&amp;ROW(설계내역서!A86),"내역 →")</f>
        <v>내역 →</v>
      </c>
    </row>
    <row r="21" spans="1:17" ht="24" customHeight="1" x14ac:dyDescent="0.3">
      <c r="A21" s="9" t="s">
        <v>532</v>
      </c>
      <c r="B21" s="9" t="s">
        <v>527</v>
      </c>
      <c r="C21" s="9"/>
      <c r="D21" s="55">
        <f>설계내역서!G87</f>
        <v>3275488</v>
      </c>
      <c r="E21" s="54">
        <f>설계내역서!I87</f>
        <v>2259184</v>
      </c>
      <c r="F21" s="63">
        <f>설계내역서!K87</f>
        <v>545862</v>
      </c>
      <c r="G21" s="55">
        <f>설계내역서!M87</f>
        <v>470442</v>
      </c>
      <c r="Q21" s="19" t="str">
        <f ca="1">HYPERLINK("#"&amp;설계내역서!O2&amp;"!A"&amp;ROW(설계내역서!A87),"내역 →")</f>
        <v>내역 →</v>
      </c>
    </row>
    <row r="22" spans="1:17" ht="24" customHeight="1" x14ac:dyDescent="0.3">
      <c r="A22" s="9" t="s">
        <v>796</v>
      </c>
      <c r="B22" s="9" t="s">
        <v>797</v>
      </c>
      <c r="C22" s="9"/>
      <c r="D22" s="55">
        <f>설계내역서!G92</f>
        <v>94713185</v>
      </c>
      <c r="E22" s="54">
        <f>설계내역서!I92</f>
        <v>46557588</v>
      </c>
      <c r="F22" s="63">
        <f>설계내역서!K92</f>
        <v>24443364</v>
      </c>
      <c r="G22" s="55">
        <f>설계내역서!M92</f>
        <v>23712233</v>
      </c>
      <c r="Q22" s="19" t="str">
        <f ca="1">HYPERLINK("#"&amp;설계내역서!O2&amp;"!A"&amp;ROW(설계내역서!A92),"내역 →")</f>
        <v>내역 →</v>
      </c>
    </row>
    <row r="23" spans="1:17" ht="24" customHeight="1" x14ac:dyDescent="0.3">
      <c r="A23" s="9" t="s">
        <v>807</v>
      </c>
      <c r="B23" s="9" t="s">
        <v>808</v>
      </c>
      <c r="C23" s="9"/>
      <c r="D23" s="55">
        <f>설계내역서!G97</f>
        <v>8683574</v>
      </c>
      <c r="E23" s="54">
        <f>설계내역서!I97</f>
        <v>4647096</v>
      </c>
      <c r="F23" s="63">
        <f>설계내역서!K97</f>
        <v>1524730</v>
      </c>
      <c r="G23" s="55">
        <f>설계내역서!M97</f>
        <v>2511748</v>
      </c>
      <c r="Q23" s="19" t="str">
        <f ca="1">HYPERLINK("#"&amp;설계내역서!O2&amp;"!A"&amp;ROW(설계내역서!A97),"내역 →")</f>
        <v>내역 →</v>
      </c>
    </row>
    <row r="24" spans="1:17" ht="24" customHeight="1" x14ac:dyDescent="0.3">
      <c r="A24" s="9" t="s">
        <v>818</v>
      </c>
      <c r="B24" s="9" t="s">
        <v>819</v>
      </c>
      <c r="C24" s="9"/>
      <c r="D24" s="55">
        <f>설계내역서!G102</f>
        <v>5264678</v>
      </c>
      <c r="E24" s="54">
        <f>설계내역서!I102</f>
        <v>2751747</v>
      </c>
      <c r="F24" s="63">
        <f>설계내역서!K102</f>
        <v>905220</v>
      </c>
      <c r="G24" s="55">
        <f>설계내역서!M102</f>
        <v>1607711</v>
      </c>
      <c r="Q24" s="19" t="str">
        <f ca="1">HYPERLINK("#"&amp;설계내역서!O2&amp;"!A"&amp;ROW(설계내역서!A102),"내역 →")</f>
        <v>내역 →</v>
      </c>
    </row>
    <row r="25" spans="1:17" ht="24" customHeight="1" x14ac:dyDescent="0.3">
      <c r="A25" s="9" t="s">
        <v>826</v>
      </c>
      <c r="B25" s="9" t="s">
        <v>827</v>
      </c>
      <c r="C25" s="9"/>
      <c r="D25" s="55">
        <f>설계내역서!G106</f>
        <v>26732748</v>
      </c>
      <c r="E25" s="54">
        <f>설계내역서!I106</f>
        <v>15867928</v>
      </c>
      <c r="F25" s="63">
        <f>설계내역서!K106</f>
        <v>4384291</v>
      </c>
      <c r="G25" s="55">
        <f>설계내역서!M106</f>
        <v>6480529</v>
      </c>
      <c r="Q25" s="19" t="str">
        <f ca="1">HYPERLINK("#"&amp;설계내역서!O2&amp;"!A"&amp;ROW(설계내역서!A106),"내역 →")</f>
        <v>내역 →</v>
      </c>
    </row>
    <row r="26" spans="1:17" ht="24" customHeight="1" x14ac:dyDescent="0.3">
      <c r="A26" s="9" t="s">
        <v>843</v>
      </c>
      <c r="B26" s="9" t="s">
        <v>844</v>
      </c>
      <c r="C26" s="9"/>
      <c r="D26" s="55">
        <f>설계내역서!G113</f>
        <v>8511884</v>
      </c>
      <c r="E26" s="54">
        <f>설계내역서!I113</f>
        <v>5045750</v>
      </c>
      <c r="F26" s="63">
        <f>설계내역서!K113</f>
        <v>1451343</v>
      </c>
      <c r="G26" s="55">
        <f>설계내역서!M113</f>
        <v>2014791</v>
      </c>
      <c r="Q26" s="19" t="str">
        <f ca="1">HYPERLINK("#"&amp;설계내역서!O2&amp;"!A"&amp;ROW(설계내역서!A113),"내역 →")</f>
        <v>내역 →</v>
      </c>
    </row>
    <row r="27" spans="1:17" ht="24" customHeight="1" x14ac:dyDescent="0.3">
      <c r="A27" s="9" t="s">
        <v>794</v>
      </c>
      <c r="B27" s="9" t="s">
        <v>854</v>
      </c>
      <c r="C27" s="9"/>
      <c r="D27" s="55">
        <f>설계내역서!G118</f>
        <v>45764264</v>
      </c>
      <c r="E27" s="54">
        <f>설계내역서!I118</f>
        <v>33651481</v>
      </c>
      <c r="F27" s="63">
        <f>설계내역서!K118</f>
        <v>5610611</v>
      </c>
      <c r="G27" s="55">
        <f>설계내역서!M118</f>
        <v>6502172</v>
      </c>
      <c r="Q27" s="19" t="str">
        <f ca="1">HYPERLINK("#"&amp;설계내역서!O2&amp;"!A"&amp;ROW(설계내역서!A118),"내역 →")</f>
        <v>내역 →</v>
      </c>
    </row>
    <row r="28" spans="1:17" ht="24" customHeight="1" x14ac:dyDescent="0.3">
      <c r="A28" s="9" t="s">
        <v>857</v>
      </c>
      <c r="B28" s="9" t="s">
        <v>858</v>
      </c>
      <c r="C28" s="9"/>
      <c r="D28" s="55">
        <f>설계내역서!G119</f>
        <v>24588880</v>
      </c>
      <c r="E28" s="54">
        <f>설계내역서!I119</f>
        <v>18008420</v>
      </c>
      <c r="F28" s="63">
        <f>설계내역서!K119</f>
        <v>2746380</v>
      </c>
      <c r="G28" s="55">
        <f>설계내역서!M119</f>
        <v>3834080</v>
      </c>
      <c r="Q28" s="19" t="str">
        <f ca="1">HYPERLINK("#"&amp;설계내역서!O2&amp;"!A"&amp;ROW(설계내역서!A119),"내역 →")</f>
        <v>내역 →</v>
      </c>
    </row>
    <row r="29" spans="1:17" ht="24" customHeight="1" x14ac:dyDescent="0.3">
      <c r="A29" s="9" t="s">
        <v>874</v>
      </c>
      <c r="B29" s="9" t="s">
        <v>875</v>
      </c>
      <c r="C29" s="9"/>
      <c r="D29" s="55">
        <f>설계내역서!G124</f>
        <v>9796914</v>
      </c>
      <c r="E29" s="54">
        <f>설계내역서!I124</f>
        <v>7768511</v>
      </c>
      <c r="F29" s="63">
        <f>설계내역서!K124</f>
        <v>856861</v>
      </c>
      <c r="G29" s="55">
        <f>설계내역서!M124</f>
        <v>1171542</v>
      </c>
      <c r="Q29" s="19" t="str">
        <f ca="1">HYPERLINK("#"&amp;설계내역서!O2&amp;"!A"&amp;ROW(설계내역서!A124),"내역 →")</f>
        <v>내역 →</v>
      </c>
    </row>
    <row r="30" spans="1:17" ht="24" customHeight="1" x14ac:dyDescent="0.3">
      <c r="A30" s="9" t="s">
        <v>891</v>
      </c>
      <c r="B30" s="9" t="s">
        <v>892</v>
      </c>
      <c r="C30" s="9"/>
      <c r="D30" s="55">
        <f>설계내역서!G132</f>
        <v>11378470</v>
      </c>
      <c r="E30" s="54">
        <f>설계내역서!I132</f>
        <v>7874550</v>
      </c>
      <c r="F30" s="63">
        <f>설계내역서!K132</f>
        <v>2007370</v>
      </c>
      <c r="G30" s="55">
        <f>설계내역서!M132</f>
        <v>1496550</v>
      </c>
      <c r="Q30" s="19" t="str">
        <f ca="1">HYPERLINK("#"&amp;설계내역서!O2&amp;"!A"&amp;ROW(설계내역서!A132),"내역 →")</f>
        <v>내역 →</v>
      </c>
    </row>
    <row r="31" spans="1:17" ht="24" customHeight="1" x14ac:dyDescent="0.3">
      <c r="A31" s="9" t="s">
        <v>856</v>
      </c>
      <c r="B31" s="9" t="s">
        <v>855</v>
      </c>
      <c r="C31" s="9"/>
      <c r="D31" s="55">
        <f>설계내역서!G137</f>
        <v>3779330</v>
      </c>
      <c r="E31" s="54">
        <f>설계내역서!I137</f>
        <v>0</v>
      </c>
      <c r="F31" s="63">
        <f>설계내역서!K137</f>
        <v>0</v>
      </c>
      <c r="G31" s="55">
        <f>설계내역서!M137</f>
        <v>3779330</v>
      </c>
      <c r="Q31" s="19" t="str">
        <f ca="1">HYPERLINK("#"&amp;설계내역서!O2&amp;"!A"&amp;ROW(설계내역서!A137),"내역 →")</f>
        <v>내역 →</v>
      </c>
    </row>
    <row r="32" spans="1:17" ht="24" customHeight="1" x14ac:dyDescent="0.3">
      <c r="A32" s="9" t="s">
        <v>923</v>
      </c>
      <c r="B32" s="9" t="s">
        <v>924</v>
      </c>
      <c r="C32" s="9"/>
      <c r="D32" s="55">
        <f>설계내역서!G145</f>
        <v>4459000</v>
      </c>
      <c r="E32" s="54">
        <f>설계내역서!I145</f>
        <v>0</v>
      </c>
      <c r="F32" s="63">
        <f>설계내역서!K145</f>
        <v>4459000</v>
      </c>
      <c r="G32" s="55">
        <f>설계내역서!M145</f>
        <v>0</v>
      </c>
      <c r="Q32" s="19" t="str">
        <f ca="1">HYPERLINK("#"&amp;설계내역서!O2&amp;"!A"&amp;ROW(설계내역서!A145),"내역 →")</f>
        <v>내역 →</v>
      </c>
    </row>
    <row r="33" spans="1:17" ht="24" customHeight="1" x14ac:dyDescent="0.3">
      <c r="A33" s="9" t="s">
        <v>577</v>
      </c>
      <c r="B33" s="9" t="s">
        <v>938</v>
      </c>
      <c r="C33" s="9" t="s">
        <v>939</v>
      </c>
      <c r="D33" s="55">
        <f>설계내역서!G165</f>
        <v>279539423</v>
      </c>
      <c r="E33" s="54">
        <f>설계내역서!I165</f>
        <v>117714471</v>
      </c>
      <c r="F33" s="63">
        <f>설계내역서!K165</f>
        <v>91003260</v>
      </c>
      <c r="G33" s="55">
        <f>설계내역서!M165</f>
        <v>70821692</v>
      </c>
      <c r="Q33" s="19" t="str">
        <f ca="1">HYPERLINK("#"&amp;설계내역서!O2&amp;"!A"&amp;ROW(설계내역서!A165),"내역 →")</f>
        <v>내역 →</v>
      </c>
    </row>
    <row r="34" spans="1:17" ht="24" customHeight="1" x14ac:dyDescent="0.3">
      <c r="A34" s="9" t="s">
        <v>549</v>
      </c>
      <c r="B34" s="9" t="s">
        <v>544</v>
      </c>
      <c r="C34" s="9"/>
      <c r="D34" s="55">
        <f>설계내역서!G166</f>
        <v>189929261</v>
      </c>
      <c r="E34" s="54">
        <f>설계내역서!I166</f>
        <v>89709254</v>
      </c>
      <c r="F34" s="63">
        <f>설계내역서!K166</f>
        <v>57723292</v>
      </c>
      <c r="G34" s="55">
        <f>설계내역서!M166</f>
        <v>42496715</v>
      </c>
      <c r="Q34" s="19" t="str">
        <f ca="1">HYPERLINK("#"&amp;설계내역서!O2&amp;"!A"&amp;ROW(설계내역서!A166),"내역 →")</f>
        <v>내역 →</v>
      </c>
    </row>
    <row r="35" spans="1:17" ht="24" customHeight="1" x14ac:dyDescent="0.3">
      <c r="A35" s="9" t="s">
        <v>532</v>
      </c>
      <c r="B35" s="9" t="s">
        <v>527</v>
      </c>
      <c r="C35" s="9"/>
      <c r="D35" s="55">
        <f>설계내역서!G167</f>
        <v>2198840</v>
      </c>
      <c r="E35" s="54">
        <f>설계내역서!I167</f>
        <v>1702064</v>
      </c>
      <c r="F35" s="63">
        <f>설계내역서!K167</f>
        <v>366366</v>
      </c>
      <c r="G35" s="55">
        <f>설계내역서!M167</f>
        <v>130410</v>
      </c>
      <c r="Q35" s="19" t="str">
        <f ca="1">HYPERLINK("#"&amp;설계내역서!O2&amp;"!A"&amp;ROW(설계내역서!A167),"내역 →")</f>
        <v>내역 →</v>
      </c>
    </row>
    <row r="36" spans="1:17" ht="24" customHeight="1" x14ac:dyDescent="0.3">
      <c r="A36" s="9" t="s">
        <v>796</v>
      </c>
      <c r="B36" s="9" t="s">
        <v>797</v>
      </c>
      <c r="C36" s="9"/>
      <c r="D36" s="55">
        <f>설계내역서!G172</f>
        <v>161365949</v>
      </c>
      <c r="E36" s="54">
        <f>설계내역서!I172</f>
        <v>73636959</v>
      </c>
      <c r="F36" s="63">
        <f>설계내역서!K172</f>
        <v>52413239</v>
      </c>
      <c r="G36" s="55">
        <f>설계내역서!M172</f>
        <v>35315751</v>
      </c>
      <c r="Q36" s="19" t="str">
        <f ca="1">HYPERLINK("#"&amp;설계내역서!O2&amp;"!A"&amp;ROW(설계내역서!A172),"내역 →")</f>
        <v>내역 →</v>
      </c>
    </row>
    <row r="37" spans="1:17" ht="24" customHeight="1" x14ac:dyDescent="0.3">
      <c r="A37" s="9" t="s">
        <v>807</v>
      </c>
      <c r="B37" s="9" t="s">
        <v>808</v>
      </c>
      <c r="C37" s="9"/>
      <c r="D37" s="55">
        <f>설계내역서!G177</f>
        <v>2968680</v>
      </c>
      <c r="E37" s="54">
        <f>설계내역서!I177</f>
        <v>1651854</v>
      </c>
      <c r="F37" s="63">
        <f>설계내역서!K177</f>
        <v>537353</v>
      </c>
      <c r="G37" s="55">
        <f>설계내역서!M177</f>
        <v>779473</v>
      </c>
      <c r="Q37" s="19" t="str">
        <f ca="1">HYPERLINK("#"&amp;설계내역서!O2&amp;"!A"&amp;ROW(설계내역서!A177),"내역 →")</f>
        <v>내역 →</v>
      </c>
    </row>
    <row r="38" spans="1:17" ht="24" customHeight="1" x14ac:dyDescent="0.3">
      <c r="A38" s="9" t="s">
        <v>818</v>
      </c>
      <c r="B38" s="9" t="s">
        <v>819</v>
      </c>
      <c r="C38" s="9"/>
      <c r="D38" s="55">
        <f>설계내역서!G182</f>
        <v>6462200</v>
      </c>
      <c r="E38" s="54">
        <f>설계내역서!I182</f>
        <v>3366156</v>
      </c>
      <c r="F38" s="63">
        <f>설계내역서!K182</f>
        <v>1110750</v>
      </c>
      <c r="G38" s="55">
        <f>설계내역서!M182</f>
        <v>1985294</v>
      </c>
      <c r="Q38" s="19" t="str">
        <f ca="1">HYPERLINK("#"&amp;설계내역서!O2&amp;"!A"&amp;ROW(설계내역서!A182),"내역 →")</f>
        <v>내역 →</v>
      </c>
    </row>
    <row r="39" spans="1:17" ht="24" customHeight="1" x14ac:dyDescent="0.3">
      <c r="A39" s="9" t="s">
        <v>826</v>
      </c>
      <c r="B39" s="9" t="s">
        <v>827</v>
      </c>
      <c r="C39" s="9"/>
      <c r="D39" s="55">
        <f>설계내역서!G186</f>
        <v>3411950</v>
      </c>
      <c r="E39" s="54">
        <f>설계내역서!I186</f>
        <v>1657840</v>
      </c>
      <c r="F39" s="63">
        <f>설계내역서!K186</f>
        <v>817249</v>
      </c>
      <c r="G39" s="55">
        <f>설계내역서!M186</f>
        <v>936861</v>
      </c>
      <c r="Q39" s="19" t="str">
        <f ca="1">HYPERLINK("#"&amp;설계내역서!O2&amp;"!A"&amp;ROW(설계내역서!A186),"내역 →")</f>
        <v>내역 →</v>
      </c>
    </row>
    <row r="40" spans="1:17" ht="24" customHeight="1" x14ac:dyDescent="0.3">
      <c r="A40" s="9" t="s">
        <v>843</v>
      </c>
      <c r="B40" s="9" t="s">
        <v>844</v>
      </c>
      <c r="C40" s="9"/>
      <c r="D40" s="55">
        <f>설계내역서!G193</f>
        <v>13521642</v>
      </c>
      <c r="E40" s="54">
        <f>설계내역서!I193</f>
        <v>7694381</v>
      </c>
      <c r="F40" s="63">
        <f>설계내역서!K193</f>
        <v>2478335</v>
      </c>
      <c r="G40" s="55">
        <f>설계내역서!M193</f>
        <v>3348926</v>
      </c>
      <c r="Q40" s="19" t="str">
        <f ca="1">HYPERLINK("#"&amp;설계내역서!O2&amp;"!A"&amp;ROW(설계내역서!A193),"내역 →")</f>
        <v>내역 →</v>
      </c>
    </row>
    <row r="41" spans="1:17" ht="24" customHeight="1" x14ac:dyDescent="0.3">
      <c r="A41" s="9" t="s">
        <v>794</v>
      </c>
      <c r="B41" s="9" t="s">
        <v>854</v>
      </c>
      <c r="C41" s="9"/>
      <c r="D41" s="55">
        <f>설계내역서!G198</f>
        <v>37684612</v>
      </c>
      <c r="E41" s="54">
        <f>설계내역서!I198</f>
        <v>28005217</v>
      </c>
      <c r="F41" s="63">
        <f>설계내역서!K198</f>
        <v>4413322</v>
      </c>
      <c r="G41" s="55">
        <f>설계내역서!M198</f>
        <v>5266073</v>
      </c>
      <c r="Q41" s="19" t="str">
        <f ca="1">HYPERLINK("#"&amp;설계내역서!O2&amp;"!A"&amp;ROW(설계내역서!A198),"내역 →")</f>
        <v>내역 →</v>
      </c>
    </row>
    <row r="42" spans="1:17" ht="24" customHeight="1" x14ac:dyDescent="0.3">
      <c r="A42" s="9" t="s">
        <v>857</v>
      </c>
      <c r="B42" s="9" t="s">
        <v>858</v>
      </c>
      <c r="C42" s="9"/>
      <c r="D42" s="55">
        <f>설계내역서!G199</f>
        <v>23601718</v>
      </c>
      <c r="E42" s="54">
        <f>설계내역서!I199</f>
        <v>17454745</v>
      </c>
      <c r="F42" s="63">
        <f>설계내역서!K199</f>
        <v>2327334</v>
      </c>
      <c r="G42" s="55">
        <f>설계내역서!M199</f>
        <v>3819639</v>
      </c>
      <c r="Q42" s="19" t="str">
        <f ca="1">HYPERLINK("#"&amp;설계내역서!O2&amp;"!A"&amp;ROW(설계내역서!A199),"내역 →")</f>
        <v>내역 →</v>
      </c>
    </row>
    <row r="43" spans="1:17" ht="24" customHeight="1" x14ac:dyDescent="0.3">
      <c r="A43" s="9" t="s">
        <v>874</v>
      </c>
      <c r="B43" s="9" t="s">
        <v>875</v>
      </c>
      <c r="C43" s="9"/>
      <c r="D43" s="55">
        <f>설계내역서!G204</f>
        <v>7763750</v>
      </c>
      <c r="E43" s="54">
        <f>설계내역서!I204</f>
        <v>6507212</v>
      </c>
      <c r="F43" s="63">
        <f>설계내역서!K204</f>
        <v>551000</v>
      </c>
      <c r="G43" s="55">
        <f>설계내역서!M204</f>
        <v>705538</v>
      </c>
      <c r="Q43" s="19" t="str">
        <f ca="1">HYPERLINK("#"&amp;설계내역서!O2&amp;"!A"&amp;ROW(설계내역서!A204),"내역 →")</f>
        <v>내역 →</v>
      </c>
    </row>
    <row r="44" spans="1:17" ht="24" customHeight="1" x14ac:dyDescent="0.3">
      <c r="A44" s="9" t="s">
        <v>891</v>
      </c>
      <c r="B44" s="9" t="s">
        <v>892</v>
      </c>
      <c r="C44" s="9"/>
      <c r="D44" s="55">
        <f>설계내역서!G214</f>
        <v>6319144</v>
      </c>
      <c r="E44" s="54">
        <f>설계내역서!I214</f>
        <v>4043260</v>
      </c>
      <c r="F44" s="63">
        <f>설계내역서!K214</f>
        <v>1534988</v>
      </c>
      <c r="G44" s="55">
        <f>설계내역서!M214</f>
        <v>740896</v>
      </c>
      <c r="Q44" s="19" t="str">
        <f ca="1">HYPERLINK("#"&amp;설계내역서!O2&amp;"!A"&amp;ROW(설계내역서!A214),"내역 →")</f>
        <v>내역 →</v>
      </c>
    </row>
    <row r="45" spans="1:17" ht="24" customHeight="1" x14ac:dyDescent="0.3">
      <c r="A45" s="9" t="s">
        <v>856</v>
      </c>
      <c r="B45" s="9" t="s">
        <v>855</v>
      </c>
      <c r="C45" s="9"/>
      <c r="D45" s="55">
        <f>설계내역서!G218</f>
        <v>23058904</v>
      </c>
      <c r="E45" s="54">
        <f>설계내역서!I218</f>
        <v>0</v>
      </c>
      <c r="F45" s="63">
        <f>설계내역서!K218</f>
        <v>0</v>
      </c>
      <c r="G45" s="55">
        <f>설계내역서!M218</f>
        <v>23058904</v>
      </c>
      <c r="Q45" s="19" t="str">
        <f ca="1">HYPERLINK("#"&amp;설계내역서!O2&amp;"!A"&amp;ROW(설계내역서!A218),"내역 →")</f>
        <v>내역 →</v>
      </c>
    </row>
    <row r="46" spans="1:17" ht="24" customHeight="1" x14ac:dyDescent="0.3">
      <c r="A46" s="9" t="s">
        <v>923</v>
      </c>
      <c r="B46" s="9" t="s">
        <v>924</v>
      </c>
      <c r="C46" s="9"/>
      <c r="D46" s="55">
        <f>설계내역서!G227</f>
        <v>28866646</v>
      </c>
      <c r="E46" s="54">
        <f>설계내역서!I227</f>
        <v>0</v>
      </c>
      <c r="F46" s="63">
        <f>설계내역서!K227</f>
        <v>28866646</v>
      </c>
      <c r="G46" s="55">
        <f>설계내역서!M227</f>
        <v>0</v>
      </c>
      <c r="Q46" s="19" t="str">
        <f ca="1">HYPERLINK("#"&amp;설계내역서!O2&amp;"!A"&amp;ROW(설계내역서!A227),"내역 →")</f>
        <v>내역 →</v>
      </c>
    </row>
    <row r="47" spans="1:17" ht="24" customHeight="1" x14ac:dyDescent="0.3">
      <c r="A47" s="9" t="s">
        <v>577</v>
      </c>
      <c r="B47" s="9" t="s">
        <v>559</v>
      </c>
      <c r="C47" s="9"/>
      <c r="D47" s="55">
        <f>설계내역서!G245</f>
        <v>69849380</v>
      </c>
      <c r="E47" s="54">
        <f>설계내역서!I245</f>
        <v>0</v>
      </c>
      <c r="F47" s="63">
        <f>설계내역서!K245</f>
        <v>69849380</v>
      </c>
      <c r="G47" s="55">
        <f>설계내역서!M245</f>
        <v>0</v>
      </c>
      <c r="Q47" s="19" t="str">
        <f ca="1">HYPERLINK("#"&amp;설계내역서!O2&amp;"!A"&amp;ROW(설계내역서!A245),"내역 →")</f>
        <v>내역 →</v>
      </c>
    </row>
    <row r="48" spans="1:17" ht="24" customHeight="1" x14ac:dyDescent="0.3">
      <c r="A48" s="9" t="s">
        <v>1035</v>
      </c>
      <c r="B48" s="9" t="s">
        <v>1036</v>
      </c>
      <c r="C48" s="9"/>
      <c r="D48" s="55">
        <f>설계내역서!G254</f>
        <v>710359136</v>
      </c>
      <c r="E48" s="54">
        <f>설계내역서!I254</f>
        <v>346800554</v>
      </c>
      <c r="F48" s="63">
        <f>설계내역서!K254</f>
        <v>194234417</v>
      </c>
      <c r="G48" s="55">
        <f>설계내역서!M254</f>
        <v>169324165</v>
      </c>
      <c r="Q48" s="19" t="str">
        <f ca="1">HYPERLINK("#"&amp;설계내역서!O2&amp;"!A"&amp;ROW(설계내역서!A254),"내역 →")</f>
        <v>내역 →</v>
      </c>
    </row>
    <row r="49" spans="1:16" ht="24" customHeight="1" x14ac:dyDescent="0.3">
      <c r="A49" s="9"/>
      <c r="B49" s="9" t="s">
        <v>1037</v>
      </c>
      <c r="C49" s="9"/>
      <c r="D49" s="55">
        <f>ROUNDDOWN(E48*M49/100,0)</f>
        <v>50286080</v>
      </c>
      <c r="E49" s="151" t="str">
        <f>"직접노무비 x "&amp;ROUND(M49,5)&amp;"%"</f>
        <v>직접노무비 x 14.5%</v>
      </c>
      <c r="F49" s="152"/>
      <c r="G49" s="153"/>
      <c r="H49" s="16" t="s">
        <v>1038</v>
      </c>
      <c r="I49" s="37">
        <v>0</v>
      </c>
      <c r="M49" s="65">
        <v>14.5</v>
      </c>
      <c r="N49" s="37">
        <v>0</v>
      </c>
      <c r="O49" s="66">
        <v>0</v>
      </c>
      <c r="P49" s="66">
        <v>0</v>
      </c>
    </row>
    <row r="50" spans="1:16" ht="24" customHeight="1" x14ac:dyDescent="0.3">
      <c r="A50" s="9"/>
      <c r="B50" s="9" t="s">
        <v>1039</v>
      </c>
      <c r="C50" s="9"/>
      <c r="D50" s="55">
        <f>ROUNDDOWN((E48+D49)*M50/100,0)</f>
        <v>14136284</v>
      </c>
      <c r="E50" s="151" t="str">
        <f>"(직접노무비+간접노무비) x "&amp;ROUND(M50,5)&amp;"%"</f>
        <v>(직접노무비+간접노무비) x 3.56%</v>
      </c>
      <c r="F50" s="152"/>
      <c r="G50" s="153"/>
      <c r="H50" s="16" t="s">
        <v>1040</v>
      </c>
      <c r="I50" s="37">
        <v>0</v>
      </c>
      <c r="M50" s="65">
        <v>3.56</v>
      </c>
      <c r="N50" s="37">
        <v>0</v>
      </c>
      <c r="O50" s="66">
        <v>0</v>
      </c>
      <c r="P50" s="66">
        <v>0</v>
      </c>
    </row>
    <row r="51" spans="1:16" ht="24" customHeight="1" x14ac:dyDescent="0.3">
      <c r="A51" s="9"/>
      <c r="B51" s="9" t="s">
        <v>1041</v>
      </c>
      <c r="C51" s="9"/>
      <c r="D51" s="55">
        <f>ROUNDDOWN((E48+D49)*M51/100,0)</f>
        <v>4010575</v>
      </c>
      <c r="E51" s="151" t="str">
        <f>"(직접노무비+간접노무비) x "&amp;ROUND(M51,5)&amp;"%"</f>
        <v>(직접노무비+간접노무비) x 1.01%</v>
      </c>
      <c r="F51" s="152"/>
      <c r="G51" s="153"/>
      <c r="H51" s="16" t="s">
        <v>1042</v>
      </c>
      <c r="I51" s="37">
        <v>0</v>
      </c>
      <c r="M51" s="65">
        <v>1.01</v>
      </c>
      <c r="N51" s="37">
        <v>0</v>
      </c>
      <c r="O51" s="66">
        <v>0</v>
      </c>
      <c r="P51" s="66">
        <v>0</v>
      </c>
    </row>
    <row r="52" spans="1:16" ht="24" customHeight="1" x14ac:dyDescent="0.3">
      <c r="A52" s="9"/>
      <c r="B52" s="9" t="s">
        <v>1043</v>
      </c>
      <c r="C52" s="9"/>
      <c r="D52" s="55">
        <f>ROUNDDOWN(E48*M52/100,0)</f>
        <v>12294079</v>
      </c>
      <c r="E52" s="151" t="str">
        <f>"직접노무비 x "&amp;ROUND(M52,5)&amp;"%"</f>
        <v>직접노무비 x 3.545%</v>
      </c>
      <c r="F52" s="152"/>
      <c r="G52" s="153"/>
      <c r="H52" s="16" t="s">
        <v>1044</v>
      </c>
      <c r="I52" s="37">
        <v>0</v>
      </c>
      <c r="J52" s="56">
        <f>E48</f>
        <v>346800554</v>
      </c>
      <c r="M52" s="65">
        <v>3.5449999999999999</v>
      </c>
      <c r="N52" s="37">
        <v>0</v>
      </c>
      <c r="O52" s="66">
        <v>0</v>
      </c>
      <c r="P52" s="66">
        <v>0</v>
      </c>
    </row>
    <row r="53" spans="1:16" ht="24" customHeight="1" x14ac:dyDescent="0.3">
      <c r="A53" s="9"/>
      <c r="B53" s="9" t="s">
        <v>1045</v>
      </c>
      <c r="C53" s="9"/>
      <c r="D53" s="55">
        <f>ROUNDDOWN(D52*M53/100,0)</f>
        <v>1592083</v>
      </c>
      <c r="E53" s="151" t="str">
        <f>"건강보험료 x "&amp;ROUND(M53,5)&amp;"%"</f>
        <v>건강보험료 x 12.95%</v>
      </c>
      <c r="F53" s="152"/>
      <c r="G53" s="153"/>
      <c r="H53" s="16" t="s">
        <v>1046</v>
      </c>
      <c r="I53" s="37">
        <v>0</v>
      </c>
      <c r="J53" s="56">
        <f>D52</f>
        <v>12294079</v>
      </c>
      <c r="M53" s="65">
        <v>12.95</v>
      </c>
      <c r="N53" s="37">
        <v>0</v>
      </c>
      <c r="O53" s="66">
        <v>0</v>
      </c>
      <c r="P53" s="66">
        <v>0</v>
      </c>
    </row>
    <row r="54" spans="1:16" ht="24" customHeight="1" x14ac:dyDescent="0.3">
      <c r="A54" s="9"/>
      <c r="B54" s="9" t="s">
        <v>1047</v>
      </c>
      <c r="C54" s="9"/>
      <c r="D54" s="55">
        <f>ROUNDDOWN(E48*M54/100,0)</f>
        <v>15606024</v>
      </c>
      <c r="E54" s="151" t="str">
        <f>"직접노무비 x "&amp;ROUND(M54,5)&amp;"%"</f>
        <v>직접노무비 x 4.5%</v>
      </c>
      <c r="F54" s="152"/>
      <c r="G54" s="153"/>
      <c r="H54" s="16" t="s">
        <v>1048</v>
      </c>
      <c r="I54" s="37">
        <v>0</v>
      </c>
      <c r="J54" s="56">
        <f>E48</f>
        <v>346800554</v>
      </c>
      <c r="M54" s="65">
        <v>4.5</v>
      </c>
      <c r="N54" s="37">
        <v>0</v>
      </c>
      <c r="O54" s="66">
        <v>0</v>
      </c>
      <c r="P54" s="66">
        <v>0</v>
      </c>
    </row>
    <row r="55" spans="1:16" ht="24" customHeight="1" x14ac:dyDescent="0.3">
      <c r="A55" s="9"/>
      <c r="B55" s="9" t="s">
        <v>1049</v>
      </c>
      <c r="C55" s="9" t="s">
        <v>1050</v>
      </c>
      <c r="D55" s="55">
        <f>ROUNDDOWN(((E48+(F48))+(I66-O66)/1.1)*M55/100+5349000,0)</f>
        <v>16586996</v>
      </c>
      <c r="E55" s="155" t="s">
        <v>1052</v>
      </c>
      <c r="F55" s="152"/>
      <c r="G55" s="153"/>
      <c r="H55" s="16" t="s">
        <v>1051</v>
      </c>
      <c r="I55" s="37">
        <v>0</v>
      </c>
      <c r="J55" s="56">
        <f>((E48+(F48))+(I66-O66)/1.1)</f>
        <v>604193352.81818175</v>
      </c>
      <c r="M55" s="65">
        <v>1.86</v>
      </c>
      <c r="N55" s="37">
        <v>5349000</v>
      </c>
      <c r="O55" s="66">
        <v>0</v>
      </c>
      <c r="P55" s="66">
        <v>0</v>
      </c>
    </row>
    <row r="56" spans="1:16" ht="24" customHeight="1" x14ac:dyDescent="0.3">
      <c r="A56" s="9"/>
      <c r="B56" s="9" t="s">
        <v>1055</v>
      </c>
      <c r="C56" s="9"/>
      <c r="D56" s="55">
        <f>ROUNDDOWN((((E48+D49)+(F48)))*M56/100,0)</f>
        <v>35479263</v>
      </c>
      <c r="E56" s="151" t="str">
        <f>"(직접노무비+간접노무비+재료비) x "&amp;ROUND(M56,5)&amp;"%"</f>
        <v>(직접노무비+간접노무비+재료비) x 6%</v>
      </c>
      <c r="F56" s="152"/>
      <c r="G56" s="153"/>
      <c r="H56" s="16" t="s">
        <v>1056</v>
      </c>
      <c r="I56" s="37">
        <v>0</v>
      </c>
      <c r="M56" s="64">
        <v>6</v>
      </c>
      <c r="N56" s="37">
        <v>0</v>
      </c>
      <c r="O56" s="66">
        <v>0</v>
      </c>
      <c r="P56" s="66">
        <v>0</v>
      </c>
    </row>
    <row r="57" spans="1:16" ht="24" customHeight="1" x14ac:dyDescent="0.3">
      <c r="A57" s="9"/>
      <c r="B57" s="9" t="s">
        <v>1057</v>
      </c>
      <c r="C57" s="9"/>
      <c r="D57" s="55">
        <f>ROUNDDOWN((D48)*M57/100,0)</f>
        <v>5682873</v>
      </c>
      <c r="E57" s="151" t="str">
        <f>"(재료비 + 직접노무비 + 산출경비) x "&amp;ROUND(M57,5)&amp;"%"</f>
        <v>(재료비 + 직접노무비 + 산출경비) x 0.8%</v>
      </c>
      <c r="F57" s="152"/>
      <c r="G57" s="153"/>
      <c r="H57" s="16" t="s">
        <v>1058</v>
      </c>
      <c r="I57" s="37">
        <v>0</v>
      </c>
      <c r="M57" s="65">
        <v>0.8</v>
      </c>
      <c r="N57" s="37">
        <v>0</v>
      </c>
      <c r="O57" s="66">
        <v>0</v>
      </c>
      <c r="P57" s="66">
        <v>0</v>
      </c>
    </row>
    <row r="58" spans="1:16" ht="24" customHeight="1" x14ac:dyDescent="0.3">
      <c r="A58" s="9"/>
      <c r="B58" s="9" t="s">
        <v>1059</v>
      </c>
      <c r="C58" s="9"/>
      <c r="D58" s="55">
        <f>ROUNDDOWN((D48)*M58/100,0)</f>
        <v>2841436</v>
      </c>
      <c r="E58" s="151" t="str">
        <f>"(재료비 + 직접노무비 + 산출경비) x "&amp;ROUND(M58,5)&amp;"%"</f>
        <v>(재료비 + 직접노무비 + 산출경비) x 0.4%</v>
      </c>
      <c r="F58" s="152"/>
      <c r="G58" s="153"/>
      <c r="H58" s="16" t="s">
        <v>1060</v>
      </c>
      <c r="I58" s="37">
        <v>0</v>
      </c>
      <c r="M58" s="65">
        <v>0.4</v>
      </c>
      <c r="N58" s="37">
        <v>0</v>
      </c>
      <c r="O58" s="66">
        <v>0</v>
      </c>
      <c r="P58" s="66">
        <v>0</v>
      </c>
    </row>
    <row r="59" spans="1:16" ht="24" customHeight="1" x14ac:dyDescent="0.3">
      <c r="A59" s="9" t="s">
        <v>1061</v>
      </c>
      <c r="B59" s="9" t="s">
        <v>1062</v>
      </c>
      <c r="C59" s="9"/>
      <c r="D59" s="55">
        <f>(D48+D49+D50+D51+D52+D53+D54+D55+D56+D57+D58)</f>
        <v>868874829</v>
      </c>
      <c r="E59" s="154"/>
      <c r="F59" s="152"/>
      <c r="G59" s="153"/>
      <c r="H59" s="16" t="s">
        <v>1063</v>
      </c>
      <c r="I59" s="37">
        <v>0</v>
      </c>
      <c r="M59" s="37">
        <v>0</v>
      </c>
      <c r="N59" s="37">
        <v>0</v>
      </c>
      <c r="O59" s="66">
        <v>0</v>
      </c>
      <c r="P59" s="66">
        <v>0</v>
      </c>
    </row>
    <row r="60" spans="1:16" ht="24" customHeight="1" x14ac:dyDescent="0.3">
      <c r="A60" s="9"/>
      <c r="B60" s="9" t="s">
        <v>1064</v>
      </c>
      <c r="C60" s="9"/>
      <c r="D60" s="55">
        <f>ROUNDDOWN(((D59)+0)*M60/100,0)</f>
        <v>52132489</v>
      </c>
      <c r="E60" s="151" t="str">
        <f>"(나.소  계) x "&amp;ROUND(M60,5)&amp;"%"</f>
        <v>(나.소  계) x 6%</v>
      </c>
      <c r="F60" s="152"/>
      <c r="G60" s="153"/>
      <c r="H60" s="16" t="s">
        <v>1065</v>
      </c>
      <c r="I60" s="37">
        <v>0</v>
      </c>
      <c r="M60" s="64">
        <v>6</v>
      </c>
      <c r="N60" s="37">
        <v>0</v>
      </c>
      <c r="O60" s="66">
        <v>0</v>
      </c>
      <c r="P60" s="66">
        <v>0</v>
      </c>
    </row>
    <row r="61" spans="1:16" ht="24" customHeight="1" x14ac:dyDescent="0.3">
      <c r="A61" s="9" t="s">
        <v>1066</v>
      </c>
      <c r="B61" s="9" t="s">
        <v>1062</v>
      </c>
      <c r="C61" s="9"/>
      <c r="D61" s="55">
        <f>(D59+D60)</f>
        <v>921007318</v>
      </c>
      <c r="E61" s="154"/>
      <c r="F61" s="152"/>
      <c r="G61" s="153"/>
      <c r="H61" s="16" t="s">
        <v>1067</v>
      </c>
      <c r="I61" s="37">
        <v>0</v>
      </c>
      <c r="J61" s="56">
        <f>D61</f>
        <v>921007318</v>
      </c>
      <c r="L61" s="56">
        <f>D61</f>
        <v>921007318</v>
      </c>
      <c r="M61" s="37">
        <v>0</v>
      </c>
      <c r="N61" s="37">
        <v>0</v>
      </c>
      <c r="O61" s="66">
        <v>0</v>
      </c>
      <c r="P61" s="66">
        <v>0</v>
      </c>
    </row>
    <row r="62" spans="1:16" ht="24" customHeight="1" x14ac:dyDescent="0.3">
      <c r="A62" s="9"/>
      <c r="B62" s="9" t="s">
        <v>1068</v>
      </c>
      <c r="C62" s="9"/>
      <c r="D62" s="55">
        <f>ROUNDDOWN(((D61)-(F48))*M62/100,0)-I62-K62</f>
        <v>108109955</v>
      </c>
      <c r="E62" s="151" t="str">
        <f>"(다.소계 - 재료비) x "&amp;ROUND(M62,5)&amp;"% = "&amp;TEXT(J62,"#,##0")</f>
        <v>(다.소계 - 재료비) x 15% = 109,015,935</v>
      </c>
      <c r="F62" s="152"/>
      <c r="G62" s="153"/>
      <c r="H62" s="16" t="s">
        <v>1069</v>
      </c>
      <c r="I62" s="64">
        <v>905980</v>
      </c>
      <c r="J62" s="56">
        <f>ROUNDDOWN(((J61)-(F48))*M62/100,0)</f>
        <v>109015935</v>
      </c>
      <c r="L62" s="56">
        <f>ROUNDDOWN(((L61)-(F48))*M62/100,0)-I62</f>
        <v>108109955</v>
      </c>
      <c r="M62" s="64">
        <v>15</v>
      </c>
      <c r="N62" s="37">
        <v>0</v>
      </c>
      <c r="O62" s="66">
        <v>0</v>
      </c>
      <c r="P62" s="66">
        <v>0</v>
      </c>
    </row>
    <row r="63" spans="1:16" ht="24" customHeight="1" x14ac:dyDescent="0.3">
      <c r="A63" s="9" t="s">
        <v>1070</v>
      </c>
      <c r="B63" s="9" t="s">
        <v>1071</v>
      </c>
      <c r="C63" s="9"/>
      <c r="D63" s="55">
        <f>(D61+D62)</f>
        <v>1029117273</v>
      </c>
      <c r="E63" s="154"/>
      <c r="F63" s="152"/>
      <c r="G63" s="153"/>
      <c r="H63" s="16" t="s">
        <v>1072</v>
      </c>
      <c r="I63" s="37">
        <v>0</v>
      </c>
      <c r="J63" s="56">
        <f>(J61+J62)</f>
        <v>1030023253</v>
      </c>
      <c r="L63" s="56">
        <f>(L61+L62)</f>
        <v>1029117273</v>
      </c>
      <c r="M63" s="37">
        <v>0</v>
      </c>
      <c r="N63" s="37">
        <v>0</v>
      </c>
      <c r="O63" s="66">
        <v>0</v>
      </c>
      <c r="P63" s="66">
        <v>0</v>
      </c>
    </row>
    <row r="64" spans="1:16" ht="24" customHeight="1" x14ac:dyDescent="0.3">
      <c r="A64" s="9"/>
      <c r="B64" s="9" t="s">
        <v>1073</v>
      </c>
      <c r="C64" s="9"/>
      <c r="D64" s="55">
        <f>ROUNDDOWN((D63)*M64/100,0)+I64</f>
        <v>102911727</v>
      </c>
      <c r="E64" s="151" t="str">
        <f>"공급가액 x "&amp;ROUND(M64,5)&amp;"%"</f>
        <v>공급가액 x 10%</v>
      </c>
      <c r="F64" s="152"/>
      <c r="G64" s="153"/>
      <c r="H64" s="16" t="s">
        <v>1074</v>
      </c>
      <c r="I64" s="64">
        <v>0</v>
      </c>
      <c r="J64" s="56">
        <f>ROUNDDOWN((J63)*M64/100,0)+I64</f>
        <v>103002325</v>
      </c>
      <c r="L64" s="56">
        <f>ROUNDDOWN((L63)*M64/100,0)+I64</f>
        <v>102911727</v>
      </c>
      <c r="M64" s="64">
        <v>10</v>
      </c>
      <c r="N64" s="37">
        <v>0</v>
      </c>
      <c r="O64" s="66">
        <v>0</v>
      </c>
      <c r="P64" s="66">
        <v>0</v>
      </c>
    </row>
    <row r="65" spans="1:16" ht="24" customHeight="1" x14ac:dyDescent="0.3">
      <c r="A65" s="9" t="s">
        <v>1075</v>
      </c>
      <c r="B65" s="9" t="s">
        <v>1076</v>
      </c>
      <c r="C65" s="9"/>
      <c r="D65" s="55">
        <f>(D63+D64)</f>
        <v>1132029000</v>
      </c>
      <c r="E65" s="154"/>
      <c r="F65" s="152"/>
      <c r="G65" s="153"/>
      <c r="H65" s="16" t="s">
        <v>1077</v>
      </c>
      <c r="I65" s="37">
        <v>0</v>
      </c>
      <c r="J65" s="56">
        <f>(J63+J64)</f>
        <v>1133025578</v>
      </c>
      <c r="L65" s="56">
        <f>(L63+L64)</f>
        <v>1132029000</v>
      </c>
      <c r="M65" s="37">
        <v>0</v>
      </c>
      <c r="N65" s="37">
        <v>0</v>
      </c>
      <c r="O65" s="66">
        <v>0</v>
      </c>
      <c r="P65" s="66">
        <v>0</v>
      </c>
    </row>
    <row r="66" spans="1:16" ht="24" customHeight="1" x14ac:dyDescent="0.3">
      <c r="A66" s="9"/>
      <c r="B66" s="9" t="s">
        <v>1078</v>
      </c>
      <c r="C66" s="9"/>
      <c r="D66" s="55">
        <f>ROUNDUP(I66,-3)</f>
        <v>69850000</v>
      </c>
      <c r="E66" s="151" t="str">
        <f>"원자재대: "&amp;TEXT(I66,"#,0")&amp;" (조달수수료: "&amp;TEXT(O66,"#,0")&amp;" 포함)"</f>
        <v>원자재대: 69,849,380 (조달수수료: 375,160 포함)</v>
      </c>
      <c r="F66" s="152"/>
      <c r="G66" s="153"/>
      <c r="H66" s="16" t="s">
        <v>1079</v>
      </c>
      <c r="I66" s="64">
        <v>69849380</v>
      </c>
      <c r="J66" s="56">
        <f>ROUNDUP(I66,-3)</f>
        <v>69850000</v>
      </c>
      <c r="L66" s="56">
        <f>ROUNDUP(I66,-3)</f>
        <v>69850000</v>
      </c>
      <c r="M66" s="37">
        <v>3</v>
      </c>
      <c r="N66" s="37">
        <v>0</v>
      </c>
      <c r="O66" s="67">
        <v>375160</v>
      </c>
      <c r="P66" s="66">
        <v>0</v>
      </c>
    </row>
    <row r="67" spans="1:16" ht="24" customHeight="1" x14ac:dyDescent="0.3">
      <c r="A67" s="9" t="s">
        <v>1080</v>
      </c>
      <c r="B67" s="9" t="s">
        <v>1081</v>
      </c>
      <c r="C67" s="9"/>
      <c r="D67" s="55">
        <f>(D65+D66)</f>
        <v>1201879000</v>
      </c>
      <c r="E67" s="154"/>
      <c r="F67" s="152"/>
      <c r="G67" s="153"/>
      <c r="H67" s="16" t="s">
        <v>1082</v>
      </c>
      <c r="I67" s="37">
        <v>0</v>
      </c>
      <c r="J67" s="56">
        <f>(J65+J66)</f>
        <v>1202875578</v>
      </c>
      <c r="L67" s="56">
        <f>(L65+L66)</f>
        <v>1201879000</v>
      </c>
      <c r="M67" s="37">
        <v>0</v>
      </c>
      <c r="N67" s="37">
        <v>0</v>
      </c>
      <c r="O67" s="66">
        <v>0</v>
      </c>
      <c r="P67" s="66">
        <v>0</v>
      </c>
    </row>
  </sheetData>
  <mergeCells count="20">
    <mergeCell ref="E59:G59"/>
    <mergeCell ref="A1:G1"/>
    <mergeCell ref="E49:G49"/>
    <mergeCell ref="E50:G50"/>
    <mergeCell ref="E51:G51"/>
    <mergeCell ref="E52:G52"/>
    <mergeCell ref="E53:G53"/>
    <mergeCell ref="E54:G54"/>
    <mergeCell ref="E55:G55"/>
    <mergeCell ref="E56:G56"/>
    <mergeCell ref="E57:G57"/>
    <mergeCell ref="E58:G58"/>
    <mergeCell ref="E66:G66"/>
    <mergeCell ref="E67:G67"/>
    <mergeCell ref="E60:G60"/>
    <mergeCell ref="E61:G61"/>
    <mergeCell ref="E62:G62"/>
    <mergeCell ref="E63:G63"/>
    <mergeCell ref="E64:G64"/>
    <mergeCell ref="E65:G65"/>
  </mergeCells>
  <phoneticPr fontId="26" type="noConversion"/>
  <hyperlinks>
    <hyperlink ref="H1" r:id="rId1" tooltip="설계예산시스템(STmate w24.04)으로 작성 하였으며,_x000a_엑셀 인쇄품질 600 dpi에 최적화 되어 있습니다._x000a_경영정보(주) http://www.stma.co.kr_x000a_Tel) 070-4350-0040_x000a_Fax) 0505-300-3948"/>
    <hyperlink ref="Q1" r:id="rId2" tooltip="설계예산시스템(STmate w24.04)으로 작성 하였으며,_x000a_엑셀 인쇄품질 600 dpi에 최적화 되어 있습니다._x000a_경영정보(주) http://www.stma.co.kr_x000a_Tel) 070-4350-0040_x000a_Fax) 0505-300-3948"/>
  </hyperlinks>
  <printOptions horizontalCentered="1"/>
  <pageMargins left="0.78740157480314965" right="0.78740157480314965" top="0.59055118110236215" bottom="0.55118110236220474" header="0" footer="0.35433070866141736"/>
  <pageSetup paperSize="9" scale="91" fitToWidth="0" fitToHeight="0" orientation="landscape" r:id="rId3"/>
  <headerFooter alignWithMargins="0">
    <oddFooter xml:space="preserve">&amp;R&amp;"굴림체,"&amp;9 </oddFooter>
  </headerFooter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265"/>
  <sheetViews>
    <sheetView workbookViewId="0">
      <pane ySplit="4" topLeftCell="A5" activePane="bottomLeft" state="frozenSplit"/>
      <selection pane="bottomLeft" activeCell="A5" sqref="A5"/>
    </sheetView>
  </sheetViews>
  <sheetFormatPr defaultColWidth="9.125" defaultRowHeight="16.5" x14ac:dyDescent="0.3"/>
  <cols>
    <col min="1" max="1" width="10" style="5" customWidth="1"/>
    <col min="2" max="3" width="24.25" style="5" customWidth="1"/>
    <col min="4" max="4" width="10" style="5" customWidth="1"/>
    <col min="5" max="5" width="5.5" style="5" customWidth="1"/>
    <col min="6" max="6" width="10" style="5" customWidth="1"/>
    <col min="7" max="7" width="11.5" style="5" customWidth="1"/>
    <col min="8" max="8" width="10" style="5" customWidth="1"/>
    <col min="9" max="9" width="11.5" style="5" customWidth="1"/>
    <col min="10" max="10" width="10" style="5" customWidth="1"/>
    <col min="11" max="11" width="11.5" style="5" customWidth="1"/>
    <col min="12" max="12" width="10" style="5" customWidth="1"/>
    <col min="13" max="13" width="11.5" style="5" customWidth="1"/>
    <col min="14" max="14" width="10" style="5" customWidth="1"/>
    <col min="15" max="15" width="9.125" style="15" hidden="1" customWidth="1"/>
    <col min="16" max="28" width="2.125" style="5" customWidth="1"/>
    <col min="29" max="29" width="9.125" style="17" customWidth="1"/>
    <col min="30" max="16384" width="9.125" style="5"/>
  </cols>
  <sheetData>
    <row r="1" spans="1:29" ht="24.95" customHeight="1" x14ac:dyDescent="0.3">
      <c r="A1" s="145" t="s">
        <v>643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4" t="s">
        <v>166</v>
      </c>
      <c r="AC1" s="18" t="s">
        <v>166</v>
      </c>
    </row>
    <row r="2" spans="1:29" ht="30.6" customHeight="1" x14ac:dyDescent="0.3">
      <c r="A2" s="1" t="s">
        <v>1</v>
      </c>
      <c r="O2" s="21" t="str">
        <f ca="1">MID(CELL("filename",$A$1),FIND("]",CELL("filename",$A$1))+1,LEN(CELL("filename",$A$1)))</f>
        <v>설계내역서</v>
      </c>
    </row>
    <row r="3" spans="1:29" ht="30.6" customHeight="1" x14ac:dyDescent="0.3">
      <c r="A3" s="157" t="s">
        <v>639</v>
      </c>
      <c r="B3" s="157" t="s">
        <v>3</v>
      </c>
      <c r="C3" s="157" t="s">
        <v>4</v>
      </c>
      <c r="D3" s="157" t="s">
        <v>630</v>
      </c>
      <c r="E3" s="157" t="s">
        <v>5</v>
      </c>
      <c r="F3" s="148" t="s">
        <v>6</v>
      </c>
      <c r="G3" s="156"/>
      <c r="H3" s="148" t="s">
        <v>7</v>
      </c>
      <c r="I3" s="156"/>
      <c r="J3" s="148" t="s">
        <v>8</v>
      </c>
      <c r="K3" s="156"/>
      <c r="L3" s="148" t="s">
        <v>9</v>
      </c>
      <c r="M3" s="156"/>
      <c r="N3" s="148" t="s">
        <v>10</v>
      </c>
    </row>
    <row r="4" spans="1:29" ht="30.6" customHeight="1" x14ac:dyDescent="0.3">
      <c r="A4" s="156"/>
      <c r="B4" s="156"/>
      <c r="C4" s="156"/>
      <c r="D4" s="156"/>
      <c r="E4" s="156"/>
      <c r="F4" s="8" t="s">
        <v>428</v>
      </c>
      <c r="G4" s="8" t="s">
        <v>622</v>
      </c>
      <c r="H4" s="8" t="s">
        <v>428</v>
      </c>
      <c r="I4" s="8" t="s">
        <v>622</v>
      </c>
      <c r="J4" s="8" t="s">
        <v>428</v>
      </c>
      <c r="K4" s="8" t="s">
        <v>622</v>
      </c>
      <c r="L4" s="8" t="s">
        <v>428</v>
      </c>
      <c r="M4" s="8" t="s">
        <v>622</v>
      </c>
      <c r="N4" s="149"/>
      <c r="AC4" s="19" t="str">
        <f>HYPERLINK("#'〓 목 차 〓'!B2","목차 →")</f>
        <v>목차 →</v>
      </c>
    </row>
    <row r="5" spans="1:29" ht="30.6" customHeight="1" x14ac:dyDescent="0.3">
      <c r="A5" s="41" t="s">
        <v>606</v>
      </c>
      <c r="B5" s="41" t="s">
        <v>601</v>
      </c>
      <c r="C5" s="43" t="s">
        <v>595</v>
      </c>
      <c r="D5" s="45"/>
      <c r="E5" s="24"/>
      <c r="F5" s="10">
        <v>0</v>
      </c>
      <c r="G5" s="54">
        <f>SUMIF(Q6:Q233,P5,G6:G233)</f>
        <v>710359136</v>
      </c>
      <c r="H5" s="12">
        <v>0</v>
      </c>
      <c r="I5" s="55">
        <f>SUMIF(Q6:Q233,P5,I6:I233)</f>
        <v>346800554</v>
      </c>
      <c r="J5" s="12">
        <v>0</v>
      </c>
      <c r="K5" s="61">
        <f>SUMIF(Q6:Q233,P5,K6:K233)</f>
        <v>194234417</v>
      </c>
      <c r="L5" s="23">
        <v>0</v>
      </c>
      <c r="M5" s="61">
        <f>SUMIF(Q6:Q233,P5,M6:M233)</f>
        <v>169324165</v>
      </c>
      <c r="N5" s="24"/>
      <c r="O5" s="36" t="str">
        <f>"_x0007_`COD|E5_x0005_`QTY1|1_x0005_`EXI|0_x0005_`ITT|0_x0005_`END|"&amp;ROW(M234)&amp;"_x0005_`"</f>
        <v>_x0007_`COD|E5_x0005_`QTY1|1_x0005_`EXI|0_x0005_`ITT|0_x0005_`END|234_x0005_`</v>
      </c>
      <c r="P5" s="6" t="s">
        <v>581</v>
      </c>
      <c r="Q5" s="6" t="s">
        <v>610</v>
      </c>
    </row>
    <row r="6" spans="1:29" ht="30.6" customHeight="1" x14ac:dyDescent="0.3">
      <c r="A6" s="41" t="s">
        <v>577</v>
      </c>
      <c r="B6" s="41" t="s">
        <v>568</v>
      </c>
      <c r="C6" s="43" t="s">
        <v>564</v>
      </c>
      <c r="D6" s="45"/>
      <c r="E6" s="24"/>
      <c r="F6" s="10">
        <v>0</v>
      </c>
      <c r="G6" s="54">
        <f>SUMIF(Q7:Q72,P6,G7:G72)</f>
        <v>229635562</v>
      </c>
      <c r="H6" s="12">
        <v>0</v>
      </c>
      <c r="I6" s="55">
        <f>SUMIF(Q7:Q72,P6,I7:I72)</f>
        <v>118305309</v>
      </c>
      <c r="J6" s="12">
        <v>0</v>
      </c>
      <c r="K6" s="61">
        <f>SUMIF(Q7:Q72,P6,K7:K72)</f>
        <v>59906736</v>
      </c>
      <c r="L6" s="23">
        <v>0</v>
      </c>
      <c r="M6" s="61">
        <f>SUMIF(Q7:Q72,P6,M7:M72)</f>
        <v>51423517</v>
      </c>
      <c r="N6" s="24"/>
      <c r="O6" s="36" t="str">
        <f>"_x0007_`COD|E4_x0005_`QTY1|1_x0005_`EXI|0_x0005_`ITT|0_x0005_`END|"&amp;ROW(M73)&amp;"_x0005_`"</f>
        <v>_x0007_`COD|E4_x0005_`QTY1|1_x0005_`EXI|0_x0005_`ITT|0_x0005_`END|73_x0005_`</v>
      </c>
      <c r="P6" s="6" t="s">
        <v>554</v>
      </c>
      <c r="Q6" s="6" t="s">
        <v>581</v>
      </c>
    </row>
    <row r="7" spans="1:29" ht="30.6" customHeight="1" x14ac:dyDescent="0.3">
      <c r="A7" s="41" t="s">
        <v>549</v>
      </c>
      <c r="B7" s="41" t="s">
        <v>544</v>
      </c>
      <c r="C7" s="43"/>
      <c r="D7" s="45"/>
      <c r="E7" s="24"/>
      <c r="F7" s="10">
        <v>0</v>
      </c>
      <c r="G7" s="54">
        <f>SUMIF(Q8:Q37,P7,G8:G37)</f>
        <v>136734069</v>
      </c>
      <c r="H7" s="12">
        <v>0</v>
      </c>
      <c r="I7" s="55">
        <f>SUMIF(Q8:Q37,P7,I8:I37)</f>
        <v>69316326</v>
      </c>
      <c r="J7" s="12">
        <v>0</v>
      </c>
      <c r="K7" s="61">
        <f>SUMIF(Q8:Q37,P7,K8:K37)</f>
        <v>37338842</v>
      </c>
      <c r="L7" s="23">
        <v>0</v>
      </c>
      <c r="M7" s="61">
        <f>SUMIF(Q8:Q37,P7,M8:M37)</f>
        <v>30078901</v>
      </c>
      <c r="N7" s="24"/>
      <c r="O7" s="36" t="str">
        <f>"_x0007_`COD|E3_x0005_`QTY1|1_x0005_`EXI|0_x0005_`ITT|0_x0005_`END|"&amp;ROW(M38)&amp;"_x0005_`"</f>
        <v>_x0007_`COD|E3_x0005_`QTY1|1_x0005_`EXI|0_x0005_`ITT|0_x0005_`END|38_x0005_`</v>
      </c>
      <c r="P7" s="6" t="s">
        <v>537</v>
      </c>
      <c r="Q7" s="6" t="s">
        <v>554</v>
      </c>
    </row>
    <row r="8" spans="1:29" ht="30.6" customHeight="1" x14ac:dyDescent="0.3">
      <c r="A8" s="41" t="s">
        <v>532</v>
      </c>
      <c r="B8" s="41" t="s">
        <v>527</v>
      </c>
      <c r="C8" s="43"/>
      <c r="D8" s="45"/>
      <c r="E8" s="24"/>
      <c r="F8" s="10">
        <v>0</v>
      </c>
      <c r="G8" s="54">
        <f>SUMIF(Q9:Q11,P8,G9:G11)</f>
        <v>3376748</v>
      </c>
      <c r="H8" s="12">
        <v>0</v>
      </c>
      <c r="I8" s="55">
        <f>SUMIF(Q9:Q11,P8,I9:I11)</f>
        <v>2411056</v>
      </c>
      <c r="J8" s="12">
        <v>0</v>
      </c>
      <c r="K8" s="61">
        <f>SUMIF(Q9:Q11,P8,K9:K11)</f>
        <v>563514</v>
      </c>
      <c r="L8" s="23">
        <v>0</v>
      </c>
      <c r="M8" s="61">
        <f>SUMIF(Q9:Q11,P8,M9:M11)</f>
        <v>402178</v>
      </c>
      <c r="N8" s="24"/>
      <c r="O8" s="36" t="str">
        <f>"_x0007_`COD|E2_x0005_`QTY1|1_x0005_`EXI|0_x0005_`ITT|0_x0005_`END|"&amp;ROW(M12)&amp;"_x0005_`"</f>
        <v>_x0007_`COD|E2_x0005_`QTY1|1_x0005_`EXI|0_x0005_`ITT|0_x0005_`END|12_x0005_`</v>
      </c>
      <c r="P8" s="6" t="s">
        <v>515</v>
      </c>
      <c r="Q8" s="6" t="s">
        <v>537</v>
      </c>
    </row>
    <row r="9" spans="1:29" ht="30.6" customHeight="1" x14ac:dyDescent="0.3">
      <c r="A9" s="9"/>
      <c r="B9" s="9" t="s">
        <v>34</v>
      </c>
      <c r="C9" s="44" t="s">
        <v>35</v>
      </c>
      <c r="D9" s="46">
        <v>14</v>
      </c>
      <c r="E9" s="24" t="s">
        <v>36</v>
      </c>
      <c r="F9" s="53">
        <f t="shared" ref="F9:G11" si="0">J9+H9+L9</f>
        <v>25821</v>
      </c>
      <c r="G9" s="55">
        <f t="shared" si="0"/>
        <v>361494</v>
      </c>
      <c r="H9" s="57">
        <f>일위대가목록표!F8</f>
        <v>21936</v>
      </c>
      <c r="I9" s="12">
        <f>ROUNDDOWN(H9*D9,0)</f>
        <v>307104</v>
      </c>
      <c r="J9" s="60">
        <f>일위대가목록표!G8</f>
        <v>3885</v>
      </c>
      <c r="K9" s="12">
        <f>ROUNDDOWN(J9*D9,0)</f>
        <v>54390</v>
      </c>
      <c r="L9" s="53">
        <f>일위대가목록표!H8</f>
        <v>0</v>
      </c>
      <c r="M9" s="23">
        <f>ROUNDDOWN(L9*D9,0)</f>
        <v>0</v>
      </c>
      <c r="N9" s="24" t="s">
        <v>495</v>
      </c>
      <c r="O9" s="16" t="s">
        <v>510</v>
      </c>
      <c r="P9" s="6" t="s">
        <v>519</v>
      </c>
      <c r="Q9" s="6" t="s">
        <v>515</v>
      </c>
      <c r="AC9" s="19" t="str">
        <f ca="1">HYPERLINK("#"&amp;일위대가목록표!J2&amp;"!A"&amp;ROW(일위대가목록표!A8),"대가    5 →")</f>
        <v>대가    5 →</v>
      </c>
    </row>
    <row r="10" spans="1:29" ht="30.6" customHeight="1" x14ac:dyDescent="0.3">
      <c r="A10" s="9"/>
      <c r="B10" s="9" t="s">
        <v>34</v>
      </c>
      <c r="C10" s="44" t="s">
        <v>51</v>
      </c>
      <c r="D10" s="46">
        <v>28</v>
      </c>
      <c r="E10" s="24" t="s">
        <v>36</v>
      </c>
      <c r="F10" s="53">
        <f t="shared" si="0"/>
        <v>39974</v>
      </c>
      <c r="G10" s="55">
        <f t="shared" si="0"/>
        <v>1119272</v>
      </c>
      <c r="H10" s="57">
        <f>일위대가목록표!F11</f>
        <v>33032</v>
      </c>
      <c r="I10" s="12">
        <f>ROUNDDOWN(H10*D10,0)</f>
        <v>924896</v>
      </c>
      <c r="J10" s="60">
        <f>일위대가목록표!G11</f>
        <v>6942</v>
      </c>
      <c r="K10" s="12">
        <f>ROUNDDOWN(J10*D10,0)</f>
        <v>194376</v>
      </c>
      <c r="L10" s="53">
        <f>일위대가목록표!H11</f>
        <v>0</v>
      </c>
      <c r="M10" s="23">
        <f>ROUNDDOWN(L10*D10,0)</f>
        <v>0</v>
      </c>
      <c r="N10" s="24" t="s">
        <v>481</v>
      </c>
      <c r="O10" s="16" t="s">
        <v>486</v>
      </c>
      <c r="P10" s="6" t="s">
        <v>491</v>
      </c>
      <c r="Q10" s="6" t="s">
        <v>515</v>
      </c>
      <c r="AC10" s="19" t="str">
        <f ca="1">HYPERLINK("#"&amp;일위대가목록표!J2&amp;"!A"&amp;ROW(일위대가목록표!A11),"대가    8 →")</f>
        <v>대가    8 →</v>
      </c>
    </row>
    <row r="11" spans="1:29" ht="30.6" customHeight="1" x14ac:dyDescent="0.3">
      <c r="A11" s="9"/>
      <c r="B11" s="9" t="s">
        <v>67</v>
      </c>
      <c r="C11" s="44" t="s">
        <v>68</v>
      </c>
      <c r="D11" s="46">
        <v>2498</v>
      </c>
      <c r="E11" s="24" t="s">
        <v>42</v>
      </c>
      <c r="F11" s="53">
        <f t="shared" si="0"/>
        <v>759</v>
      </c>
      <c r="G11" s="55">
        <f t="shared" si="0"/>
        <v>1895982</v>
      </c>
      <c r="H11" s="57">
        <f>일위대가목록표!F15</f>
        <v>472</v>
      </c>
      <c r="I11" s="12">
        <f>ROUNDDOWN(H11*D11,0)</f>
        <v>1179056</v>
      </c>
      <c r="J11" s="60">
        <f>일위대가목록표!G15</f>
        <v>126</v>
      </c>
      <c r="K11" s="12">
        <f>ROUNDDOWN(J11*D11,0)</f>
        <v>314748</v>
      </c>
      <c r="L11" s="53">
        <f>일위대가목록표!H15</f>
        <v>161</v>
      </c>
      <c r="M11" s="23">
        <f>ROUNDDOWN(L11*D11,0)</f>
        <v>402178</v>
      </c>
      <c r="N11" s="24" t="s">
        <v>792</v>
      </c>
      <c r="O11" s="16" t="s">
        <v>791</v>
      </c>
      <c r="P11" s="6" t="s">
        <v>475</v>
      </c>
      <c r="Q11" s="6" t="s">
        <v>515</v>
      </c>
      <c r="AC11" s="19" t="str">
        <f ca="1">HYPERLINK("#"&amp;일위대가목록표!J2&amp;"!A"&amp;ROW(일위대가목록표!A15),"대가   12 →")</f>
        <v>대가   12 →</v>
      </c>
    </row>
    <row r="12" spans="1:29" ht="30.6" customHeight="1" x14ac:dyDescent="0.3">
      <c r="A12" s="9"/>
      <c r="B12" s="9"/>
      <c r="C12" s="44"/>
      <c r="D12" s="45"/>
      <c r="E12" s="24"/>
      <c r="F12" s="10">
        <v>0</v>
      </c>
      <c r="G12" s="49"/>
      <c r="H12" s="58"/>
      <c r="I12" s="58"/>
      <c r="J12" s="58"/>
      <c r="K12" s="58"/>
      <c r="L12" s="58"/>
      <c r="M12" s="52"/>
      <c r="N12" s="24"/>
      <c r="O12" s="16" t="s">
        <v>793</v>
      </c>
      <c r="P12" s="6" t="s">
        <v>540</v>
      </c>
      <c r="Q12" s="6" t="s">
        <v>537</v>
      </c>
    </row>
    <row r="13" spans="1:29" ht="30.6" customHeight="1" x14ac:dyDescent="0.3">
      <c r="A13" s="41" t="s">
        <v>796</v>
      </c>
      <c r="B13" s="41" t="s">
        <v>797</v>
      </c>
      <c r="C13" s="43"/>
      <c r="D13" s="45"/>
      <c r="E13" s="24"/>
      <c r="F13" s="10">
        <v>0</v>
      </c>
      <c r="G13" s="54">
        <f>SUMIF(Q14:Q16,P13,G14:G16)</f>
        <v>77911018</v>
      </c>
      <c r="H13" s="12">
        <v>0</v>
      </c>
      <c r="I13" s="55">
        <f>SUMIF(Q14:Q16,P13,I14:I16)</f>
        <v>34884211</v>
      </c>
      <c r="J13" s="12">
        <v>0</v>
      </c>
      <c r="K13" s="61">
        <f>SUMIF(Q14:Q16,P13,K14:K16)</f>
        <v>27410895</v>
      </c>
      <c r="L13" s="23">
        <v>0</v>
      </c>
      <c r="M13" s="61">
        <f>SUMIF(Q14:Q16,P13,M14:M16)</f>
        <v>15615912</v>
      </c>
      <c r="N13" s="24"/>
      <c r="O13" s="36" t="str">
        <f>"_x0007_`COD|E2_x0005_`QTY1|1_x0005_`EXI|0_x0005_`ITT|0_x0005_`END|"&amp;ROW(M17)&amp;"_x0005_`"</f>
        <v>_x0007_`COD|E2_x0005_`QTY1|1_x0005_`EXI|0_x0005_`ITT|0_x0005_`END|17_x0005_`</v>
      </c>
      <c r="P13" s="6" t="s">
        <v>515</v>
      </c>
      <c r="Q13" s="6" t="s">
        <v>537</v>
      </c>
    </row>
    <row r="14" spans="1:29" ht="30.6" customHeight="1" x14ac:dyDescent="0.3">
      <c r="A14" s="9"/>
      <c r="B14" s="9" t="s">
        <v>214</v>
      </c>
      <c r="C14" s="44" t="s">
        <v>201</v>
      </c>
      <c r="D14" s="46">
        <v>5675</v>
      </c>
      <c r="E14" s="24" t="s">
        <v>14</v>
      </c>
      <c r="F14" s="53">
        <f t="shared" ref="F14:G16" si="1">J14+H14+L14</f>
        <v>1939</v>
      </c>
      <c r="G14" s="55">
        <f t="shared" si="1"/>
        <v>11003825</v>
      </c>
      <c r="H14" s="57">
        <f>단가산출근거목록표!F16</f>
        <v>1116</v>
      </c>
      <c r="I14" s="12">
        <f>ROUNDDOWN(H14*D14,0)</f>
        <v>6333300</v>
      </c>
      <c r="J14" s="60">
        <f>단가산출근거목록표!G16</f>
        <v>360</v>
      </c>
      <c r="K14" s="12">
        <f>ROUNDDOWN(J14*D14,0)</f>
        <v>2043000</v>
      </c>
      <c r="L14" s="53">
        <f>단가산출근거목록표!H16</f>
        <v>463</v>
      </c>
      <c r="M14" s="23">
        <f>ROUNDDOWN(L14*D14,0)</f>
        <v>2627525</v>
      </c>
      <c r="N14" s="24" t="s">
        <v>800</v>
      </c>
      <c r="O14" s="16" t="s">
        <v>799</v>
      </c>
      <c r="P14" s="6" t="s">
        <v>798</v>
      </c>
      <c r="Q14" s="6" t="s">
        <v>515</v>
      </c>
      <c r="AC14" s="19" t="str">
        <f ca="1">HYPERLINK("#"&amp;단가산출근거목록표!J2&amp;"!A"&amp;ROW(단가산출근거목록표!A16),"산근   13 →")</f>
        <v>산근   13 →</v>
      </c>
    </row>
    <row r="15" spans="1:29" ht="30.6" customHeight="1" x14ac:dyDescent="0.3">
      <c r="A15" s="9"/>
      <c r="B15" s="9" t="s">
        <v>223</v>
      </c>
      <c r="C15" s="44" t="s">
        <v>224</v>
      </c>
      <c r="D15" s="46">
        <v>972</v>
      </c>
      <c r="E15" s="24" t="s">
        <v>14</v>
      </c>
      <c r="F15" s="53">
        <f t="shared" si="1"/>
        <v>23875</v>
      </c>
      <c r="G15" s="55">
        <f t="shared" si="1"/>
        <v>23206500</v>
      </c>
      <c r="H15" s="57">
        <f>단가산출근거목록표!F19</f>
        <v>12397</v>
      </c>
      <c r="I15" s="12">
        <f>ROUNDDOWN(H15*D15,0)</f>
        <v>12049884</v>
      </c>
      <c r="J15" s="60">
        <f>단가산출근거목록표!G19</f>
        <v>4097</v>
      </c>
      <c r="K15" s="12">
        <f>ROUNDDOWN(J15*D15,0)</f>
        <v>3982284</v>
      </c>
      <c r="L15" s="53">
        <f>단가산출근거목록표!H19</f>
        <v>7381</v>
      </c>
      <c r="M15" s="23">
        <f>ROUNDDOWN(L15*D15,0)</f>
        <v>7174332</v>
      </c>
      <c r="N15" s="24" t="s">
        <v>803</v>
      </c>
      <c r="O15" s="16" t="s">
        <v>802</v>
      </c>
      <c r="P15" s="6" t="s">
        <v>801</v>
      </c>
      <c r="Q15" s="6" t="s">
        <v>515</v>
      </c>
      <c r="AC15" s="19" t="str">
        <f ca="1">HYPERLINK("#"&amp;단가산출근거목록표!J2&amp;"!A"&amp;ROW(단가산출근거목록표!A19),"산근   16 →")</f>
        <v>산근   16 →</v>
      </c>
    </row>
    <row r="16" spans="1:29" ht="30.6" customHeight="1" x14ac:dyDescent="0.3">
      <c r="A16" s="9"/>
      <c r="B16" s="9" t="s">
        <v>168</v>
      </c>
      <c r="C16" s="44" t="s">
        <v>169</v>
      </c>
      <c r="D16" s="46">
        <v>3889</v>
      </c>
      <c r="E16" s="24" t="s">
        <v>14</v>
      </c>
      <c r="F16" s="53">
        <f t="shared" si="1"/>
        <v>11237</v>
      </c>
      <c r="G16" s="55">
        <f t="shared" si="1"/>
        <v>43700693</v>
      </c>
      <c r="H16" s="57">
        <f>단가산출근거목록표!F4</f>
        <v>4243</v>
      </c>
      <c r="I16" s="12">
        <f>ROUNDDOWN(H16*D16,0)</f>
        <v>16501027</v>
      </c>
      <c r="J16" s="60">
        <f>단가산출근거목록표!G4</f>
        <v>5499</v>
      </c>
      <c r="K16" s="12">
        <f>ROUNDDOWN(J16*D16,0)</f>
        <v>21385611</v>
      </c>
      <c r="L16" s="53">
        <f>단가산출근거목록표!H4</f>
        <v>1495</v>
      </c>
      <c r="M16" s="23">
        <f>ROUNDDOWN(L16*D16,0)</f>
        <v>5814055</v>
      </c>
      <c r="N16" s="24" t="s">
        <v>806</v>
      </c>
      <c r="O16" s="16" t="s">
        <v>805</v>
      </c>
      <c r="P16" s="6" t="s">
        <v>804</v>
      </c>
      <c r="Q16" s="6" t="s">
        <v>515</v>
      </c>
      <c r="AC16" s="19" t="str">
        <f ca="1">HYPERLINK("#"&amp;단가산출근거목록표!J2&amp;"!A"&amp;ROW(단가산출근거목록표!A4),"산근    1 →")</f>
        <v>산근    1 →</v>
      </c>
    </row>
    <row r="17" spans="1:29" ht="30.6" customHeight="1" x14ac:dyDescent="0.3">
      <c r="A17" s="9"/>
      <c r="B17" s="9"/>
      <c r="C17" s="44"/>
      <c r="D17" s="45"/>
      <c r="E17" s="24"/>
      <c r="F17" s="10">
        <v>0</v>
      </c>
      <c r="G17" s="49"/>
      <c r="H17" s="58"/>
      <c r="I17" s="58"/>
      <c r="J17" s="58"/>
      <c r="K17" s="58"/>
      <c r="L17" s="58"/>
      <c r="M17" s="52"/>
      <c r="N17" s="24"/>
      <c r="O17" s="16" t="s">
        <v>793</v>
      </c>
      <c r="P17" s="6" t="s">
        <v>540</v>
      </c>
      <c r="Q17" s="6" t="s">
        <v>537</v>
      </c>
    </row>
    <row r="18" spans="1:29" ht="30.6" customHeight="1" x14ac:dyDescent="0.3">
      <c r="A18" s="41" t="s">
        <v>807</v>
      </c>
      <c r="B18" s="41" t="s">
        <v>808</v>
      </c>
      <c r="C18" s="43"/>
      <c r="D18" s="45"/>
      <c r="E18" s="24"/>
      <c r="F18" s="10">
        <v>0</v>
      </c>
      <c r="G18" s="54">
        <f>SUMIF(Q19:Q21,P18,G19:G21)</f>
        <v>4160207</v>
      </c>
      <c r="H18" s="12">
        <v>0</v>
      </c>
      <c r="I18" s="55">
        <f>SUMIF(Q19:Q21,P18,I19:I21)</f>
        <v>2335514</v>
      </c>
      <c r="J18" s="12">
        <v>0</v>
      </c>
      <c r="K18" s="61">
        <f>SUMIF(Q19:Q21,P18,K19:K21)</f>
        <v>758286</v>
      </c>
      <c r="L18" s="23">
        <v>0</v>
      </c>
      <c r="M18" s="61">
        <f>SUMIF(Q19:Q21,P18,M19:M21)</f>
        <v>1066407</v>
      </c>
      <c r="N18" s="24"/>
      <c r="O18" s="36" t="str">
        <f>"_x0007_`COD|E2_x0005_`QTY1|1_x0005_`EXI|0_x0005_`ITT|0_x0005_`END|"&amp;ROW(M22)&amp;"_x0005_`"</f>
        <v>_x0007_`COD|E2_x0005_`QTY1|1_x0005_`EXI|0_x0005_`ITT|0_x0005_`END|22_x0005_`</v>
      </c>
      <c r="P18" s="6" t="s">
        <v>515</v>
      </c>
      <c r="Q18" s="6" t="s">
        <v>537</v>
      </c>
    </row>
    <row r="19" spans="1:29" ht="30.6" customHeight="1" x14ac:dyDescent="0.3">
      <c r="A19" s="9"/>
      <c r="B19" s="9" t="s">
        <v>217</v>
      </c>
      <c r="C19" s="44" t="s">
        <v>201</v>
      </c>
      <c r="D19" s="46">
        <v>1248</v>
      </c>
      <c r="E19" s="24" t="s">
        <v>14</v>
      </c>
      <c r="F19" s="53">
        <f t="shared" ref="F19:G21" si="2">J19+H19+L19</f>
        <v>1641</v>
      </c>
      <c r="G19" s="55">
        <f t="shared" si="2"/>
        <v>2047968</v>
      </c>
      <c r="H19" s="57">
        <f>단가산출근거목록표!F17</f>
        <v>944</v>
      </c>
      <c r="I19" s="12">
        <f>ROUNDDOWN(H19*D19,0)</f>
        <v>1178112</v>
      </c>
      <c r="J19" s="60">
        <f>단가산출근거목록표!G17</f>
        <v>305</v>
      </c>
      <c r="K19" s="12">
        <f>ROUNDDOWN(J19*D19,0)</f>
        <v>380640</v>
      </c>
      <c r="L19" s="53">
        <f>단가산출근거목록표!H17</f>
        <v>392</v>
      </c>
      <c r="M19" s="23">
        <f>ROUNDDOWN(L19*D19,0)</f>
        <v>489216</v>
      </c>
      <c r="N19" s="24" t="s">
        <v>811</v>
      </c>
      <c r="O19" s="16" t="s">
        <v>810</v>
      </c>
      <c r="P19" s="6" t="s">
        <v>809</v>
      </c>
      <c r="Q19" s="6" t="s">
        <v>515</v>
      </c>
      <c r="AC19" s="19" t="str">
        <f ca="1">HYPERLINK("#"&amp;단가산출근거목록표!J2&amp;"!A"&amp;ROW(단가산출근거목록표!A17),"산근   14 →")</f>
        <v>산근   14 →</v>
      </c>
    </row>
    <row r="20" spans="1:29" ht="30.6" customHeight="1" x14ac:dyDescent="0.3">
      <c r="A20" s="9"/>
      <c r="B20" s="9" t="s">
        <v>176</v>
      </c>
      <c r="C20" s="44" t="s">
        <v>177</v>
      </c>
      <c r="D20" s="46">
        <v>30</v>
      </c>
      <c r="E20" s="24" t="s">
        <v>14</v>
      </c>
      <c r="F20" s="53">
        <f t="shared" si="2"/>
        <v>35404</v>
      </c>
      <c r="G20" s="55">
        <f t="shared" si="2"/>
        <v>1062120</v>
      </c>
      <c r="H20" s="57">
        <f>단가산출근거목록표!F6</f>
        <v>18430</v>
      </c>
      <c r="I20" s="12">
        <f>ROUNDDOWN(H20*D20,0)</f>
        <v>552900</v>
      </c>
      <c r="J20" s="60">
        <f>단가산출근거목록표!G6</f>
        <v>6085</v>
      </c>
      <c r="K20" s="12">
        <f>ROUNDDOWN(J20*D20,0)</f>
        <v>182550</v>
      </c>
      <c r="L20" s="53">
        <f>단가산출근거목록표!H6</f>
        <v>10889</v>
      </c>
      <c r="M20" s="23">
        <f>ROUNDDOWN(L20*D20,0)</f>
        <v>326670</v>
      </c>
      <c r="N20" s="24" t="s">
        <v>814</v>
      </c>
      <c r="O20" s="16" t="s">
        <v>813</v>
      </c>
      <c r="P20" s="6" t="s">
        <v>812</v>
      </c>
      <c r="Q20" s="6" t="s">
        <v>515</v>
      </c>
      <c r="AC20" s="19" t="str">
        <f ca="1">HYPERLINK("#"&amp;단가산출근거목록표!J2&amp;"!A"&amp;ROW(단가산출근거목록표!A6),"산근    3 →")</f>
        <v>산근    3 →</v>
      </c>
    </row>
    <row r="21" spans="1:29" ht="30.6" customHeight="1" x14ac:dyDescent="0.3">
      <c r="A21" s="9"/>
      <c r="B21" s="9" t="s">
        <v>220</v>
      </c>
      <c r="C21" s="44" t="s">
        <v>201</v>
      </c>
      <c r="D21" s="46">
        <v>739</v>
      </c>
      <c r="E21" s="24" t="s">
        <v>14</v>
      </c>
      <c r="F21" s="53">
        <f t="shared" si="2"/>
        <v>1421</v>
      </c>
      <c r="G21" s="55">
        <f t="shared" si="2"/>
        <v>1050119</v>
      </c>
      <c r="H21" s="57">
        <f>단가산출근거목록표!F18</f>
        <v>818</v>
      </c>
      <c r="I21" s="12">
        <f>ROUNDDOWN(H21*D21,0)</f>
        <v>604502</v>
      </c>
      <c r="J21" s="60">
        <f>단가산출근거목록표!G18</f>
        <v>264</v>
      </c>
      <c r="K21" s="12">
        <f>ROUNDDOWN(J21*D21,0)</f>
        <v>195096</v>
      </c>
      <c r="L21" s="53">
        <f>단가산출근거목록표!H18</f>
        <v>339</v>
      </c>
      <c r="M21" s="23">
        <f>ROUNDDOWN(L21*D21,0)</f>
        <v>250521</v>
      </c>
      <c r="N21" s="24" t="s">
        <v>817</v>
      </c>
      <c r="O21" s="16" t="s">
        <v>816</v>
      </c>
      <c r="P21" s="6" t="s">
        <v>815</v>
      </c>
      <c r="Q21" s="6" t="s">
        <v>515</v>
      </c>
      <c r="AC21" s="19" t="str">
        <f ca="1">HYPERLINK("#"&amp;단가산출근거목록표!J2&amp;"!A"&amp;ROW(단가산출근거목록표!A18),"산근   15 →")</f>
        <v>산근   15 →</v>
      </c>
    </row>
    <row r="22" spans="1:29" ht="30.6" customHeight="1" x14ac:dyDescent="0.3">
      <c r="A22" s="9"/>
      <c r="B22" s="9"/>
      <c r="C22" s="44"/>
      <c r="D22" s="45"/>
      <c r="E22" s="24"/>
      <c r="F22" s="10">
        <v>0</v>
      </c>
      <c r="G22" s="49"/>
      <c r="H22" s="58"/>
      <c r="I22" s="58"/>
      <c r="J22" s="58"/>
      <c r="K22" s="58"/>
      <c r="L22" s="58"/>
      <c r="M22" s="52"/>
      <c r="N22" s="24"/>
      <c r="O22" s="16" t="s">
        <v>793</v>
      </c>
      <c r="P22" s="6" t="s">
        <v>540</v>
      </c>
      <c r="Q22" s="6" t="s">
        <v>537</v>
      </c>
    </row>
    <row r="23" spans="1:29" ht="30.6" customHeight="1" x14ac:dyDescent="0.3">
      <c r="A23" s="41" t="s">
        <v>818</v>
      </c>
      <c r="B23" s="41" t="s">
        <v>819</v>
      </c>
      <c r="C23" s="43"/>
      <c r="D23" s="45"/>
      <c r="E23" s="24"/>
      <c r="F23" s="10">
        <v>0</v>
      </c>
      <c r="G23" s="54">
        <f>SUMIF(Q24:Q25,P23,G24:G25)</f>
        <v>5670854</v>
      </c>
      <c r="H23" s="12">
        <v>0</v>
      </c>
      <c r="I23" s="55">
        <f>SUMIF(Q24:Q25,P23,I24:I25)</f>
        <v>2961011</v>
      </c>
      <c r="J23" s="12">
        <v>0</v>
      </c>
      <c r="K23" s="61">
        <f>SUMIF(Q24:Q25,P23,K24:K25)</f>
        <v>974960</v>
      </c>
      <c r="L23" s="23">
        <v>0</v>
      </c>
      <c r="M23" s="61">
        <f>SUMIF(Q24:Q25,P23,M24:M25)</f>
        <v>1734883</v>
      </c>
      <c r="N23" s="24"/>
      <c r="O23" s="36" t="str">
        <f>"_x0007_`COD|E2_x0005_`QTY1|1_x0005_`EXI|0_x0005_`ITT|0_x0005_`END|"&amp;ROW(M26)&amp;"_x0005_`"</f>
        <v>_x0007_`COD|E2_x0005_`QTY1|1_x0005_`EXI|0_x0005_`ITT|0_x0005_`END|26_x0005_`</v>
      </c>
      <c r="P23" s="6" t="s">
        <v>515</v>
      </c>
      <c r="Q23" s="6" t="s">
        <v>537</v>
      </c>
    </row>
    <row r="24" spans="1:29" ht="30.6" customHeight="1" x14ac:dyDescent="0.3">
      <c r="A24" s="9"/>
      <c r="B24" s="9" t="s">
        <v>172</v>
      </c>
      <c r="C24" s="44" t="s">
        <v>173</v>
      </c>
      <c r="D24" s="46">
        <v>33</v>
      </c>
      <c r="E24" s="24" t="s">
        <v>14</v>
      </c>
      <c r="F24" s="53">
        <f>J24+H24+L24</f>
        <v>2334</v>
      </c>
      <c r="G24" s="55">
        <f>K24+I24+M24</f>
        <v>77022</v>
      </c>
      <c r="H24" s="57">
        <f>단가산출근거목록표!F5</f>
        <v>1487</v>
      </c>
      <c r="I24" s="12">
        <f>ROUNDDOWN(H24*D24,0)</f>
        <v>49071</v>
      </c>
      <c r="J24" s="60">
        <f>단가산출근거목록표!G5</f>
        <v>410</v>
      </c>
      <c r="K24" s="12">
        <f>ROUNDDOWN(J24*D24,0)</f>
        <v>13530</v>
      </c>
      <c r="L24" s="53">
        <f>단가산출근거목록표!H5</f>
        <v>437</v>
      </c>
      <c r="M24" s="23">
        <f>ROUNDDOWN(L24*D24,0)</f>
        <v>14421</v>
      </c>
      <c r="N24" s="24" t="s">
        <v>822</v>
      </c>
      <c r="O24" s="16" t="s">
        <v>821</v>
      </c>
      <c r="P24" s="6" t="s">
        <v>820</v>
      </c>
      <c r="Q24" s="6" t="s">
        <v>515</v>
      </c>
      <c r="AC24" s="19" t="str">
        <f ca="1">HYPERLINK("#"&amp;단가산출근거목록표!J2&amp;"!A"&amp;ROW(단가산출근거목록표!A5),"산근    2 →")</f>
        <v>산근    2 →</v>
      </c>
    </row>
    <row r="25" spans="1:29" ht="30.6" customHeight="1" x14ac:dyDescent="0.3">
      <c r="A25" s="9"/>
      <c r="B25" s="9" t="s">
        <v>211</v>
      </c>
      <c r="C25" s="44" t="s">
        <v>177</v>
      </c>
      <c r="D25" s="46">
        <v>158</v>
      </c>
      <c r="E25" s="24" t="s">
        <v>14</v>
      </c>
      <c r="F25" s="53">
        <f>J25+H25+L25</f>
        <v>35404</v>
      </c>
      <c r="G25" s="55">
        <f>K25+I25+M25</f>
        <v>5593832</v>
      </c>
      <c r="H25" s="57">
        <f>단가산출근거목록표!F15</f>
        <v>18430</v>
      </c>
      <c r="I25" s="12">
        <f>ROUNDDOWN(H25*D25,0)</f>
        <v>2911940</v>
      </c>
      <c r="J25" s="60">
        <f>단가산출근거목록표!G15</f>
        <v>6085</v>
      </c>
      <c r="K25" s="12">
        <f>ROUNDDOWN(J25*D25,0)</f>
        <v>961430</v>
      </c>
      <c r="L25" s="53">
        <f>단가산출근거목록표!H15</f>
        <v>10889</v>
      </c>
      <c r="M25" s="23">
        <f>ROUNDDOWN(L25*D25,0)</f>
        <v>1720462</v>
      </c>
      <c r="N25" s="24" t="s">
        <v>825</v>
      </c>
      <c r="O25" s="16" t="s">
        <v>824</v>
      </c>
      <c r="P25" s="6" t="s">
        <v>823</v>
      </c>
      <c r="Q25" s="6" t="s">
        <v>515</v>
      </c>
      <c r="AC25" s="19" t="str">
        <f ca="1">HYPERLINK("#"&amp;단가산출근거목록표!J2&amp;"!A"&amp;ROW(단가산출근거목록표!A15),"산근   12 →")</f>
        <v>산근   12 →</v>
      </c>
    </row>
    <row r="26" spans="1:29" ht="30.6" customHeight="1" x14ac:dyDescent="0.3">
      <c r="A26" s="9"/>
      <c r="B26" s="9"/>
      <c r="C26" s="44"/>
      <c r="D26" s="45"/>
      <c r="E26" s="24"/>
      <c r="F26" s="10">
        <v>0</v>
      </c>
      <c r="G26" s="49"/>
      <c r="H26" s="58"/>
      <c r="I26" s="58"/>
      <c r="J26" s="58"/>
      <c r="K26" s="58"/>
      <c r="L26" s="58"/>
      <c r="M26" s="52"/>
      <c r="N26" s="24"/>
      <c r="O26" s="16" t="s">
        <v>793</v>
      </c>
      <c r="P26" s="6" t="s">
        <v>540</v>
      </c>
      <c r="Q26" s="6" t="s">
        <v>537</v>
      </c>
    </row>
    <row r="27" spans="1:29" ht="30.6" customHeight="1" x14ac:dyDescent="0.3">
      <c r="A27" s="41" t="s">
        <v>826</v>
      </c>
      <c r="B27" s="41" t="s">
        <v>827</v>
      </c>
      <c r="C27" s="43"/>
      <c r="D27" s="45"/>
      <c r="E27" s="24"/>
      <c r="F27" s="10">
        <v>0</v>
      </c>
      <c r="G27" s="54">
        <f>SUMIF(Q28:Q32,P27,G28:G32)</f>
        <v>34031967</v>
      </c>
      <c r="H27" s="12">
        <v>0</v>
      </c>
      <c r="I27" s="55">
        <f>SUMIF(Q28:Q32,P27,I28:I32)</f>
        <v>20191105</v>
      </c>
      <c r="J27" s="12">
        <v>0</v>
      </c>
      <c r="K27" s="61">
        <f>SUMIF(Q28:Q32,P27,K28:K32)</f>
        <v>5526224</v>
      </c>
      <c r="L27" s="23">
        <v>0</v>
      </c>
      <c r="M27" s="61">
        <f>SUMIF(Q28:Q32,P27,M28:M32)</f>
        <v>8314638</v>
      </c>
      <c r="N27" s="24"/>
      <c r="O27" s="36" t="str">
        <f>"_x0007_`COD|E2_x0005_`QTY1|1_x0005_`EXI|0_x0005_`ITT|0_x0005_`END|"&amp;ROW(M33)&amp;"_x0005_`"</f>
        <v>_x0007_`COD|E2_x0005_`QTY1|1_x0005_`EXI|0_x0005_`ITT|0_x0005_`END|33_x0005_`</v>
      </c>
      <c r="P27" s="6" t="s">
        <v>515</v>
      </c>
      <c r="Q27" s="6" t="s">
        <v>537</v>
      </c>
    </row>
    <row r="28" spans="1:29" ht="30.6" customHeight="1" x14ac:dyDescent="0.3">
      <c r="A28" s="9"/>
      <c r="B28" s="9" t="s">
        <v>196</v>
      </c>
      <c r="C28" s="44" t="s">
        <v>197</v>
      </c>
      <c r="D28" s="46">
        <v>4133</v>
      </c>
      <c r="E28" s="24" t="s">
        <v>14</v>
      </c>
      <c r="F28" s="53">
        <f t="shared" ref="F28:G32" si="3">J28+H28+L28</f>
        <v>0</v>
      </c>
      <c r="G28" s="55">
        <f t="shared" si="3"/>
        <v>0</v>
      </c>
      <c r="H28" s="57">
        <f>단가산출근거목록표!F11</f>
        <v>0</v>
      </c>
      <c r="I28" s="12">
        <f>ROUNDDOWN(H28*D28,0)</f>
        <v>0</v>
      </c>
      <c r="J28" s="60">
        <f>단가산출근거목록표!G11</f>
        <v>0</v>
      </c>
      <c r="K28" s="12">
        <f>ROUNDDOWN(J28*D28,0)</f>
        <v>0</v>
      </c>
      <c r="L28" s="53">
        <f>단가산출근거목록표!H11</f>
        <v>0</v>
      </c>
      <c r="M28" s="23">
        <f>ROUNDDOWN(L28*D28,0)</f>
        <v>0</v>
      </c>
      <c r="N28" s="24" t="s">
        <v>830</v>
      </c>
      <c r="O28" s="16" t="s">
        <v>829</v>
      </c>
      <c r="P28" s="6" t="s">
        <v>828</v>
      </c>
      <c r="Q28" s="6" t="s">
        <v>515</v>
      </c>
      <c r="AC28" s="19" t="str">
        <f ca="1">HYPERLINK("#"&amp;단가산출근거목록표!J2&amp;"!A"&amp;ROW(단가산출근거목록표!A11),"산근    8 →")</f>
        <v>산근    8 →</v>
      </c>
    </row>
    <row r="29" spans="1:29" ht="30.6" customHeight="1" x14ac:dyDescent="0.3">
      <c r="A29" s="9"/>
      <c r="B29" s="9" t="s">
        <v>256</v>
      </c>
      <c r="C29" s="44" t="s">
        <v>301</v>
      </c>
      <c r="D29" s="46">
        <v>1170</v>
      </c>
      <c r="E29" s="24" t="s">
        <v>14</v>
      </c>
      <c r="F29" s="53">
        <f t="shared" si="3"/>
        <v>2248</v>
      </c>
      <c r="G29" s="55">
        <f t="shared" si="3"/>
        <v>2630160</v>
      </c>
      <c r="H29" s="57">
        <f>단가산출근거목록표!F40</f>
        <v>994</v>
      </c>
      <c r="I29" s="12">
        <f>ROUNDDOWN(H29*D29,0)</f>
        <v>1162980</v>
      </c>
      <c r="J29" s="60">
        <f>단가산출근거목록표!G40</f>
        <v>658</v>
      </c>
      <c r="K29" s="12">
        <f>ROUNDDOWN(J29*D29,0)</f>
        <v>769860</v>
      </c>
      <c r="L29" s="53">
        <f>단가산출근거목록표!H40</f>
        <v>596</v>
      </c>
      <c r="M29" s="23">
        <f>ROUNDDOWN(L29*D29,0)</f>
        <v>697320</v>
      </c>
      <c r="N29" s="24" t="s">
        <v>833</v>
      </c>
      <c r="O29" s="16" t="s">
        <v>832</v>
      </c>
      <c r="P29" s="6" t="s">
        <v>831</v>
      </c>
      <c r="Q29" s="6" t="s">
        <v>515</v>
      </c>
      <c r="AC29" s="19" t="str">
        <f ca="1">HYPERLINK("#"&amp;단가산출근거목록표!J2&amp;"!A"&amp;ROW(단가산출근거목록표!A40),"산근   37 →")</f>
        <v>산근   37 →</v>
      </c>
    </row>
    <row r="30" spans="1:29" ht="30.6" customHeight="1" x14ac:dyDescent="0.3">
      <c r="A30" s="9"/>
      <c r="B30" s="9" t="s">
        <v>260</v>
      </c>
      <c r="C30" s="44" t="s">
        <v>305</v>
      </c>
      <c r="D30" s="46">
        <v>1554</v>
      </c>
      <c r="E30" s="24" t="s">
        <v>14</v>
      </c>
      <c r="F30" s="53">
        <f t="shared" si="3"/>
        <v>2248</v>
      </c>
      <c r="G30" s="55">
        <f t="shared" si="3"/>
        <v>3493392</v>
      </c>
      <c r="H30" s="57">
        <f>단가산출근거목록표!F41</f>
        <v>957</v>
      </c>
      <c r="I30" s="12">
        <f>ROUNDDOWN(H30*D30,0)</f>
        <v>1487178</v>
      </c>
      <c r="J30" s="60">
        <f>단가산출근거목록표!G41</f>
        <v>633</v>
      </c>
      <c r="K30" s="12">
        <f>ROUNDDOWN(J30*D30,0)</f>
        <v>983682</v>
      </c>
      <c r="L30" s="53">
        <f>단가산출근거목록표!H41</f>
        <v>658</v>
      </c>
      <c r="M30" s="23">
        <f>ROUNDDOWN(L30*D30,0)</f>
        <v>1022532</v>
      </c>
      <c r="N30" s="24" t="s">
        <v>836</v>
      </c>
      <c r="O30" s="16" t="s">
        <v>835</v>
      </c>
      <c r="P30" s="6" t="s">
        <v>834</v>
      </c>
      <c r="Q30" s="6" t="s">
        <v>515</v>
      </c>
      <c r="AC30" s="19" t="str">
        <f ca="1">HYPERLINK("#"&amp;단가산출근거목록표!J2&amp;"!A"&amp;ROW(단가산출근거목록표!A41),"산근   38 →")</f>
        <v>산근   38 →</v>
      </c>
    </row>
    <row r="31" spans="1:29" ht="30.6" customHeight="1" x14ac:dyDescent="0.3">
      <c r="A31" s="9"/>
      <c r="B31" s="9" t="s">
        <v>264</v>
      </c>
      <c r="C31" s="44" t="s">
        <v>309</v>
      </c>
      <c r="D31" s="46">
        <v>1667</v>
      </c>
      <c r="E31" s="24" t="s">
        <v>14</v>
      </c>
      <c r="F31" s="53">
        <f t="shared" si="3"/>
        <v>7745</v>
      </c>
      <c r="G31" s="55">
        <f t="shared" si="3"/>
        <v>12910915</v>
      </c>
      <c r="H31" s="57">
        <f>단가산출근거목록표!F42</f>
        <v>4853</v>
      </c>
      <c r="I31" s="12">
        <f>ROUNDDOWN(H31*D31,0)</f>
        <v>8089951</v>
      </c>
      <c r="J31" s="60">
        <f>단가산출근거목록표!G42</f>
        <v>1054</v>
      </c>
      <c r="K31" s="12">
        <f>ROUNDDOWN(J31*D31,0)</f>
        <v>1757018</v>
      </c>
      <c r="L31" s="53">
        <f>단가산출근거목록표!H42</f>
        <v>1838</v>
      </c>
      <c r="M31" s="23">
        <f>ROUNDDOWN(L31*D31,0)</f>
        <v>3063946</v>
      </c>
      <c r="N31" s="24" t="s">
        <v>839</v>
      </c>
      <c r="O31" s="16" t="s">
        <v>838</v>
      </c>
      <c r="P31" s="6" t="s">
        <v>837</v>
      </c>
      <c r="Q31" s="6" t="s">
        <v>515</v>
      </c>
      <c r="AC31" s="19" t="str">
        <f ca="1">HYPERLINK("#"&amp;단가산출근거목록표!J2&amp;"!A"&amp;ROW(단가산출근거목록표!A42),"산근   39 →")</f>
        <v>산근   39 →</v>
      </c>
    </row>
    <row r="32" spans="1:29" ht="30.6" customHeight="1" x14ac:dyDescent="0.3">
      <c r="A32" s="9"/>
      <c r="B32" s="9" t="s">
        <v>268</v>
      </c>
      <c r="C32" s="44" t="s">
        <v>313</v>
      </c>
      <c r="D32" s="46">
        <v>1714</v>
      </c>
      <c r="E32" s="24" t="s">
        <v>14</v>
      </c>
      <c r="F32" s="53">
        <f t="shared" si="3"/>
        <v>8750</v>
      </c>
      <c r="G32" s="55">
        <f t="shared" si="3"/>
        <v>14997500</v>
      </c>
      <c r="H32" s="57">
        <f>단가산출근거목록표!F43</f>
        <v>5514</v>
      </c>
      <c r="I32" s="12">
        <f>ROUNDDOWN(H32*D32,0)</f>
        <v>9450996</v>
      </c>
      <c r="J32" s="60">
        <f>단가산출근거목록표!G43</f>
        <v>1176</v>
      </c>
      <c r="K32" s="12">
        <f>ROUNDDOWN(J32*D32,0)</f>
        <v>2015664</v>
      </c>
      <c r="L32" s="53">
        <f>단가산출근거목록표!H43</f>
        <v>2060</v>
      </c>
      <c r="M32" s="23">
        <f>ROUNDDOWN(L32*D32,0)</f>
        <v>3530840</v>
      </c>
      <c r="N32" s="24" t="s">
        <v>842</v>
      </c>
      <c r="O32" s="16" t="s">
        <v>841</v>
      </c>
      <c r="P32" s="6" t="s">
        <v>840</v>
      </c>
      <c r="Q32" s="6" t="s">
        <v>515</v>
      </c>
      <c r="AC32" s="19" t="str">
        <f ca="1">HYPERLINK("#"&amp;단가산출근거목록표!J2&amp;"!A"&amp;ROW(단가산출근거목록표!A43),"산근   40 →")</f>
        <v>산근   40 →</v>
      </c>
    </row>
    <row r="33" spans="1:29" ht="30.6" customHeight="1" x14ac:dyDescent="0.3">
      <c r="A33" s="9"/>
      <c r="B33" s="9"/>
      <c r="C33" s="44"/>
      <c r="D33" s="45"/>
      <c r="E33" s="24"/>
      <c r="F33" s="10">
        <v>0</v>
      </c>
      <c r="G33" s="49"/>
      <c r="H33" s="58"/>
      <c r="I33" s="58"/>
      <c r="J33" s="58"/>
      <c r="K33" s="58"/>
      <c r="L33" s="58"/>
      <c r="M33" s="52"/>
      <c r="N33" s="24"/>
      <c r="O33" s="16" t="s">
        <v>793</v>
      </c>
      <c r="P33" s="6" t="s">
        <v>540</v>
      </c>
      <c r="Q33" s="6" t="s">
        <v>537</v>
      </c>
    </row>
    <row r="34" spans="1:29" ht="30.6" customHeight="1" x14ac:dyDescent="0.3">
      <c r="A34" s="41" t="s">
        <v>843</v>
      </c>
      <c r="B34" s="41" t="s">
        <v>844</v>
      </c>
      <c r="C34" s="43"/>
      <c r="D34" s="45"/>
      <c r="E34" s="24"/>
      <c r="F34" s="10">
        <v>0</v>
      </c>
      <c r="G34" s="54">
        <f>SUMIF(Q35:Q37,P34,G35:G37)</f>
        <v>11583275</v>
      </c>
      <c r="H34" s="12">
        <v>0</v>
      </c>
      <c r="I34" s="55">
        <f>SUMIF(Q35:Q37,P34,I35:I37)</f>
        <v>6533429</v>
      </c>
      <c r="J34" s="12">
        <v>0</v>
      </c>
      <c r="K34" s="61">
        <f>SUMIF(Q35:Q37,P34,K35:K37)</f>
        <v>2104963</v>
      </c>
      <c r="L34" s="23">
        <v>0</v>
      </c>
      <c r="M34" s="61">
        <f>SUMIF(Q35:Q37,P34,M35:M37)</f>
        <v>2944883</v>
      </c>
      <c r="N34" s="24"/>
      <c r="O34" s="36" t="str">
        <f>"_x0007_`COD|E2_x0005_`QTY1|1_x0005_`EXI|0_x0005_`ITT|0_x0005_`END|"&amp;ROW(M38)&amp;"_x0005_`"</f>
        <v>_x0007_`COD|E2_x0005_`QTY1|1_x0005_`EXI|0_x0005_`ITT|0_x0005_`END|38_x0005_`</v>
      </c>
      <c r="P34" s="6" t="s">
        <v>515</v>
      </c>
      <c r="Q34" s="6" t="s">
        <v>537</v>
      </c>
    </row>
    <row r="35" spans="1:29" ht="30.6" customHeight="1" x14ac:dyDescent="0.3">
      <c r="A35" s="9"/>
      <c r="B35" s="9" t="s">
        <v>238</v>
      </c>
      <c r="C35" s="44"/>
      <c r="D35" s="46">
        <v>1281</v>
      </c>
      <c r="E35" s="24" t="s">
        <v>14</v>
      </c>
      <c r="F35" s="53">
        <f t="shared" ref="F35:G37" si="4">J35+H35+L35</f>
        <v>2275</v>
      </c>
      <c r="G35" s="55">
        <f t="shared" si="4"/>
        <v>2914275</v>
      </c>
      <c r="H35" s="57">
        <f>단가산출근거목록표!F39</f>
        <v>1309</v>
      </c>
      <c r="I35" s="12">
        <f>ROUNDDOWN(H35*D35,0)</f>
        <v>1676829</v>
      </c>
      <c r="J35" s="60">
        <f>단가산출근거목록표!G39</f>
        <v>423</v>
      </c>
      <c r="K35" s="12">
        <f>ROUNDDOWN(J35*D35,0)</f>
        <v>541863</v>
      </c>
      <c r="L35" s="53">
        <f>단가산출근거목록표!H39</f>
        <v>543</v>
      </c>
      <c r="M35" s="23">
        <f>ROUNDDOWN(L35*D35,0)</f>
        <v>695583</v>
      </c>
      <c r="N35" s="24" t="s">
        <v>847</v>
      </c>
      <c r="O35" s="16" t="s">
        <v>846</v>
      </c>
      <c r="P35" s="6" t="s">
        <v>845</v>
      </c>
      <c r="Q35" s="6" t="s">
        <v>515</v>
      </c>
      <c r="AC35" s="19" t="str">
        <f ca="1">HYPERLINK("#"&amp;단가산출근거목록표!J2&amp;"!A"&amp;ROW(단가산출근거목록표!A39),"산근   36 →")</f>
        <v>산근   36 →</v>
      </c>
    </row>
    <row r="36" spans="1:29" ht="30.6" customHeight="1" x14ac:dyDescent="0.3">
      <c r="A36" s="9"/>
      <c r="B36" s="9" t="s">
        <v>200</v>
      </c>
      <c r="C36" s="44" t="s">
        <v>201</v>
      </c>
      <c r="D36" s="46">
        <v>5100</v>
      </c>
      <c r="E36" s="24" t="s">
        <v>42</v>
      </c>
      <c r="F36" s="53">
        <f t="shared" si="4"/>
        <v>1290</v>
      </c>
      <c r="G36" s="55">
        <f t="shared" si="4"/>
        <v>6579000</v>
      </c>
      <c r="H36" s="57">
        <f>단가산출근거목록표!F12</f>
        <v>716</v>
      </c>
      <c r="I36" s="12">
        <f>ROUNDDOWN(H36*D36,0)</f>
        <v>3651600</v>
      </c>
      <c r="J36" s="60">
        <f>단가산출근거목록표!G12</f>
        <v>231</v>
      </c>
      <c r="K36" s="12">
        <f>ROUNDDOWN(J36*D36,0)</f>
        <v>1178100</v>
      </c>
      <c r="L36" s="53">
        <f>단가산출근거목록표!H12</f>
        <v>343</v>
      </c>
      <c r="M36" s="23">
        <f>ROUNDDOWN(L36*D36,0)</f>
        <v>1749300</v>
      </c>
      <c r="N36" s="24" t="s">
        <v>850</v>
      </c>
      <c r="O36" s="16" t="s">
        <v>849</v>
      </c>
      <c r="P36" s="6" t="s">
        <v>848</v>
      </c>
      <c r="Q36" s="6" t="s">
        <v>515</v>
      </c>
      <c r="AC36" s="19" t="str">
        <f ca="1">HYPERLINK("#"&amp;단가산출근거목록표!J2&amp;"!A"&amp;ROW(단가산출근거목록표!A12),"산근    9 →")</f>
        <v>산근    9 →</v>
      </c>
    </row>
    <row r="37" spans="1:29" ht="30.6" customHeight="1" x14ac:dyDescent="0.3">
      <c r="A37" s="9"/>
      <c r="B37" s="9" t="s">
        <v>184</v>
      </c>
      <c r="C37" s="44" t="s">
        <v>185</v>
      </c>
      <c r="D37" s="46">
        <v>5000</v>
      </c>
      <c r="E37" s="24" t="s">
        <v>42</v>
      </c>
      <c r="F37" s="53">
        <f t="shared" si="4"/>
        <v>418</v>
      </c>
      <c r="G37" s="55">
        <f t="shared" si="4"/>
        <v>2090000</v>
      </c>
      <c r="H37" s="57">
        <f>단가산출근거목록표!F8</f>
        <v>241</v>
      </c>
      <c r="I37" s="12">
        <f>ROUNDDOWN(H37*D37,0)</f>
        <v>1205000</v>
      </c>
      <c r="J37" s="60">
        <f>단가산출근거목록표!G8</f>
        <v>77</v>
      </c>
      <c r="K37" s="12">
        <f>ROUNDDOWN(J37*D37,0)</f>
        <v>385000</v>
      </c>
      <c r="L37" s="53">
        <f>단가산출근거목록표!H8</f>
        <v>100</v>
      </c>
      <c r="M37" s="23">
        <f>ROUNDDOWN(L37*D37,0)</f>
        <v>500000</v>
      </c>
      <c r="N37" s="24" t="s">
        <v>853</v>
      </c>
      <c r="O37" s="16" t="s">
        <v>852</v>
      </c>
      <c r="P37" s="6" t="s">
        <v>851</v>
      </c>
      <c r="Q37" s="6" t="s">
        <v>515</v>
      </c>
      <c r="AC37" s="19" t="str">
        <f ca="1">HYPERLINK("#"&amp;단가산출근거목록표!J2&amp;"!A"&amp;ROW(단가산출근거목록표!A8),"산근    5 →")</f>
        <v>산근    5 →</v>
      </c>
    </row>
    <row r="38" spans="1:29" ht="30.6" customHeight="1" x14ac:dyDescent="0.3">
      <c r="A38" s="9"/>
      <c r="B38" s="9"/>
      <c r="C38" s="44"/>
      <c r="D38" s="45"/>
      <c r="E38" s="24"/>
      <c r="F38" s="10">
        <v>0</v>
      </c>
      <c r="G38" s="49"/>
      <c r="H38" s="58"/>
      <c r="I38" s="58"/>
      <c r="J38" s="58"/>
      <c r="K38" s="58"/>
      <c r="L38" s="58"/>
      <c r="M38" s="52"/>
      <c r="N38" s="24"/>
      <c r="O38" s="16" t="s">
        <v>793</v>
      </c>
      <c r="P38" s="6" t="s">
        <v>540</v>
      </c>
      <c r="Q38" s="6" t="s">
        <v>554</v>
      </c>
    </row>
    <row r="39" spans="1:29" ht="30.6" customHeight="1" x14ac:dyDescent="0.3">
      <c r="A39" s="41" t="s">
        <v>794</v>
      </c>
      <c r="B39" s="41" t="s">
        <v>854</v>
      </c>
      <c r="C39" s="43"/>
      <c r="D39" s="45"/>
      <c r="E39" s="24"/>
      <c r="F39" s="10">
        <v>0</v>
      </c>
      <c r="G39" s="54">
        <f>SUMIF(Q40:Q58,P39,G40:G58)</f>
        <v>65502446</v>
      </c>
      <c r="H39" s="12">
        <v>0</v>
      </c>
      <c r="I39" s="55">
        <f>SUMIF(Q40:Q58,P39,I40:I58)</f>
        <v>48988983</v>
      </c>
      <c r="J39" s="12">
        <v>0</v>
      </c>
      <c r="K39" s="61">
        <f>SUMIF(Q40:Q58,P39,K40:K58)</f>
        <v>7219894</v>
      </c>
      <c r="L39" s="23">
        <v>0</v>
      </c>
      <c r="M39" s="61">
        <f>SUMIF(Q40:Q58,P39,M40:M58)</f>
        <v>9293569</v>
      </c>
      <c r="N39" s="24"/>
      <c r="O39" s="36" t="str">
        <f>"_x0007_`COD|E3_x0005_`QTY1|1_x0005_`EXI|0_x0005_`ITT|0_x0005_`END|"&amp;ROW(M59)&amp;"_x0005_`"</f>
        <v>_x0007_`COD|E3_x0005_`QTY1|1_x0005_`EXI|0_x0005_`ITT|0_x0005_`END|59_x0005_`</v>
      </c>
      <c r="P39" s="6" t="s">
        <v>537</v>
      </c>
      <c r="Q39" s="6" t="s">
        <v>554</v>
      </c>
    </row>
    <row r="40" spans="1:29" ht="30.6" customHeight="1" x14ac:dyDescent="0.3">
      <c r="A40" s="41" t="s">
        <v>857</v>
      </c>
      <c r="B40" s="41" t="s">
        <v>858</v>
      </c>
      <c r="C40" s="43"/>
      <c r="D40" s="45"/>
      <c r="E40" s="24"/>
      <c r="F40" s="10">
        <v>0</v>
      </c>
      <c r="G40" s="54">
        <f>SUMIF(Q41:Q45,P40,G41:G45)</f>
        <v>21243588</v>
      </c>
      <c r="H40" s="12">
        <v>0</v>
      </c>
      <c r="I40" s="55">
        <f>SUMIF(Q41:Q45,P40,I41:I45)</f>
        <v>16148076</v>
      </c>
      <c r="J40" s="12">
        <v>0</v>
      </c>
      <c r="K40" s="61">
        <f>SUMIF(Q41:Q45,P40,K41:K45)</f>
        <v>2004126</v>
      </c>
      <c r="L40" s="23">
        <v>0</v>
      </c>
      <c r="M40" s="61">
        <f>SUMIF(Q41:Q45,P40,M41:M45)</f>
        <v>3091386</v>
      </c>
      <c r="N40" s="24"/>
      <c r="O40" s="36" t="str">
        <f>"_x0007_`COD|E2_x0005_`QTY1|1_x0005_`EXI|0_x0005_`ITT|0_x0005_`END|"&amp;ROW(M46)&amp;"_x0005_`"</f>
        <v>_x0007_`COD|E2_x0005_`QTY1|1_x0005_`EXI|0_x0005_`ITT|0_x0005_`END|46_x0005_`</v>
      </c>
      <c r="P40" s="6" t="s">
        <v>515</v>
      </c>
      <c r="Q40" s="6" t="s">
        <v>537</v>
      </c>
    </row>
    <row r="41" spans="1:29" ht="30.6" customHeight="1" x14ac:dyDescent="0.3">
      <c r="A41" s="9"/>
      <c r="B41" s="9" t="s">
        <v>90</v>
      </c>
      <c r="C41" s="44" t="s">
        <v>91</v>
      </c>
      <c r="D41" s="46">
        <v>70</v>
      </c>
      <c r="E41" s="24" t="s">
        <v>20</v>
      </c>
      <c r="F41" s="53">
        <f t="shared" ref="F41:G45" si="5">J41+H41+L41</f>
        <v>124594</v>
      </c>
      <c r="G41" s="55">
        <f t="shared" si="5"/>
        <v>8721580</v>
      </c>
      <c r="H41" s="57">
        <f>일위대가목록표!F20</f>
        <v>96868</v>
      </c>
      <c r="I41" s="12">
        <f>ROUNDDOWN(H41*D41,0)</f>
        <v>6780760</v>
      </c>
      <c r="J41" s="60">
        <f>일위대가목록표!G20</f>
        <v>11309</v>
      </c>
      <c r="K41" s="12">
        <f>ROUNDDOWN(J41*D41,0)</f>
        <v>791630</v>
      </c>
      <c r="L41" s="53">
        <f>일위대가목록표!H20</f>
        <v>16417</v>
      </c>
      <c r="M41" s="23">
        <f>ROUNDDOWN(L41*D41,0)</f>
        <v>1149190</v>
      </c>
      <c r="N41" s="24" t="s">
        <v>861</v>
      </c>
      <c r="O41" s="16" t="s">
        <v>860</v>
      </c>
      <c r="P41" s="6" t="s">
        <v>859</v>
      </c>
      <c r="Q41" s="6" t="s">
        <v>515</v>
      </c>
      <c r="AC41" s="19" t="str">
        <f ca="1">HYPERLINK("#"&amp;일위대가목록표!J2&amp;"!A"&amp;ROW(일위대가목록표!A20),"대가   17 →")</f>
        <v>대가   17 →</v>
      </c>
    </row>
    <row r="42" spans="1:29" ht="30.6" customHeight="1" x14ac:dyDescent="0.3">
      <c r="A42" s="9"/>
      <c r="B42" s="9" t="s">
        <v>90</v>
      </c>
      <c r="C42" s="44" t="s">
        <v>96</v>
      </c>
      <c r="D42" s="46">
        <v>10</v>
      </c>
      <c r="E42" s="24" t="s">
        <v>20</v>
      </c>
      <c r="F42" s="53">
        <f t="shared" si="5"/>
        <v>166262</v>
      </c>
      <c r="G42" s="55">
        <f t="shared" si="5"/>
        <v>1662620</v>
      </c>
      <c r="H42" s="57">
        <f>일위대가목록표!F27</f>
        <v>129370</v>
      </c>
      <c r="I42" s="12">
        <f>ROUNDDOWN(H42*D42,0)</f>
        <v>1293700</v>
      </c>
      <c r="J42" s="60">
        <f>일위대가목록표!G27</f>
        <v>15059</v>
      </c>
      <c r="K42" s="12">
        <f>ROUNDDOWN(J42*D42,0)</f>
        <v>150590</v>
      </c>
      <c r="L42" s="53">
        <f>일위대가목록표!H27</f>
        <v>21833</v>
      </c>
      <c r="M42" s="23">
        <f>ROUNDDOWN(L42*D42,0)</f>
        <v>218330</v>
      </c>
      <c r="N42" s="24" t="s">
        <v>864</v>
      </c>
      <c r="O42" s="16" t="s">
        <v>863</v>
      </c>
      <c r="P42" s="6" t="s">
        <v>862</v>
      </c>
      <c r="Q42" s="6" t="s">
        <v>515</v>
      </c>
      <c r="AC42" s="19" t="str">
        <f ca="1">HYPERLINK("#"&amp;일위대가목록표!J2&amp;"!A"&amp;ROW(일위대가목록표!A27),"대가   24 →")</f>
        <v>대가   24 →</v>
      </c>
    </row>
    <row r="43" spans="1:29" ht="30.6" customHeight="1" x14ac:dyDescent="0.3">
      <c r="A43" s="9"/>
      <c r="B43" s="9" t="s">
        <v>90</v>
      </c>
      <c r="C43" s="44" t="s">
        <v>100</v>
      </c>
      <c r="D43" s="46">
        <v>14</v>
      </c>
      <c r="E43" s="24" t="s">
        <v>20</v>
      </c>
      <c r="F43" s="53">
        <f t="shared" si="5"/>
        <v>207377</v>
      </c>
      <c r="G43" s="55">
        <f t="shared" si="5"/>
        <v>2903278</v>
      </c>
      <c r="H43" s="57">
        <f>일위대가목록표!F28</f>
        <v>161284</v>
      </c>
      <c r="I43" s="12">
        <f>ROUNDDOWN(H43*D43,0)</f>
        <v>2257976</v>
      </c>
      <c r="J43" s="60">
        <f>일위대가목록표!G28</f>
        <v>18804</v>
      </c>
      <c r="K43" s="12">
        <f>ROUNDDOWN(J43*D43,0)</f>
        <v>263256</v>
      </c>
      <c r="L43" s="53">
        <f>일위대가목록표!H28</f>
        <v>27289</v>
      </c>
      <c r="M43" s="23">
        <f>ROUNDDOWN(L43*D43,0)</f>
        <v>382046</v>
      </c>
      <c r="N43" s="24" t="s">
        <v>867</v>
      </c>
      <c r="O43" s="16" t="s">
        <v>866</v>
      </c>
      <c r="P43" s="6" t="s">
        <v>865</v>
      </c>
      <c r="Q43" s="6" t="s">
        <v>515</v>
      </c>
      <c r="AC43" s="19" t="str">
        <f ca="1">HYPERLINK("#"&amp;일위대가목록표!J2&amp;"!A"&amp;ROW(일위대가목록표!A28),"대가   25 →")</f>
        <v>대가   25 →</v>
      </c>
    </row>
    <row r="44" spans="1:29" ht="30.6" customHeight="1" x14ac:dyDescent="0.3">
      <c r="A44" s="9"/>
      <c r="B44" s="9" t="s">
        <v>95</v>
      </c>
      <c r="C44" s="44" t="s">
        <v>91</v>
      </c>
      <c r="D44" s="46">
        <v>30</v>
      </c>
      <c r="E44" s="24" t="s">
        <v>20</v>
      </c>
      <c r="F44" s="53">
        <f t="shared" si="5"/>
        <v>125801</v>
      </c>
      <c r="G44" s="55">
        <f t="shared" si="5"/>
        <v>3774030</v>
      </c>
      <c r="H44" s="57">
        <f>일위대가목록표!F29</f>
        <v>91958</v>
      </c>
      <c r="I44" s="12">
        <f>ROUNDDOWN(H44*D44,0)</f>
        <v>2758740</v>
      </c>
      <c r="J44" s="60">
        <f>일위대가목록표!G29</f>
        <v>12627</v>
      </c>
      <c r="K44" s="12">
        <f>ROUNDDOWN(J44*D44,0)</f>
        <v>378810</v>
      </c>
      <c r="L44" s="53">
        <f>일위대가목록표!H29</f>
        <v>21216</v>
      </c>
      <c r="M44" s="23">
        <f>ROUNDDOWN(L44*D44,0)</f>
        <v>636480</v>
      </c>
      <c r="N44" s="24" t="s">
        <v>870</v>
      </c>
      <c r="O44" s="16" t="s">
        <v>869</v>
      </c>
      <c r="P44" s="6" t="s">
        <v>868</v>
      </c>
      <c r="Q44" s="6" t="s">
        <v>515</v>
      </c>
      <c r="AC44" s="19" t="str">
        <f ca="1">HYPERLINK("#"&amp;일위대가목록표!J2&amp;"!A"&amp;ROW(일위대가목록표!A29),"대가   26 →")</f>
        <v>대가   26 →</v>
      </c>
    </row>
    <row r="45" spans="1:29" ht="30.6" customHeight="1" x14ac:dyDescent="0.3">
      <c r="A45" s="9"/>
      <c r="B45" s="9" t="s">
        <v>95</v>
      </c>
      <c r="C45" s="44" t="s">
        <v>100</v>
      </c>
      <c r="D45" s="46">
        <v>20</v>
      </c>
      <c r="E45" s="24" t="s">
        <v>20</v>
      </c>
      <c r="F45" s="53">
        <f t="shared" si="5"/>
        <v>209104</v>
      </c>
      <c r="G45" s="55">
        <f t="shared" si="5"/>
        <v>4182080</v>
      </c>
      <c r="H45" s="57">
        <f>일위대가목록표!F22</f>
        <v>152845</v>
      </c>
      <c r="I45" s="12">
        <f>ROUNDDOWN(H45*D45,0)</f>
        <v>3056900</v>
      </c>
      <c r="J45" s="60">
        <f>일위대가목록표!G22</f>
        <v>20992</v>
      </c>
      <c r="K45" s="12">
        <f>ROUNDDOWN(J45*D45,0)</f>
        <v>419840</v>
      </c>
      <c r="L45" s="53">
        <f>일위대가목록표!H22</f>
        <v>35267</v>
      </c>
      <c r="M45" s="23">
        <f>ROUNDDOWN(L45*D45,0)</f>
        <v>705340</v>
      </c>
      <c r="N45" s="24" t="s">
        <v>873</v>
      </c>
      <c r="O45" s="16" t="s">
        <v>872</v>
      </c>
      <c r="P45" s="6" t="s">
        <v>871</v>
      </c>
      <c r="Q45" s="6" t="s">
        <v>515</v>
      </c>
      <c r="AC45" s="19" t="str">
        <f ca="1">HYPERLINK("#"&amp;일위대가목록표!J2&amp;"!A"&amp;ROW(일위대가목록표!A22),"대가   19 →")</f>
        <v>대가   19 →</v>
      </c>
    </row>
    <row r="46" spans="1:29" ht="30.6" customHeight="1" x14ac:dyDescent="0.3">
      <c r="A46" s="9"/>
      <c r="B46" s="9"/>
      <c r="C46" s="44"/>
      <c r="D46" s="45"/>
      <c r="E46" s="24"/>
      <c r="F46" s="10">
        <v>0</v>
      </c>
      <c r="G46" s="49"/>
      <c r="H46" s="58"/>
      <c r="I46" s="58"/>
      <c r="J46" s="58"/>
      <c r="K46" s="58"/>
      <c r="L46" s="58"/>
      <c r="M46" s="52"/>
      <c r="N46" s="24"/>
      <c r="O46" s="16" t="s">
        <v>793</v>
      </c>
      <c r="P46" s="6" t="s">
        <v>540</v>
      </c>
      <c r="Q46" s="6" t="s">
        <v>537</v>
      </c>
    </row>
    <row r="47" spans="1:29" ht="30.6" customHeight="1" x14ac:dyDescent="0.3">
      <c r="A47" s="41" t="s">
        <v>874</v>
      </c>
      <c r="B47" s="41" t="s">
        <v>875</v>
      </c>
      <c r="C47" s="43"/>
      <c r="D47" s="45"/>
      <c r="E47" s="24"/>
      <c r="F47" s="10">
        <v>0</v>
      </c>
      <c r="G47" s="54">
        <f>SUMIF(Q48:Q52,P47,G48:G52)</f>
        <v>9921252</v>
      </c>
      <c r="H47" s="12">
        <v>0</v>
      </c>
      <c r="I47" s="55">
        <f>SUMIF(Q48:Q52,P47,I48:I52)</f>
        <v>7966033</v>
      </c>
      <c r="J47" s="12">
        <v>0</v>
      </c>
      <c r="K47" s="61">
        <f>SUMIF(Q48:Q52,P47,K48:K52)</f>
        <v>833942</v>
      </c>
      <c r="L47" s="23">
        <v>0</v>
      </c>
      <c r="M47" s="61">
        <f>SUMIF(Q48:Q52,P47,M48:M52)</f>
        <v>1121277</v>
      </c>
      <c r="N47" s="24"/>
      <c r="O47" s="36" t="str">
        <f>"_x0007_`COD|E2_x0005_`QTY1|1_x0005_`EXI|0_x0005_`ITT|0_x0005_`END|"&amp;ROW(M53)&amp;"_x0005_`"</f>
        <v>_x0007_`COD|E2_x0005_`QTY1|1_x0005_`EXI|0_x0005_`ITT|0_x0005_`END|53_x0005_`</v>
      </c>
      <c r="P47" s="6" t="s">
        <v>515</v>
      </c>
      <c r="Q47" s="6" t="s">
        <v>537</v>
      </c>
    </row>
    <row r="48" spans="1:29" ht="30.6" customHeight="1" x14ac:dyDescent="0.3">
      <c r="A48" s="9"/>
      <c r="B48" s="9" t="s">
        <v>18</v>
      </c>
      <c r="C48" s="44" t="s">
        <v>19</v>
      </c>
      <c r="D48" s="46">
        <v>52</v>
      </c>
      <c r="E48" s="24" t="s">
        <v>20</v>
      </c>
      <c r="F48" s="53">
        <f t="shared" ref="F48:G52" si="6">J48+H48+L48</f>
        <v>16001</v>
      </c>
      <c r="G48" s="55">
        <f t="shared" si="6"/>
        <v>832052</v>
      </c>
      <c r="H48" s="57">
        <f>일위대가목록표!F5</f>
        <v>15002</v>
      </c>
      <c r="I48" s="12">
        <f>ROUNDDOWN(H48*D48,0)</f>
        <v>780104</v>
      </c>
      <c r="J48" s="60">
        <f>일위대가목록표!G5</f>
        <v>584</v>
      </c>
      <c r="K48" s="12">
        <f>ROUNDDOWN(J48*D48,0)</f>
        <v>30368</v>
      </c>
      <c r="L48" s="53">
        <f>일위대가목록표!H5</f>
        <v>415</v>
      </c>
      <c r="M48" s="23">
        <f>ROUNDDOWN(L48*D48,0)</f>
        <v>21580</v>
      </c>
      <c r="N48" s="24" t="s">
        <v>878</v>
      </c>
      <c r="O48" s="16" t="s">
        <v>877</v>
      </c>
      <c r="P48" s="6" t="s">
        <v>876</v>
      </c>
      <c r="Q48" s="6" t="s">
        <v>515</v>
      </c>
      <c r="AC48" s="19" t="str">
        <f ca="1">HYPERLINK("#"&amp;일위대가목록표!J2&amp;"!A"&amp;ROW(일위대가목록표!A5),"대가    2 →")</f>
        <v>대가    2 →</v>
      </c>
    </row>
    <row r="49" spans="1:29" ht="30.6" customHeight="1" x14ac:dyDescent="0.3">
      <c r="A49" s="9"/>
      <c r="B49" s="9" t="s">
        <v>18</v>
      </c>
      <c r="C49" s="44" t="s">
        <v>24</v>
      </c>
      <c r="D49" s="46">
        <v>98</v>
      </c>
      <c r="E49" s="24" t="s">
        <v>20</v>
      </c>
      <c r="F49" s="53">
        <f t="shared" si="6"/>
        <v>20785</v>
      </c>
      <c r="G49" s="55">
        <f t="shared" si="6"/>
        <v>2036930</v>
      </c>
      <c r="H49" s="57">
        <f>일위대가목록표!F6</f>
        <v>19553</v>
      </c>
      <c r="I49" s="12">
        <f>ROUNDDOWN(H49*D49,0)</f>
        <v>1916194</v>
      </c>
      <c r="J49" s="60">
        <f>일위대가목록표!G6</f>
        <v>733</v>
      </c>
      <c r="K49" s="12">
        <f>ROUNDDOWN(J49*D49,0)</f>
        <v>71834</v>
      </c>
      <c r="L49" s="53">
        <f>일위대가목록표!H6</f>
        <v>499</v>
      </c>
      <c r="M49" s="23">
        <f>ROUNDDOWN(L49*D49,0)</f>
        <v>48902</v>
      </c>
      <c r="N49" s="24" t="s">
        <v>881</v>
      </c>
      <c r="O49" s="16" t="s">
        <v>880</v>
      </c>
      <c r="P49" s="6" t="s">
        <v>879</v>
      </c>
      <c r="Q49" s="6" t="s">
        <v>515</v>
      </c>
      <c r="AC49" s="19" t="str">
        <f ca="1">HYPERLINK("#"&amp;일위대가목록표!J2&amp;"!A"&amp;ROW(일위대가목록표!A6),"대가    3 →")</f>
        <v>대가    3 →</v>
      </c>
    </row>
    <row r="50" spans="1:29" ht="30.6" customHeight="1" x14ac:dyDescent="0.3">
      <c r="A50" s="9"/>
      <c r="B50" s="9" t="s">
        <v>81</v>
      </c>
      <c r="C50" s="44" t="s">
        <v>86</v>
      </c>
      <c r="D50" s="46">
        <v>3</v>
      </c>
      <c r="E50" s="24" t="s">
        <v>36</v>
      </c>
      <c r="F50" s="53">
        <f t="shared" si="6"/>
        <v>1937206</v>
      </c>
      <c r="G50" s="55">
        <f t="shared" si="6"/>
        <v>5811618</v>
      </c>
      <c r="H50" s="57">
        <f>일위대가목록표!F19</f>
        <v>1445580</v>
      </c>
      <c r="I50" s="12">
        <f>ROUNDDOWN(H50*D50,0)</f>
        <v>4336740</v>
      </c>
      <c r="J50" s="60">
        <f>일위대가목록표!G19</f>
        <v>201781</v>
      </c>
      <c r="K50" s="12">
        <f>ROUNDDOWN(J50*D50,0)</f>
        <v>605343</v>
      </c>
      <c r="L50" s="53">
        <f>일위대가목록표!H19</f>
        <v>289845</v>
      </c>
      <c r="M50" s="23">
        <f>ROUNDDOWN(L50*D50,0)</f>
        <v>869535</v>
      </c>
      <c r="N50" s="24" t="s">
        <v>884</v>
      </c>
      <c r="O50" s="16" t="s">
        <v>883</v>
      </c>
      <c r="P50" s="6" t="s">
        <v>882</v>
      </c>
      <c r="Q50" s="6" t="s">
        <v>515</v>
      </c>
      <c r="AC50" s="19" t="str">
        <f ca="1">HYPERLINK("#"&amp;일위대가목록표!J2&amp;"!A"&amp;ROW(일위대가목록표!A19),"대가   16 →")</f>
        <v>대가   16 →</v>
      </c>
    </row>
    <row r="51" spans="1:29" ht="30.6" customHeight="1" x14ac:dyDescent="0.3">
      <c r="A51" s="9"/>
      <c r="B51" s="9" t="s">
        <v>81</v>
      </c>
      <c r="C51" s="44" t="s">
        <v>82</v>
      </c>
      <c r="D51" s="46">
        <v>1</v>
      </c>
      <c r="E51" s="24" t="s">
        <v>36</v>
      </c>
      <c r="F51" s="53">
        <f t="shared" si="6"/>
        <v>1216838</v>
      </c>
      <c r="G51" s="55">
        <f t="shared" si="6"/>
        <v>1216838</v>
      </c>
      <c r="H51" s="57">
        <f>일위대가목록표!F18</f>
        <v>919291</v>
      </c>
      <c r="I51" s="12">
        <f>ROUNDDOWN(H51*D51,0)</f>
        <v>919291</v>
      </c>
      <c r="J51" s="60">
        <f>일위대가목록표!G18</f>
        <v>121969</v>
      </c>
      <c r="K51" s="12">
        <f>ROUNDDOWN(J51*D51,0)</f>
        <v>121969</v>
      </c>
      <c r="L51" s="53">
        <f>일위대가목록표!H18</f>
        <v>175578</v>
      </c>
      <c r="M51" s="23">
        <f>ROUNDDOWN(L51*D51,0)</f>
        <v>175578</v>
      </c>
      <c r="N51" s="24" t="s">
        <v>887</v>
      </c>
      <c r="O51" s="16" t="s">
        <v>886</v>
      </c>
      <c r="P51" s="6" t="s">
        <v>885</v>
      </c>
      <c r="Q51" s="6" t="s">
        <v>515</v>
      </c>
      <c r="AC51" s="19" t="str">
        <f ca="1">HYPERLINK("#"&amp;일위대가목록표!J2&amp;"!A"&amp;ROW(일위대가목록표!A18),"대가   15 →")</f>
        <v>대가   15 →</v>
      </c>
    </row>
    <row r="52" spans="1:29" ht="30.6" customHeight="1" x14ac:dyDescent="0.3">
      <c r="A52" s="9"/>
      <c r="B52" s="9" t="s">
        <v>72</v>
      </c>
      <c r="C52" s="44"/>
      <c r="D52" s="46">
        <v>6</v>
      </c>
      <c r="E52" s="24" t="s">
        <v>36</v>
      </c>
      <c r="F52" s="53">
        <f t="shared" si="6"/>
        <v>3969</v>
      </c>
      <c r="G52" s="55">
        <f t="shared" si="6"/>
        <v>23814</v>
      </c>
      <c r="H52" s="57">
        <f>일위대가목록표!F16</f>
        <v>2284</v>
      </c>
      <c r="I52" s="12">
        <f>ROUNDDOWN(H52*D52,0)</f>
        <v>13704</v>
      </c>
      <c r="J52" s="60">
        <f>일위대가목록표!G16</f>
        <v>738</v>
      </c>
      <c r="K52" s="12">
        <f>ROUNDDOWN(J52*D52,0)</f>
        <v>4428</v>
      </c>
      <c r="L52" s="53">
        <f>일위대가목록표!H16</f>
        <v>947</v>
      </c>
      <c r="M52" s="23">
        <f>ROUNDDOWN(L52*D52,0)</f>
        <v>5682</v>
      </c>
      <c r="N52" s="24" t="s">
        <v>890</v>
      </c>
      <c r="O52" s="16" t="s">
        <v>889</v>
      </c>
      <c r="P52" s="6" t="s">
        <v>888</v>
      </c>
      <c r="Q52" s="6" t="s">
        <v>515</v>
      </c>
      <c r="AC52" s="19" t="str">
        <f ca="1">HYPERLINK("#"&amp;일위대가목록표!J2&amp;"!A"&amp;ROW(일위대가목록표!A16),"대가   13 →")</f>
        <v>대가   13 →</v>
      </c>
    </row>
    <row r="53" spans="1:29" ht="30.6" customHeight="1" x14ac:dyDescent="0.3">
      <c r="A53" s="9"/>
      <c r="B53" s="9"/>
      <c r="C53" s="44"/>
      <c r="D53" s="45"/>
      <c r="E53" s="24"/>
      <c r="F53" s="10">
        <v>0</v>
      </c>
      <c r="G53" s="49"/>
      <c r="H53" s="58"/>
      <c r="I53" s="58"/>
      <c r="J53" s="58"/>
      <c r="K53" s="58"/>
      <c r="L53" s="58"/>
      <c r="M53" s="52"/>
      <c r="N53" s="24"/>
      <c r="O53" s="16" t="s">
        <v>793</v>
      </c>
      <c r="P53" s="6" t="s">
        <v>540</v>
      </c>
      <c r="Q53" s="6" t="s">
        <v>537</v>
      </c>
    </row>
    <row r="54" spans="1:29" ht="30.6" customHeight="1" x14ac:dyDescent="0.3">
      <c r="A54" s="41" t="s">
        <v>891</v>
      </c>
      <c r="B54" s="41" t="s">
        <v>892</v>
      </c>
      <c r="C54" s="43"/>
      <c r="D54" s="45"/>
      <c r="E54" s="24"/>
      <c r="F54" s="10">
        <v>0</v>
      </c>
      <c r="G54" s="54">
        <f>SUMIF(Q55:Q58,P54,G55:G58)</f>
        <v>34337606</v>
      </c>
      <c r="H54" s="12">
        <v>0</v>
      </c>
      <c r="I54" s="55">
        <f>SUMIF(Q55:Q58,P54,I55:I58)</f>
        <v>24874874</v>
      </c>
      <c r="J54" s="12">
        <v>0</v>
      </c>
      <c r="K54" s="61">
        <f>SUMIF(Q55:Q58,P54,K55:K58)</f>
        <v>4381826</v>
      </c>
      <c r="L54" s="23">
        <v>0</v>
      </c>
      <c r="M54" s="61">
        <f>SUMIF(Q55:Q58,P54,M55:M58)</f>
        <v>5080906</v>
      </c>
      <c r="N54" s="24"/>
      <c r="O54" s="36" t="str">
        <f>"_x0007_`COD|E2_x0005_`QTY1|1_x0005_`EXI|0_x0005_`ITT|0_x0005_`END|"&amp;ROW(M59)&amp;"_x0005_`"</f>
        <v>_x0007_`COD|E2_x0005_`QTY1|1_x0005_`EXI|0_x0005_`ITT|0_x0005_`END|59_x0005_`</v>
      </c>
      <c r="P54" s="6" t="s">
        <v>515</v>
      </c>
      <c r="Q54" s="6" t="s">
        <v>537</v>
      </c>
    </row>
    <row r="55" spans="1:29" ht="30.6" customHeight="1" x14ac:dyDescent="0.3">
      <c r="A55" s="9"/>
      <c r="B55" s="9" t="s">
        <v>76</v>
      </c>
      <c r="C55" s="44" t="s">
        <v>77</v>
      </c>
      <c r="D55" s="46">
        <v>70</v>
      </c>
      <c r="E55" s="24" t="s">
        <v>42</v>
      </c>
      <c r="F55" s="53">
        <f t="shared" ref="F55:G58" si="7">J55+H55+L55</f>
        <v>101522</v>
      </c>
      <c r="G55" s="55">
        <f t="shared" si="7"/>
        <v>7106540</v>
      </c>
      <c r="H55" s="57">
        <f>일위대가목록표!F17</f>
        <v>77755</v>
      </c>
      <c r="I55" s="12">
        <f>ROUNDDOWN(H55*D55,0)</f>
        <v>5442850</v>
      </c>
      <c r="J55" s="60">
        <f>일위대가목록표!G17</f>
        <v>9519</v>
      </c>
      <c r="K55" s="12">
        <f>ROUNDDOWN(J55*D55,0)</f>
        <v>666330</v>
      </c>
      <c r="L55" s="53">
        <f>일위대가목록표!H17</f>
        <v>14248</v>
      </c>
      <c r="M55" s="23">
        <f>ROUNDDOWN(L55*D55,0)</f>
        <v>997360</v>
      </c>
      <c r="N55" s="24" t="s">
        <v>895</v>
      </c>
      <c r="O55" s="16" t="s">
        <v>894</v>
      </c>
      <c r="P55" s="6" t="s">
        <v>893</v>
      </c>
      <c r="Q55" s="6" t="s">
        <v>515</v>
      </c>
      <c r="AC55" s="19" t="str">
        <f ca="1">HYPERLINK("#"&amp;일위대가목록표!J2&amp;"!A"&amp;ROW(일위대가목록표!A17),"대가   14 →")</f>
        <v>대가   14 →</v>
      </c>
    </row>
    <row r="56" spans="1:29" ht="30.6" customHeight="1" x14ac:dyDescent="0.3">
      <c r="A56" s="9"/>
      <c r="B56" s="9" t="s">
        <v>76</v>
      </c>
      <c r="C56" s="44" t="s">
        <v>136</v>
      </c>
      <c r="D56" s="46">
        <v>270</v>
      </c>
      <c r="E56" s="24" t="s">
        <v>42</v>
      </c>
      <c r="F56" s="53">
        <f t="shared" si="7"/>
        <v>95396</v>
      </c>
      <c r="G56" s="55">
        <f t="shared" si="7"/>
        <v>25756920</v>
      </c>
      <c r="H56" s="57">
        <f>일위대가목록표!F31</f>
        <v>70407</v>
      </c>
      <c r="I56" s="12">
        <f>ROUNDDOWN(H56*D56,0)</f>
        <v>19009890</v>
      </c>
      <c r="J56" s="60">
        <f>일위대가목록표!G31</f>
        <v>9866</v>
      </c>
      <c r="K56" s="12">
        <f>ROUNDDOWN(J56*D56,0)</f>
        <v>2663820</v>
      </c>
      <c r="L56" s="53">
        <f>일위대가목록표!H31</f>
        <v>15123</v>
      </c>
      <c r="M56" s="23">
        <f>ROUNDDOWN(L56*D56,0)</f>
        <v>4083210</v>
      </c>
      <c r="N56" s="24" t="s">
        <v>898</v>
      </c>
      <c r="O56" s="16" t="s">
        <v>897</v>
      </c>
      <c r="P56" s="6" t="s">
        <v>896</v>
      </c>
      <c r="Q56" s="6" t="s">
        <v>515</v>
      </c>
      <c r="AC56" s="19" t="str">
        <f ca="1">HYPERLINK("#"&amp;일위대가목록표!J2&amp;"!A"&amp;ROW(일위대가목록표!A31),"대가   28 →")</f>
        <v>대가   28 →</v>
      </c>
    </row>
    <row r="57" spans="1:29" ht="30.6" customHeight="1" x14ac:dyDescent="0.3">
      <c r="A57" s="9"/>
      <c r="B57" s="9" t="s">
        <v>562</v>
      </c>
      <c r="C57" s="44" t="s">
        <v>563</v>
      </c>
      <c r="D57" s="46">
        <v>2</v>
      </c>
      <c r="E57" s="24" t="s">
        <v>36</v>
      </c>
      <c r="F57" s="53">
        <f t="shared" si="7"/>
        <v>520000</v>
      </c>
      <c r="G57" s="55">
        <f t="shared" si="7"/>
        <v>1040000</v>
      </c>
      <c r="H57" s="59">
        <v>0</v>
      </c>
      <c r="I57" s="23">
        <f>ROUNDDOWN(H57*D57,0)</f>
        <v>0</v>
      </c>
      <c r="J57" s="60">
        <f>재료비목록표!E31</f>
        <v>520000</v>
      </c>
      <c r="K57" s="12">
        <f>ROUNDDOWN(J57*D57,0)</f>
        <v>1040000</v>
      </c>
      <c r="L57" s="62">
        <v>0</v>
      </c>
      <c r="M57" s="23">
        <f>ROUNDDOWN(L57*D57,0)</f>
        <v>0</v>
      </c>
      <c r="N57" s="24" t="s">
        <v>901</v>
      </c>
      <c r="O57" s="16" t="s">
        <v>900</v>
      </c>
      <c r="P57" s="6" t="s">
        <v>899</v>
      </c>
      <c r="Q57" s="6" t="s">
        <v>515</v>
      </c>
      <c r="AC57" s="19" t="str">
        <f ca="1">HYPERLINK("#"&amp;재료비목록표!G2&amp;"!A"&amp;ROW(재료비목록표!A31),"자재   28 →")</f>
        <v>자재   28 →</v>
      </c>
    </row>
    <row r="58" spans="1:29" ht="30.6" customHeight="1" x14ac:dyDescent="0.3">
      <c r="A58" s="9"/>
      <c r="B58" s="9" t="s">
        <v>46</v>
      </c>
      <c r="C58" s="44" t="s">
        <v>47</v>
      </c>
      <c r="D58" s="46">
        <v>1</v>
      </c>
      <c r="E58" s="24" t="s">
        <v>36</v>
      </c>
      <c r="F58" s="53">
        <f t="shared" si="7"/>
        <v>434146</v>
      </c>
      <c r="G58" s="55">
        <f t="shared" si="7"/>
        <v>434146</v>
      </c>
      <c r="H58" s="57">
        <f>일위대가목록표!F10</f>
        <v>422134</v>
      </c>
      <c r="I58" s="12">
        <f>ROUNDDOWN(H58*D58,0)</f>
        <v>422134</v>
      </c>
      <c r="J58" s="60">
        <f>일위대가목록표!G10</f>
        <v>11676</v>
      </c>
      <c r="K58" s="12">
        <f>ROUNDDOWN(J58*D58,0)</f>
        <v>11676</v>
      </c>
      <c r="L58" s="53">
        <f>일위대가목록표!H10</f>
        <v>336</v>
      </c>
      <c r="M58" s="23">
        <f>ROUNDDOWN(L58*D58,0)</f>
        <v>336</v>
      </c>
      <c r="N58" s="24" t="s">
        <v>904</v>
      </c>
      <c r="O58" s="16" t="s">
        <v>903</v>
      </c>
      <c r="P58" s="6" t="s">
        <v>902</v>
      </c>
      <c r="Q58" s="6" t="s">
        <v>515</v>
      </c>
      <c r="AC58" s="19" t="str">
        <f ca="1">HYPERLINK("#"&amp;일위대가목록표!J2&amp;"!A"&amp;ROW(일위대가목록표!A10),"대가    7 →")</f>
        <v>대가    7 →</v>
      </c>
    </row>
    <row r="59" spans="1:29" ht="30.6" customHeight="1" x14ac:dyDescent="0.3">
      <c r="A59" s="9"/>
      <c r="B59" s="9"/>
      <c r="C59" s="44"/>
      <c r="D59" s="45"/>
      <c r="E59" s="24"/>
      <c r="F59" s="10">
        <v>0</v>
      </c>
      <c r="G59" s="49"/>
      <c r="H59" s="58"/>
      <c r="I59" s="58"/>
      <c r="J59" s="58"/>
      <c r="K59" s="58"/>
      <c r="L59" s="58"/>
      <c r="M59" s="52"/>
      <c r="N59" s="24"/>
      <c r="O59" s="16" t="s">
        <v>793</v>
      </c>
      <c r="P59" s="6" t="s">
        <v>540</v>
      </c>
      <c r="Q59" s="6" t="s">
        <v>554</v>
      </c>
    </row>
    <row r="60" spans="1:29" ht="30.6" customHeight="1" x14ac:dyDescent="0.3">
      <c r="A60" s="41" t="s">
        <v>856</v>
      </c>
      <c r="B60" s="41" t="s">
        <v>855</v>
      </c>
      <c r="C60" s="43"/>
      <c r="D60" s="45"/>
      <c r="E60" s="24"/>
      <c r="F60" s="10">
        <v>0</v>
      </c>
      <c r="G60" s="54">
        <f>SUMIF(Q61:Q66,P60,G61:G66)</f>
        <v>12051047</v>
      </c>
      <c r="H60" s="12">
        <v>0</v>
      </c>
      <c r="I60" s="55">
        <f>SUMIF(Q61:Q66,P60,I61:I66)</f>
        <v>0</v>
      </c>
      <c r="J60" s="12">
        <v>0</v>
      </c>
      <c r="K60" s="61">
        <f>SUMIF(Q61:Q66,P60,K61:K66)</f>
        <v>0</v>
      </c>
      <c r="L60" s="23">
        <v>0</v>
      </c>
      <c r="M60" s="61">
        <f>SUMIF(Q61:Q66,P60,M61:M66)</f>
        <v>12051047</v>
      </c>
      <c r="N60" s="24"/>
      <c r="O60" s="36" t="str">
        <f>"_x0007_`COD|E3_x0005_`QTY1|1_x0005_`EXI|0_x0005_`ITT|0_x0005_`END|"&amp;ROW(M67)&amp;"_x0005_`"</f>
        <v>_x0007_`COD|E3_x0005_`QTY1|1_x0005_`EXI|0_x0005_`ITT|0_x0005_`END|67_x0005_`</v>
      </c>
      <c r="P60" s="6" t="s">
        <v>537</v>
      </c>
      <c r="Q60" s="6" t="s">
        <v>554</v>
      </c>
    </row>
    <row r="61" spans="1:29" ht="30.6" customHeight="1" x14ac:dyDescent="0.3">
      <c r="A61" s="9"/>
      <c r="B61" s="9" t="s">
        <v>241</v>
      </c>
      <c r="C61" s="44" t="s">
        <v>242</v>
      </c>
      <c r="D61" s="46">
        <v>1</v>
      </c>
      <c r="E61" s="24" t="s">
        <v>243</v>
      </c>
      <c r="F61" s="53">
        <f t="shared" ref="F61:G66" si="8">J61+H61+L61</f>
        <v>535090</v>
      </c>
      <c r="G61" s="55">
        <f t="shared" si="8"/>
        <v>535090</v>
      </c>
      <c r="H61" s="57">
        <f>단가산출근거목록표!F24</f>
        <v>0</v>
      </c>
      <c r="I61" s="12">
        <f t="shared" ref="I61:I66" si="9">ROUNDDOWN(H61*D61,0)</f>
        <v>0</v>
      </c>
      <c r="J61" s="60">
        <f>단가산출근거목록표!G24</f>
        <v>0</v>
      </c>
      <c r="K61" s="12">
        <f t="shared" ref="K61:K66" si="10">ROUNDDOWN(J61*D61,0)</f>
        <v>0</v>
      </c>
      <c r="L61" s="53">
        <f>단가산출근거목록표!H24</f>
        <v>535090</v>
      </c>
      <c r="M61" s="23">
        <f t="shared" ref="M61:M66" si="11">ROUNDDOWN(L61*D61,0)</f>
        <v>535090</v>
      </c>
      <c r="N61" s="24" t="s">
        <v>907</v>
      </c>
      <c r="O61" s="16" t="s">
        <v>906</v>
      </c>
      <c r="P61" s="6" t="s">
        <v>905</v>
      </c>
      <c r="Q61" s="6" t="s">
        <v>537</v>
      </c>
      <c r="AC61" s="19" t="str">
        <f ca="1">HYPERLINK("#"&amp;단가산출근거목록표!J2&amp;"!A"&amp;ROW(단가산출근거목록표!A24),"산근   21 →")</f>
        <v>산근   21 →</v>
      </c>
    </row>
    <row r="62" spans="1:29" ht="30.6" customHeight="1" x14ac:dyDescent="0.3">
      <c r="A62" s="9"/>
      <c r="B62" s="9" t="s">
        <v>278</v>
      </c>
      <c r="C62" s="44" t="s">
        <v>242</v>
      </c>
      <c r="D62" s="46">
        <v>1</v>
      </c>
      <c r="E62" s="24" t="s">
        <v>243</v>
      </c>
      <c r="F62" s="53">
        <f t="shared" si="8"/>
        <v>55909</v>
      </c>
      <c r="G62" s="55">
        <f t="shared" si="8"/>
        <v>55909</v>
      </c>
      <c r="H62" s="57">
        <f>단가산출근거목록표!F34</f>
        <v>0</v>
      </c>
      <c r="I62" s="12">
        <f t="shared" si="9"/>
        <v>0</v>
      </c>
      <c r="J62" s="60">
        <f>단가산출근거목록표!G34</f>
        <v>0</v>
      </c>
      <c r="K62" s="12">
        <f t="shared" si="10"/>
        <v>0</v>
      </c>
      <c r="L62" s="53">
        <f>단가산출근거목록표!H34</f>
        <v>55909</v>
      </c>
      <c r="M62" s="23">
        <f t="shared" si="11"/>
        <v>55909</v>
      </c>
      <c r="N62" s="24" t="s">
        <v>910</v>
      </c>
      <c r="O62" s="16" t="s">
        <v>909</v>
      </c>
      <c r="P62" s="6" t="s">
        <v>908</v>
      </c>
      <c r="Q62" s="6" t="s">
        <v>537</v>
      </c>
      <c r="AC62" s="19" t="str">
        <f ca="1">HYPERLINK("#"&amp;단가산출근거목록표!J2&amp;"!A"&amp;ROW(단가산출근거목록표!A34),"산근   31 →")</f>
        <v>산근   31 →</v>
      </c>
    </row>
    <row r="63" spans="1:29" ht="30.6" customHeight="1" x14ac:dyDescent="0.3">
      <c r="A63" s="9"/>
      <c r="B63" s="9" t="s">
        <v>246</v>
      </c>
      <c r="C63" s="44" t="s">
        <v>247</v>
      </c>
      <c r="D63" s="46">
        <v>36</v>
      </c>
      <c r="E63" s="24" t="s">
        <v>14</v>
      </c>
      <c r="F63" s="53">
        <f t="shared" si="8"/>
        <v>18383</v>
      </c>
      <c r="G63" s="55">
        <f t="shared" si="8"/>
        <v>661788</v>
      </c>
      <c r="H63" s="57">
        <f>단가산출근거목록표!F25</f>
        <v>0</v>
      </c>
      <c r="I63" s="12">
        <f t="shared" si="9"/>
        <v>0</v>
      </c>
      <c r="J63" s="60">
        <f>단가산출근거목록표!G25</f>
        <v>0</v>
      </c>
      <c r="K63" s="12">
        <f t="shared" si="10"/>
        <v>0</v>
      </c>
      <c r="L63" s="53">
        <f>단가산출근거목록표!H25</f>
        <v>18383</v>
      </c>
      <c r="M63" s="23">
        <f t="shared" si="11"/>
        <v>661788</v>
      </c>
      <c r="N63" s="24" t="s">
        <v>913</v>
      </c>
      <c r="O63" s="16" t="s">
        <v>912</v>
      </c>
      <c r="P63" s="6" t="s">
        <v>911</v>
      </c>
      <c r="Q63" s="6" t="s">
        <v>537</v>
      </c>
      <c r="AC63" s="19" t="str">
        <f ca="1">HYPERLINK("#"&amp;단가산출근거목록표!J2&amp;"!A"&amp;ROW(단가산출근거목록표!A25),"산근   22 →")</f>
        <v>산근   22 →</v>
      </c>
    </row>
    <row r="64" spans="1:29" ht="30.6" customHeight="1" x14ac:dyDescent="0.3">
      <c r="A64" s="9"/>
      <c r="B64" s="9" t="s">
        <v>250</v>
      </c>
      <c r="C64" s="44" t="s">
        <v>247</v>
      </c>
      <c r="D64" s="46">
        <v>42</v>
      </c>
      <c r="E64" s="24" t="s">
        <v>14</v>
      </c>
      <c r="F64" s="53">
        <f t="shared" si="8"/>
        <v>19453</v>
      </c>
      <c r="G64" s="55">
        <f t="shared" si="8"/>
        <v>817026</v>
      </c>
      <c r="H64" s="57">
        <f>단가산출근거목록표!F26</f>
        <v>0</v>
      </c>
      <c r="I64" s="12">
        <f t="shared" si="9"/>
        <v>0</v>
      </c>
      <c r="J64" s="60">
        <f>단가산출근거목록표!G26</f>
        <v>0</v>
      </c>
      <c r="K64" s="12">
        <f t="shared" si="10"/>
        <v>0</v>
      </c>
      <c r="L64" s="53">
        <f>단가산출근거목록표!H26</f>
        <v>19453</v>
      </c>
      <c r="M64" s="23">
        <f t="shared" si="11"/>
        <v>817026</v>
      </c>
      <c r="N64" s="24" t="s">
        <v>916</v>
      </c>
      <c r="O64" s="16" t="s">
        <v>915</v>
      </c>
      <c r="P64" s="6" t="s">
        <v>914</v>
      </c>
      <c r="Q64" s="6" t="s">
        <v>537</v>
      </c>
      <c r="AC64" s="19" t="str">
        <f ca="1">HYPERLINK("#"&amp;단가산출근거목록표!J2&amp;"!A"&amp;ROW(단가산출근거목록표!A26),"산근   23 →")</f>
        <v>산근   23 →</v>
      </c>
    </row>
    <row r="65" spans="1:29" ht="30.6" customHeight="1" x14ac:dyDescent="0.3">
      <c r="A65" s="9"/>
      <c r="B65" s="9" t="s">
        <v>227</v>
      </c>
      <c r="C65" s="44" t="s">
        <v>228</v>
      </c>
      <c r="D65" s="46">
        <v>243</v>
      </c>
      <c r="E65" s="24" t="s">
        <v>229</v>
      </c>
      <c r="F65" s="53">
        <f t="shared" si="8"/>
        <v>35460</v>
      </c>
      <c r="G65" s="55">
        <f t="shared" si="8"/>
        <v>8616780</v>
      </c>
      <c r="H65" s="57">
        <f>단가산출근거목록표!F20</f>
        <v>0</v>
      </c>
      <c r="I65" s="12">
        <f t="shared" si="9"/>
        <v>0</v>
      </c>
      <c r="J65" s="60">
        <f>단가산출근거목록표!G20</f>
        <v>0</v>
      </c>
      <c r="K65" s="12">
        <f t="shared" si="10"/>
        <v>0</v>
      </c>
      <c r="L65" s="53">
        <f>단가산출근거목록표!H20</f>
        <v>35460</v>
      </c>
      <c r="M65" s="23">
        <f t="shared" si="11"/>
        <v>8616780</v>
      </c>
      <c r="N65" s="24" t="s">
        <v>919</v>
      </c>
      <c r="O65" s="16" t="s">
        <v>918</v>
      </c>
      <c r="P65" s="6" t="s">
        <v>917</v>
      </c>
      <c r="Q65" s="6" t="s">
        <v>537</v>
      </c>
      <c r="AC65" s="19" t="str">
        <f ca="1">HYPERLINK("#"&amp;단가산출근거목록표!J2&amp;"!A"&amp;ROW(단가산출근거목록표!A20),"산근   17 →")</f>
        <v>산근   17 →</v>
      </c>
    </row>
    <row r="66" spans="1:29" ht="30.6" customHeight="1" x14ac:dyDescent="0.3">
      <c r="A66" s="9"/>
      <c r="B66" s="9" t="s">
        <v>253</v>
      </c>
      <c r="C66" s="44" t="s">
        <v>242</v>
      </c>
      <c r="D66" s="46">
        <v>546</v>
      </c>
      <c r="E66" s="24" t="s">
        <v>243</v>
      </c>
      <c r="F66" s="53">
        <f t="shared" si="8"/>
        <v>2499</v>
      </c>
      <c r="G66" s="55">
        <f t="shared" si="8"/>
        <v>1364454</v>
      </c>
      <c r="H66" s="57">
        <f>단가산출근거목록표!F27</f>
        <v>0</v>
      </c>
      <c r="I66" s="12">
        <f t="shared" si="9"/>
        <v>0</v>
      </c>
      <c r="J66" s="60">
        <f>단가산출근거목록표!G27</f>
        <v>0</v>
      </c>
      <c r="K66" s="12">
        <f t="shared" si="10"/>
        <v>0</v>
      </c>
      <c r="L66" s="53">
        <f>단가산출근거목록표!H27</f>
        <v>2499</v>
      </c>
      <c r="M66" s="23">
        <f t="shared" si="11"/>
        <v>1364454</v>
      </c>
      <c r="N66" s="24" t="s">
        <v>922</v>
      </c>
      <c r="O66" s="16" t="s">
        <v>921</v>
      </c>
      <c r="P66" s="6" t="s">
        <v>920</v>
      </c>
      <c r="Q66" s="6" t="s">
        <v>537</v>
      </c>
      <c r="AC66" s="19" t="str">
        <f ca="1">HYPERLINK("#"&amp;단가산출근거목록표!J2&amp;"!A"&amp;ROW(단가산출근거목록표!A27),"산근   24 →")</f>
        <v>산근   24 →</v>
      </c>
    </row>
    <row r="67" spans="1:29" ht="30.6" customHeight="1" x14ac:dyDescent="0.3">
      <c r="A67" s="9"/>
      <c r="B67" s="9"/>
      <c r="C67" s="44"/>
      <c r="D67" s="45"/>
      <c r="E67" s="24"/>
      <c r="F67" s="10">
        <v>0</v>
      </c>
      <c r="G67" s="49"/>
      <c r="H67" s="58"/>
      <c r="I67" s="58"/>
      <c r="J67" s="58"/>
      <c r="K67" s="58"/>
      <c r="L67" s="58"/>
      <c r="M67" s="52"/>
      <c r="N67" s="24"/>
      <c r="O67" s="16" t="s">
        <v>793</v>
      </c>
      <c r="P67" s="6" t="s">
        <v>540</v>
      </c>
      <c r="Q67" s="6" t="s">
        <v>554</v>
      </c>
    </row>
    <row r="68" spans="1:29" ht="30.6" customHeight="1" x14ac:dyDescent="0.3">
      <c r="A68" s="41" t="s">
        <v>923</v>
      </c>
      <c r="B68" s="41" t="s">
        <v>924</v>
      </c>
      <c r="C68" s="43"/>
      <c r="D68" s="45"/>
      <c r="E68" s="24"/>
      <c r="F68" s="10">
        <v>0</v>
      </c>
      <c r="G68" s="54">
        <f>SUMIF(Q69:Q72,P68,G69:G72)</f>
        <v>15348000</v>
      </c>
      <c r="H68" s="12">
        <v>0</v>
      </c>
      <c r="I68" s="55">
        <f>SUMIF(Q69:Q72,P68,I69:I72)</f>
        <v>0</v>
      </c>
      <c r="J68" s="12">
        <v>0</v>
      </c>
      <c r="K68" s="61">
        <f>SUMIF(Q69:Q72,P68,K69:K72)</f>
        <v>15348000</v>
      </c>
      <c r="L68" s="23">
        <v>0</v>
      </c>
      <c r="M68" s="61">
        <f>SUMIF(Q69:Q72,P68,M69:M72)</f>
        <v>0</v>
      </c>
      <c r="N68" s="24"/>
      <c r="O68" s="36" t="str">
        <f>"_x0007_`COD|E3_x0005_`QTY1|1_x0005_`EXI|0_x0005_`ITT|0_x0005_`END|"&amp;ROW(M73)&amp;"_x0005_`"</f>
        <v>_x0007_`COD|E3_x0005_`QTY1|1_x0005_`EXI|0_x0005_`ITT|0_x0005_`END|73_x0005_`</v>
      </c>
      <c r="P68" s="6" t="s">
        <v>537</v>
      </c>
      <c r="Q68" s="6" t="s">
        <v>554</v>
      </c>
    </row>
    <row r="69" spans="1:29" ht="30.6" customHeight="1" x14ac:dyDescent="0.3">
      <c r="A69" s="9"/>
      <c r="B69" s="9" t="s">
        <v>543</v>
      </c>
      <c r="C69" s="44" t="s">
        <v>536</v>
      </c>
      <c r="D69" s="46">
        <v>36</v>
      </c>
      <c r="E69" s="24" t="s">
        <v>442</v>
      </c>
      <c r="F69" s="53">
        <f t="shared" ref="F69:G72" si="12">J69+H69+L69</f>
        <v>29000</v>
      </c>
      <c r="G69" s="55">
        <f t="shared" si="12"/>
        <v>1044000</v>
      </c>
      <c r="H69" s="59">
        <v>0</v>
      </c>
      <c r="I69" s="23">
        <f>ROUNDDOWN(H69*D69,0)</f>
        <v>0</v>
      </c>
      <c r="J69" s="60">
        <f>재료비목록표!E27</f>
        <v>29000</v>
      </c>
      <c r="K69" s="12">
        <f>ROUNDDOWN(J69*D69,0)</f>
        <v>1044000</v>
      </c>
      <c r="L69" s="62">
        <v>0</v>
      </c>
      <c r="M69" s="23">
        <f>ROUNDDOWN(L69*D69,0)</f>
        <v>0</v>
      </c>
      <c r="N69" s="24" t="s">
        <v>927</v>
      </c>
      <c r="O69" s="16" t="s">
        <v>926</v>
      </c>
      <c r="P69" s="6" t="s">
        <v>925</v>
      </c>
      <c r="Q69" s="6" t="s">
        <v>537</v>
      </c>
      <c r="AC69" s="19" t="str">
        <f ca="1">HYPERLINK("#"&amp;재료비목록표!G2&amp;"!A"&amp;ROW(재료비목록표!A27),"자재   24 →")</f>
        <v>자재   24 →</v>
      </c>
    </row>
    <row r="70" spans="1:29" ht="30.6" customHeight="1" x14ac:dyDescent="0.3">
      <c r="A70" s="9"/>
      <c r="B70" s="9" t="s">
        <v>535</v>
      </c>
      <c r="C70" s="44" t="s">
        <v>536</v>
      </c>
      <c r="D70" s="46">
        <v>42</v>
      </c>
      <c r="E70" s="24" t="s">
        <v>442</v>
      </c>
      <c r="F70" s="53">
        <f t="shared" si="12"/>
        <v>21000</v>
      </c>
      <c r="G70" s="55">
        <f t="shared" si="12"/>
        <v>882000</v>
      </c>
      <c r="H70" s="59">
        <v>0</v>
      </c>
      <c r="I70" s="23">
        <f>ROUNDDOWN(H70*D70,0)</f>
        <v>0</v>
      </c>
      <c r="J70" s="60">
        <f>재료비목록표!E25</f>
        <v>21000</v>
      </c>
      <c r="K70" s="12">
        <f>ROUNDDOWN(J70*D70,0)</f>
        <v>882000</v>
      </c>
      <c r="L70" s="62">
        <v>0</v>
      </c>
      <c r="M70" s="23">
        <f>ROUNDDOWN(L70*D70,0)</f>
        <v>0</v>
      </c>
      <c r="N70" s="24" t="s">
        <v>930</v>
      </c>
      <c r="O70" s="16" t="s">
        <v>929</v>
      </c>
      <c r="P70" s="6" t="s">
        <v>928</v>
      </c>
      <c r="Q70" s="6" t="s">
        <v>537</v>
      </c>
      <c r="AC70" s="19" t="str">
        <f ca="1">HYPERLINK("#"&amp;재료비목록표!G2&amp;"!A"&amp;ROW(재료비목록표!A25),"자재   22 →")</f>
        <v>자재   22 →</v>
      </c>
    </row>
    <row r="71" spans="1:29" ht="30.6" customHeight="1" x14ac:dyDescent="0.3">
      <c r="A71" s="9"/>
      <c r="B71" s="9" t="s">
        <v>547</v>
      </c>
      <c r="C71" s="44" t="s">
        <v>567</v>
      </c>
      <c r="D71" s="46">
        <v>243</v>
      </c>
      <c r="E71" s="24" t="s">
        <v>229</v>
      </c>
      <c r="F71" s="53">
        <f t="shared" si="12"/>
        <v>44000</v>
      </c>
      <c r="G71" s="55">
        <f t="shared" si="12"/>
        <v>10692000</v>
      </c>
      <c r="H71" s="59">
        <v>0</v>
      </c>
      <c r="I71" s="23">
        <f>ROUNDDOWN(H71*D71,0)</f>
        <v>0</v>
      </c>
      <c r="J71" s="60">
        <f>재료비목록표!E32</f>
        <v>44000</v>
      </c>
      <c r="K71" s="12">
        <f>ROUNDDOWN(J71*D71,0)</f>
        <v>10692000</v>
      </c>
      <c r="L71" s="62">
        <v>0</v>
      </c>
      <c r="M71" s="23">
        <f>ROUNDDOWN(L71*D71,0)</f>
        <v>0</v>
      </c>
      <c r="N71" s="24" t="s">
        <v>933</v>
      </c>
      <c r="O71" s="16" t="s">
        <v>932</v>
      </c>
      <c r="P71" s="6" t="s">
        <v>931</v>
      </c>
      <c r="Q71" s="6" t="s">
        <v>537</v>
      </c>
      <c r="AC71" s="19" t="str">
        <f ca="1">HYPERLINK("#"&amp;재료비목록표!G2&amp;"!A"&amp;ROW(재료비목록표!A32),"자재   29 →")</f>
        <v>자재   29 →</v>
      </c>
    </row>
    <row r="72" spans="1:29" ht="30.6" customHeight="1" x14ac:dyDescent="0.3">
      <c r="A72" s="9"/>
      <c r="B72" s="9" t="s">
        <v>530</v>
      </c>
      <c r="C72" s="44" t="s">
        <v>531</v>
      </c>
      <c r="D72" s="46">
        <v>546</v>
      </c>
      <c r="E72" s="24" t="s">
        <v>243</v>
      </c>
      <c r="F72" s="53">
        <f t="shared" si="12"/>
        <v>5000</v>
      </c>
      <c r="G72" s="55">
        <f t="shared" si="12"/>
        <v>2730000</v>
      </c>
      <c r="H72" s="59">
        <v>0</v>
      </c>
      <c r="I72" s="23">
        <f>ROUNDDOWN(H72*D72,0)</f>
        <v>0</v>
      </c>
      <c r="J72" s="60">
        <f>재료비목록표!E24</f>
        <v>5000</v>
      </c>
      <c r="K72" s="12">
        <f>ROUNDDOWN(J72*D72,0)</f>
        <v>2730000</v>
      </c>
      <c r="L72" s="62">
        <v>0</v>
      </c>
      <c r="M72" s="23">
        <f>ROUNDDOWN(L72*D72,0)</f>
        <v>0</v>
      </c>
      <c r="N72" s="24" t="s">
        <v>936</v>
      </c>
      <c r="O72" s="16" t="s">
        <v>935</v>
      </c>
      <c r="P72" s="6" t="s">
        <v>934</v>
      </c>
      <c r="Q72" s="6" t="s">
        <v>537</v>
      </c>
      <c r="AC72" s="19" t="str">
        <f ca="1">HYPERLINK("#"&amp;재료비목록표!G2&amp;"!A"&amp;ROW(재료비목록표!A24),"자재   21 →")</f>
        <v>자재   21 →</v>
      </c>
    </row>
    <row r="73" spans="1:29" ht="30.6" customHeight="1" x14ac:dyDescent="0.3">
      <c r="A73" s="9"/>
      <c r="B73" s="9"/>
      <c r="C73" s="44"/>
      <c r="D73" s="45"/>
      <c r="E73" s="24"/>
      <c r="F73" s="10">
        <v>0</v>
      </c>
      <c r="G73" s="49"/>
      <c r="H73" s="58"/>
      <c r="I73" s="58"/>
      <c r="J73" s="58"/>
      <c r="K73" s="58"/>
      <c r="L73" s="58"/>
      <c r="M73" s="52"/>
      <c r="N73" s="24"/>
      <c r="O73" s="16" t="s">
        <v>586</v>
      </c>
      <c r="P73" s="6" t="s">
        <v>540</v>
      </c>
      <c r="Q73" s="6" t="s">
        <v>581</v>
      </c>
    </row>
    <row r="74" spans="1:29" ht="30.6" customHeight="1" x14ac:dyDescent="0.3">
      <c r="A74" s="9"/>
      <c r="B74" s="9"/>
      <c r="C74" s="9"/>
      <c r="D74" s="47"/>
      <c r="E74" s="33"/>
      <c r="F74" s="50"/>
      <c r="G74" s="50"/>
      <c r="H74" s="50"/>
      <c r="I74" s="50"/>
      <c r="J74" s="50"/>
      <c r="K74" s="50"/>
      <c r="L74" s="50"/>
      <c r="M74" s="50"/>
      <c r="N74" s="24"/>
    </row>
    <row r="75" spans="1:29" ht="30.6" customHeight="1" x14ac:dyDescent="0.3">
      <c r="A75" s="9"/>
      <c r="B75" s="9"/>
      <c r="C75" s="9"/>
      <c r="D75" s="47"/>
      <c r="E75" s="33"/>
      <c r="F75" s="50"/>
      <c r="G75" s="50"/>
      <c r="H75" s="50"/>
      <c r="I75" s="50"/>
      <c r="J75" s="50"/>
      <c r="K75" s="50"/>
      <c r="L75" s="50"/>
      <c r="M75" s="50"/>
      <c r="N75" s="24"/>
    </row>
    <row r="76" spans="1:29" ht="30.6" customHeight="1" x14ac:dyDescent="0.3">
      <c r="A76" s="9"/>
      <c r="B76" s="9"/>
      <c r="C76" s="9"/>
      <c r="D76" s="47"/>
      <c r="E76" s="33"/>
      <c r="F76" s="50"/>
      <c r="G76" s="50"/>
      <c r="H76" s="50"/>
      <c r="I76" s="50"/>
      <c r="J76" s="50"/>
      <c r="K76" s="50"/>
      <c r="L76" s="50"/>
      <c r="M76" s="50"/>
      <c r="N76" s="24"/>
    </row>
    <row r="77" spans="1:29" ht="30.6" customHeight="1" x14ac:dyDescent="0.3">
      <c r="A77" s="9"/>
      <c r="B77" s="9"/>
      <c r="C77" s="9"/>
      <c r="D77" s="47"/>
      <c r="E77" s="33"/>
      <c r="F77" s="50"/>
      <c r="G77" s="50"/>
      <c r="H77" s="50"/>
      <c r="I77" s="50"/>
      <c r="J77" s="50"/>
      <c r="K77" s="50"/>
      <c r="L77" s="50"/>
      <c r="M77" s="50"/>
      <c r="N77" s="24"/>
    </row>
    <row r="78" spans="1:29" ht="30.6" customHeight="1" x14ac:dyDescent="0.3">
      <c r="A78" s="9"/>
      <c r="B78" s="9"/>
      <c r="C78" s="9"/>
      <c r="D78" s="47"/>
      <c r="E78" s="33"/>
      <c r="F78" s="50"/>
      <c r="G78" s="50"/>
      <c r="H78" s="50"/>
      <c r="I78" s="50"/>
      <c r="J78" s="50"/>
      <c r="K78" s="50"/>
      <c r="L78" s="50"/>
      <c r="M78" s="50"/>
      <c r="N78" s="24"/>
    </row>
    <row r="79" spans="1:29" ht="30.6" customHeight="1" x14ac:dyDescent="0.3">
      <c r="A79" s="9"/>
      <c r="B79" s="9"/>
      <c r="C79" s="9"/>
      <c r="D79" s="47"/>
      <c r="E79" s="33"/>
      <c r="F79" s="50"/>
      <c r="G79" s="50"/>
      <c r="H79" s="50"/>
      <c r="I79" s="50"/>
      <c r="J79" s="50"/>
      <c r="K79" s="50"/>
      <c r="L79" s="50"/>
      <c r="M79" s="50"/>
      <c r="N79" s="24"/>
    </row>
    <row r="80" spans="1:29" ht="30.6" customHeight="1" x14ac:dyDescent="0.3">
      <c r="A80" s="9"/>
      <c r="B80" s="9"/>
      <c r="C80" s="9"/>
      <c r="D80" s="47"/>
      <c r="E80" s="33"/>
      <c r="F80" s="50"/>
      <c r="G80" s="50"/>
      <c r="H80" s="50"/>
      <c r="I80" s="50"/>
      <c r="J80" s="50"/>
      <c r="K80" s="50"/>
      <c r="L80" s="50"/>
      <c r="M80" s="50"/>
      <c r="N80" s="24"/>
    </row>
    <row r="81" spans="1:29" ht="30.6" customHeight="1" x14ac:dyDescent="0.3">
      <c r="A81" s="9"/>
      <c r="B81" s="9"/>
      <c r="C81" s="9"/>
      <c r="D81" s="47"/>
      <c r="E81" s="33"/>
      <c r="F81" s="50"/>
      <c r="G81" s="50"/>
      <c r="H81" s="50"/>
      <c r="I81" s="50"/>
      <c r="J81" s="50"/>
      <c r="K81" s="50"/>
      <c r="L81" s="50"/>
      <c r="M81" s="50"/>
      <c r="N81" s="24"/>
    </row>
    <row r="82" spans="1:29" ht="30.6" customHeight="1" x14ac:dyDescent="0.3">
      <c r="A82" s="9"/>
      <c r="B82" s="9"/>
      <c r="C82" s="9"/>
      <c r="D82" s="47"/>
      <c r="E82" s="33"/>
      <c r="F82" s="50"/>
      <c r="G82" s="50"/>
      <c r="H82" s="50"/>
      <c r="I82" s="50"/>
      <c r="J82" s="50"/>
      <c r="K82" s="50"/>
      <c r="L82" s="50"/>
      <c r="M82" s="50"/>
      <c r="N82" s="24"/>
    </row>
    <row r="83" spans="1:29" ht="30.6" customHeight="1" x14ac:dyDescent="0.3">
      <c r="A83" s="9"/>
      <c r="B83" s="9"/>
      <c r="C83" s="9"/>
      <c r="D83" s="47"/>
      <c r="E83" s="33"/>
      <c r="F83" s="50"/>
      <c r="G83" s="50"/>
      <c r="H83" s="50"/>
      <c r="I83" s="50"/>
      <c r="J83" s="50"/>
      <c r="K83" s="50"/>
      <c r="L83" s="50"/>
      <c r="M83" s="50"/>
      <c r="N83" s="24"/>
    </row>
    <row r="84" spans="1:29" ht="30.6" customHeight="1" x14ac:dyDescent="0.3">
      <c r="A84" s="9"/>
      <c r="B84" s="9"/>
      <c r="C84" s="9"/>
      <c r="D84" s="47"/>
      <c r="E84" s="33"/>
      <c r="F84" s="50"/>
      <c r="G84" s="50"/>
      <c r="H84" s="50"/>
      <c r="I84" s="50"/>
      <c r="J84" s="50"/>
      <c r="K84" s="50"/>
      <c r="L84" s="50"/>
      <c r="M84" s="50"/>
      <c r="N84" s="24"/>
    </row>
    <row r="85" spans="1:29" ht="30.6" customHeight="1" x14ac:dyDescent="0.3">
      <c r="A85" s="41" t="s">
        <v>577</v>
      </c>
      <c r="B85" s="41" t="s">
        <v>937</v>
      </c>
      <c r="C85" s="43" t="s">
        <v>564</v>
      </c>
      <c r="D85" s="45"/>
      <c r="E85" s="24"/>
      <c r="F85" s="10">
        <v>0</v>
      </c>
      <c r="G85" s="54">
        <f>SUMIF(Q86:Q149,P85,G86:G149)</f>
        <v>201184151</v>
      </c>
      <c r="H85" s="12">
        <v>0</v>
      </c>
      <c r="I85" s="55">
        <f>SUMIF(Q86:Q149,P85,I86:I149)</f>
        <v>110780774</v>
      </c>
      <c r="J85" s="12">
        <v>0</v>
      </c>
      <c r="K85" s="61">
        <f>SUMIF(Q86:Q149,P85,K86:K149)</f>
        <v>43324421</v>
      </c>
      <c r="L85" s="23">
        <v>0</v>
      </c>
      <c r="M85" s="61">
        <f>SUMIF(Q86:Q149,P85,M86:M149)</f>
        <v>47078956</v>
      </c>
      <c r="N85" s="24"/>
      <c r="O85" s="36" t="str">
        <f>"_x0007_`COD|E4_x0005_`QTY1|1_x0005_`EXI|0_x0005_`ITT|0_x0005_`END|"&amp;ROW(M150)&amp;"_x0005_`"</f>
        <v>_x0007_`COD|E4_x0005_`QTY1|1_x0005_`EXI|0_x0005_`ITT|0_x0005_`END|150_x0005_`</v>
      </c>
      <c r="P85" s="6" t="s">
        <v>554</v>
      </c>
      <c r="Q85" s="6" t="s">
        <v>581</v>
      </c>
    </row>
    <row r="86" spans="1:29" ht="30.6" customHeight="1" x14ac:dyDescent="0.3">
      <c r="A86" s="41" t="s">
        <v>549</v>
      </c>
      <c r="B86" s="41" t="s">
        <v>544</v>
      </c>
      <c r="C86" s="43"/>
      <c r="D86" s="45"/>
      <c r="E86" s="24"/>
      <c r="F86" s="10">
        <v>0</v>
      </c>
      <c r="G86" s="54">
        <f>SUMIF(Q87:Q116,P86,G87:G116)</f>
        <v>147181557</v>
      </c>
      <c r="H86" s="12">
        <v>0</v>
      </c>
      <c r="I86" s="55">
        <f>SUMIF(Q87:Q116,P86,I87:I116)</f>
        <v>77129293</v>
      </c>
      <c r="J86" s="12">
        <v>0</v>
      </c>
      <c r="K86" s="61">
        <f>SUMIF(Q87:Q116,P86,K87:K116)</f>
        <v>33254810</v>
      </c>
      <c r="L86" s="23">
        <v>0</v>
      </c>
      <c r="M86" s="61">
        <f>SUMIF(Q87:Q116,P86,M87:M116)</f>
        <v>36797454</v>
      </c>
      <c r="N86" s="24"/>
      <c r="O86" s="36" t="str">
        <f>"_x0007_`COD|E3_x0005_`QTY1|1_x0005_`EXI|0_x0005_`ITT|0_x0005_`END|"&amp;ROW(M117)&amp;"_x0005_`"</f>
        <v>_x0007_`COD|E3_x0005_`QTY1|1_x0005_`EXI|0_x0005_`ITT|0_x0005_`END|117_x0005_`</v>
      </c>
      <c r="P86" s="6" t="s">
        <v>537</v>
      </c>
      <c r="Q86" s="6" t="s">
        <v>554</v>
      </c>
    </row>
    <row r="87" spans="1:29" ht="30.6" customHeight="1" x14ac:dyDescent="0.3">
      <c r="A87" s="41" t="s">
        <v>532</v>
      </c>
      <c r="B87" s="41" t="s">
        <v>527</v>
      </c>
      <c r="C87" s="43"/>
      <c r="D87" s="45"/>
      <c r="E87" s="24"/>
      <c r="F87" s="10">
        <v>0</v>
      </c>
      <c r="G87" s="54">
        <f>SUMIF(Q88:Q90,P87,G88:G90)</f>
        <v>3275488</v>
      </c>
      <c r="H87" s="12">
        <v>0</v>
      </c>
      <c r="I87" s="55">
        <f>SUMIF(Q88:Q90,P87,I88:I90)</f>
        <v>2259184</v>
      </c>
      <c r="J87" s="12">
        <v>0</v>
      </c>
      <c r="K87" s="61">
        <f>SUMIF(Q88:Q90,P87,K88:K90)</f>
        <v>545862</v>
      </c>
      <c r="L87" s="23">
        <v>0</v>
      </c>
      <c r="M87" s="61">
        <f>SUMIF(Q88:Q90,P87,M88:M90)</f>
        <v>470442</v>
      </c>
      <c r="N87" s="24"/>
      <c r="O87" s="36" t="str">
        <f>"_x0007_`COD|E2_x0005_`QTY1|1_x0005_`EXI|0_x0005_`ITT|0_x0005_`END|"&amp;ROW(M91)&amp;"_x0005_`"</f>
        <v>_x0007_`COD|E2_x0005_`QTY1|1_x0005_`EXI|0_x0005_`ITT|0_x0005_`END|91_x0005_`</v>
      </c>
      <c r="P87" s="6" t="s">
        <v>515</v>
      </c>
      <c r="Q87" s="6" t="s">
        <v>537</v>
      </c>
    </row>
    <row r="88" spans="1:29" ht="30.6" customHeight="1" x14ac:dyDescent="0.3">
      <c r="A88" s="9"/>
      <c r="B88" s="9" t="s">
        <v>34</v>
      </c>
      <c r="C88" s="44" t="s">
        <v>35</v>
      </c>
      <c r="D88" s="46">
        <v>10</v>
      </c>
      <c r="E88" s="24" t="s">
        <v>36</v>
      </c>
      <c r="F88" s="53">
        <f t="shared" ref="F88:G90" si="13">J88+H88+L88</f>
        <v>25821</v>
      </c>
      <c r="G88" s="55">
        <f t="shared" si="13"/>
        <v>258210</v>
      </c>
      <c r="H88" s="57">
        <f>일위대가목록표!F8</f>
        <v>21936</v>
      </c>
      <c r="I88" s="12">
        <f>ROUNDDOWN(H88*D88,0)</f>
        <v>219360</v>
      </c>
      <c r="J88" s="60">
        <f>일위대가목록표!G8</f>
        <v>3885</v>
      </c>
      <c r="K88" s="12">
        <f>ROUNDDOWN(J88*D88,0)</f>
        <v>38850</v>
      </c>
      <c r="L88" s="53">
        <f>일위대가목록표!H8</f>
        <v>0</v>
      </c>
      <c r="M88" s="23">
        <f>ROUNDDOWN(L88*D88,0)</f>
        <v>0</v>
      </c>
      <c r="N88" s="24" t="s">
        <v>495</v>
      </c>
      <c r="O88" s="16" t="s">
        <v>510</v>
      </c>
      <c r="P88" s="6" t="s">
        <v>519</v>
      </c>
      <c r="Q88" s="6" t="s">
        <v>515</v>
      </c>
      <c r="AC88" s="19" t="str">
        <f ca="1">HYPERLINK("#"&amp;일위대가목록표!J2&amp;"!A"&amp;ROW(일위대가목록표!A8),"대가    5 →")</f>
        <v>대가    5 →</v>
      </c>
    </row>
    <row r="89" spans="1:29" ht="30.6" customHeight="1" x14ac:dyDescent="0.3">
      <c r="A89" s="9"/>
      <c r="B89" s="9" t="s">
        <v>34</v>
      </c>
      <c r="C89" s="44" t="s">
        <v>51</v>
      </c>
      <c r="D89" s="46">
        <v>20</v>
      </c>
      <c r="E89" s="24" t="s">
        <v>36</v>
      </c>
      <c r="F89" s="53">
        <f t="shared" si="13"/>
        <v>39974</v>
      </c>
      <c r="G89" s="55">
        <f t="shared" si="13"/>
        <v>799480</v>
      </c>
      <c r="H89" s="57">
        <f>일위대가목록표!F11</f>
        <v>33032</v>
      </c>
      <c r="I89" s="12">
        <f>ROUNDDOWN(H89*D89,0)</f>
        <v>660640</v>
      </c>
      <c r="J89" s="60">
        <f>일위대가목록표!G11</f>
        <v>6942</v>
      </c>
      <c r="K89" s="12">
        <f>ROUNDDOWN(J89*D89,0)</f>
        <v>138840</v>
      </c>
      <c r="L89" s="53">
        <f>일위대가목록표!H11</f>
        <v>0</v>
      </c>
      <c r="M89" s="23">
        <f>ROUNDDOWN(L89*D89,0)</f>
        <v>0</v>
      </c>
      <c r="N89" s="24" t="s">
        <v>481</v>
      </c>
      <c r="O89" s="16" t="s">
        <v>486</v>
      </c>
      <c r="P89" s="6" t="s">
        <v>491</v>
      </c>
      <c r="Q89" s="6" t="s">
        <v>515</v>
      </c>
      <c r="AC89" s="19" t="str">
        <f ca="1">HYPERLINK("#"&amp;일위대가목록표!J2&amp;"!A"&amp;ROW(일위대가목록표!A11),"대가    8 →")</f>
        <v>대가    8 →</v>
      </c>
    </row>
    <row r="90" spans="1:29" ht="30.6" customHeight="1" x14ac:dyDescent="0.3">
      <c r="A90" s="9"/>
      <c r="B90" s="9" t="s">
        <v>67</v>
      </c>
      <c r="C90" s="44" t="s">
        <v>68</v>
      </c>
      <c r="D90" s="46">
        <v>2922</v>
      </c>
      <c r="E90" s="24" t="s">
        <v>42</v>
      </c>
      <c r="F90" s="53">
        <f t="shared" si="13"/>
        <v>759</v>
      </c>
      <c r="G90" s="55">
        <f t="shared" si="13"/>
        <v>2217798</v>
      </c>
      <c r="H90" s="57">
        <f>일위대가목록표!F15</f>
        <v>472</v>
      </c>
      <c r="I90" s="12">
        <f>ROUNDDOWN(H90*D90,0)</f>
        <v>1379184</v>
      </c>
      <c r="J90" s="60">
        <f>일위대가목록표!G15</f>
        <v>126</v>
      </c>
      <c r="K90" s="12">
        <f>ROUNDDOWN(J90*D90,0)</f>
        <v>368172</v>
      </c>
      <c r="L90" s="53">
        <f>일위대가목록표!H15</f>
        <v>161</v>
      </c>
      <c r="M90" s="23">
        <f>ROUNDDOWN(L90*D90,0)</f>
        <v>470442</v>
      </c>
      <c r="N90" s="24" t="s">
        <v>792</v>
      </c>
      <c r="O90" s="16" t="s">
        <v>791</v>
      </c>
      <c r="P90" s="6" t="s">
        <v>475</v>
      </c>
      <c r="Q90" s="6" t="s">
        <v>515</v>
      </c>
      <c r="AC90" s="19" t="str">
        <f ca="1">HYPERLINK("#"&amp;일위대가목록표!J2&amp;"!A"&amp;ROW(일위대가목록표!A15),"대가   12 →")</f>
        <v>대가   12 →</v>
      </c>
    </row>
    <row r="91" spans="1:29" ht="30.6" customHeight="1" x14ac:dyDescent="0.3">
      <c r="A91" s="9"/>
      <c r="B91" s="9"/>
      <c r="C91" s="44"/>
      <c r="D91" s="45"/>
      <c r="E91" s="24"/>
      <c r="F91" s="10">
        <v>0</v>
      </c>
      <c r="G91" s="49"/>
      <c r="H91" s="58"/>
      <c r="I91" s="58"/>
      <c r="J91" s="58"/>
      <c r="K91" s="58"/>
      <c r="L91" s="58"/>
      <c r="M91" s="52"/>
      <c r="N91" s="24"/>
      <c r="O91" s="16" t="s">
        <v>793</v>
      </c>
      <c r="P91" s="6" t="s">
        <v>540</v>
      </c>
      <c r="Q91" s="6" t="s">
        <v>537</v>
      </c>
    </row>
    <row r="92" spans="1:29" ht="30.6" customHeight="1" x14ac:dyDescent="0.3">
      <c r="A92" s="41" t="s">
        <v>796</v>
      </c>
      <c r="B92" s="41" t="s">
        <v>797</v>
      </c>
      <c r="C92" s="43"/>
      <c r="D92" s="45"/>
      <c r="E92" s="24"/>
      <c r="F92" s="10">
        <v>0</v>
      </c>
      <c r="G92" s="54">
        <f>SUMIF(Q93:Q95,P92,G93:G95)</f>
        <v>94713185</v>
      </c>
      <c r="H92" s="12">
        <v>0</v>
      </c>
      <c r="I92" s="55">
        <f>SUMIF(Q93:Q95,P92,I93:I95)</f>
        <v>46557588</v>
      </c>
      <c r="J92" s="12">
        <v>0</v>
      </c>
      <c r="K92" s="61">
        <f>SUMIF(Q93:Q95,P92,K93:K95)</f>
        <v>24443364</v>
      </c>
      <c r="L92" s="23">
        <v>0</v>
      </c>
      <c r="M92" s="61">
        <f>SUMIF(Q93:Q95,P92,M93:M95)</f>
        <v>23712233</v>
      </c>
      <c r="N92" s="24"/>
      <c r="O92" s="36" t="str">
        <f>"_x0007_`COD|E2_x0005_`QTY1|1_x0005_`EXI|0_x0005_`ITT|0_x0005_`END|"&amp;ROW(M96)&amp;"_x0005_`"</f>
        <v>_x0007_`COD|E2_x0005_`QTY1|1_x0005_`EXI|0_x0005_`ITT|0_x0005_`END|96_x0005_`</v>
      </c>
      <c r="P92" s="6" t="s">
        <v>515</v>
      </c>
      <c r="Q92" s="6" t="s">
        <v>537</v>
      </c>
    </row>
    <row r="93" spans="1:29" ht="30.6" customHeight="1" x14ac:dyDescent="0.3">
      <c r="A93" s="9"/>
      <c r="B93" s="9" t="s">
        <v>214</v>
      </c>
      <c r="C93" s="44" t="s">
        <v>201</v>
      </c>
      <c r="D93" s="46">
        <v>8483</v>
      </c>
      <c r="E93" s="24" t="s">
        <v>14</v>
      </c>
      <c r="F93" s="53">
        <f t="shared" ref="F93:G95" si="14">J93+H93+L93</f>
        <v>1939</v>
      </c>
      <c r="G93" s="55">
        <f t="shared" si="14"/>
        <v>16448537</v>
      </c>
      <c r="H93" s="57">
        <f>단가산출근거목록표!F16</f>
        <v>1116</v>
      </c>
      <c r="I93" s="12">
        <f>ROUNDDOWN(H93*D93,0)</f>
        <v>9467028</v>
      </c>
      <c r="J93" s="60">
        <f>단가산출근거목록표!G16</f>
        <v>360</v>
      </c>
      <c r="K93" s="12">
        <f>ROUNDDOWN(J93*D93,0)</f>
        <v>3053880</v>
      </c>
      <c r="L93" s="53">
        <f>단가산출근거목록표!H16</f>
        <v>463</v>
      </c>
      <c r="M93" s="23">
        <f>ROUNDDOWN(L93*D93,0)</f>
        <v>3927629</v>
      </c>
      <c r="N93" s="24" t="s">
        <v>800</v>
      </c>
      <c r="O93" s="16" t="s">
        <v>799</v>
      </c>
      <c r="P93" s="6" t="s">
        <v>798</v>
      </c>
      <c r="Q93" s="6" t="s">
        <v>515</v>
      </c>
      <c r="AC93" s="19" t="str">
        <f ca="1">HYPERLINK("#"&amp;단가산출근거목록표!J2&amp;"!A"&amp;ROW(단가산출근거목록표!A16),"산근   13 →")</f>
        <v>산근   13 →</v>
      </c>
    </row>
    <row r="94" spans="1:29" ht="30.6" customHeight="1" x14ac:dyDescent="0.3">
      <c r="A94" s="9"/>
      <c r="B94" s="9" t="s">
        <v>223</v>
      </c>
      <c r="C94" s="44" t="s">
        <v>224</v>
      </c>
      <c r="D94" s="46">
        <v>2229</v>
      </c>
      <c r="E94" s="24" t="s">
        <v>14</v>
      </c>
      <c r="F94" s="53">
        <f t="shared" si="14"/>
        <v>23875</v>
      </c>
      <c r="G94" s="55">
        <f t="shared" si="14"/>
        <v>53217375</v>
      </c>
      <c r="H94" s="57">
        <f>단가산출근거목록표!F19</f>
        <v>12397</v>
      </c>
      <c r="I94" s="12">
        <f>ROUNDDOWN(H94*D94,0)</f>
        <v>27632913</v>
      </c>
      <c r="J94" s="60">
        <f>단가산출근거목록표!G19</f>
        <v>4097</v>
      </c>
      <c r="K94" s="12">
        <f>ROUNDDOWN(J94*D94,0)</f>
        <v>9132213</v>
      </c>
      <c r="L94" s="53">
        <f>단가산출근거목록표!H19</f>
        <v>7381</v>
      </c>
      <c r="M94" s="23">
        <f>ROUNDDOWN(L94*D94,0)</f>
        <v>16452249</v>
      </c>
      <c r="N94" s="24" t="s">
        <v>803</v>
      </c>
      <c r="O94" s="16" t="s">
        <v>802</v>
      </c>
      <c r="P94" s="6" t="s">
        <v>801</v>
      </c>
      <c r="Q94" s="6" t="s">
        <v>515</v>
      </c>
      <c r="AC94" s="19" t="str">
        <f ca="1">HYPERLINK("#"&amp;단가산출근거목록표!J2&amp;"!A"&amp;ROW(단가산출근거목록표!A19),"산근   16 →")</f>
        <v>산근   16 →</v>
      </c>
    </row>
    <row r="95" spans="1:29" ht="30.6" customHeight="1" x14ac:dyDescent="0.3">
      <c r="A95" s="9"/>
      <c r="B95" s="9" t="s">
        <v>168</v>
      </c>
      <c r="C95" s="44" t="s">
        <v>169</v>
      </c>
      <c r="D95" s="46">
        <v>2229</v>
      </c>
      <c r="E95" s="24" t="s">
        <v>14</v>
      </c>
      <c r="F95" s="53">
        <f t="shared" si="14"/>
        <v>11237</v>
      </c>
      <c r="G95" s="55">
        <f t="shared" si="14"/>
        <v>25047273</v>
      </c>
      <c r="H95" s="57">
        <f>단가산출근거목록표!F4</f>
        <v>4243</v>
      </c>
      <c r="I95" s="12">
        <f>ROUNDDOWN(H95*D95,0)</f>
        <v>9457647</v>
      </c>
      <c r="J95" s="60">
        <f>단가산출근거목록표!G4</f>
        <v>5499</v>
      </c>
      <c r="K95" s="12">
        <f>ROUNDDOWN(J95*D95,0)</f>
        <v>12257271</v>
      </c>
      <c r="L95" s="53">
        <f>단가산출근거목록표!H4</f>
        <v>1495</v>
      </c>
      <c r="M95" s="23">
        <f>ROUNDDOWN(L95*D95,0)</f>
        <v>3332355</v>
      </c>
      <c r="N95" s="24" t="s">
        <v>806</v>
      </c>
      <c r="O95" s="16" t="s">
        <v>805</v>
      </c>
      <c r="P95" s="6" t="s">
        <v>804</v>
      </c>
      <c r="Q95" s="6" t="s">
        <v>515</v>
      </c>
      <c r="AC95" s="19" t="str">
        <f ca="1">HYPERLINK("#"&amp;단가산출근거목록표!J2&amp;"!A"&amp;ROW(단가산출근거목록표!A4),"산근    1 →")</f>
        <v>산근    1 →</v>
      </c>
    </row>
    <row r="96" spans="1:29" ht="30.6" customHeight="1" x14ac:dyDescent="0.3">
      <c r="A96" s="9"/>
      <c r="B96" s="9"/>
      <c r="C96" s="44"/>
      <c r="D96" s="45"/>
      <c r="E96" s="24"/>
      <c r="F96" s="10">
        <v>0</v>
      </c>
      <c r="G96" s="49"/>
      <c r="H96" s="58"/>
      <c r="I96" s="58"/>
      <c r="J96" s="58"/>
      <c r="K96" s="58"/>
      <c r="L96" s="58"/>
      <c r="M96" s="52"/>
      <c r="N96" s="24"/>
      <c r="O96" s="16" t="s">
        <v>793</v>
      </c>
      <c r="P96" s="6" t="s">
        <v>540</v>
      </c>
      <c r="Q96" s="6" t="s">
        <v>537</v>
      </c>
    </row>
    <row r="97" spans="1:29" ht="30.6" customHeight="1" x14ac:dyDescent="0.3">
      <c r="A97" s="41" t="s">
        <v>807</v>
      </c>
      <c r="B97" s="41" t="s">
        <v>808</v>
      </c>
      <c r="C97" s="43"/>
      <c r="D97" s="45"/>
      <c r="E97" s="24"/>
      <c r="F97" s="10">
        <v>0</v>
      </c>
      <c r="G97" s="54">
        <f>SUMIF(Q98:Q100,P97,G98:G100)</f>
        <v>8683574</v>
      </c>
      <c r="H97" s="12">
        <v>0</v>
      </c>
      <c r="I97" s="55">
        <f>SUMIF(Q98:Q100,P97,I98:I100)</f>
        <v>4647096</v>
      </c>
      <c r="J97" s="12">
        <v>0</v>
      </c>
      <c r="K97" s="61">
        <f>SUMIF(Q98:Q100,P97,K98:K100)</f>
        <v>1524730</v>
      </c>
      <c r="L97" s="23">
        <v>0</v>
      </c>
      <c r="M97" s="61">
        <f>SUMIF(Q98:Q100,P97,M98:M100)</f>
        <v>2511748</v>
      </c>
      <c r="N97" s="24"/>
      <c r="O97" s="36" t="str">
        <f>"_x0007_`COD|E2_x0005_`QTY1|1_x0005_`EXI|0_x0005_`ITT|0_x0005_`END|"&amp;ROW(M101)&amp;"_x0005_`"</f>
        <v>_x0007_`COD|E2_x0005_`QTY1|1_x0005_`EXI|0_x0005_`ITT|0_x0005_`END|101_x0005_`</v>
      </c>
      <c r="P97" s="6" t="s">
        <v>515</v>
      </c>
      <c r="Q97" s="6" t="s">
        <v>537</v>
      </c>
    </row>
    <row r="98" spans="1:29" ht="30.6" customHeight="1" x14ac:dyDescent="0.3">
      <c r="A98" s="9"/>
      <c r="B98" s="9" t="s">
        <v>217</v>
      </c>
      <c r="C98" s="44" t="s">
        <v>201</v>
      </c>
      <c r="D98" s="46">
        <v>854</v>
      </c>
      <c r="E98" s="24" t="s">
        <v>14</v>
      </c>
      <c r="F98" s="53">
        <f t="shared" ref="F98:G100" si="15">J98+H98+L98</f>
        <v>1641</v>
      </c>
      <c r="G98" s="55">
        <f t="shared" si="15"/>
        <v>1401414</v>
      </c>
      <c r="H98" s="57">
        <f>단가산출근거목록표!F17</f>
        <v>944</v>
      </c>
      <c r="I98" s="12">
        <f>ROUNDDOWN(H98*D98,0)</f>
        <v>806176</v>
      </c>
      <c r="J98" s="60">
        <f>단가산출근거목록표!G17</f>
        <v>305</v>
      </c>
      <c r="K98" s="12">
        <f>ROUNDDOWN(J98*D98,0)</f>
        <v>260470</v>
      </c>
      <c r="L98" s="53">
        <f>단가산출근거목록표!H17</f>
        <v>392</v>
      </c>
      <c r="M98" s="23">
        <f>ROUNDDOWN(L98*D98,0)</f>
        <v>334768</v>
      </c>
      <c r="N98" s="24" t="s">
        <v>811</v>
      </c>
      <c r="O98" s="16" t="s">
        <v>810</v>
      </c>
      <c r="P98" s="6" t="s">
        <v>809</v>
      </c>
      <c r="Q98" s="6" t="s">
        <v>515</v>
      </c>
      <c r="AC98" s="19" t="str">
        <f ca="1">HYPERLINK("#"&amp;단가산출근거목록표!J2&amp;"!A"&amp;ROW(단가산출근거목록표!A17),"산근   14 →")</f>
        <v>산근   14 →</v>
      </c>
    </row>
    <row r="99" spans="1:29" ht="30.6" customHeight="1" x14ac:dyDescent="0.3">
      <c r="A99" s="9"/>
      <c r="B99" s="9" t="s">
        <v>176</v>
      </c>
      <c r="C99" s="44" t="s">
        <v>177</v>
      </c>
      <c r="D99" s="46">
        <v>180</v>
      </c>
      <c r="E99" s="24" t="s">
        <v>14</v>
      </c>
      <c r="F99" s="53">
        <f t="shared" si="15"/>
        <v>35404</v>
      </c>
      <c r="G99" s="55">
        <f t="shared" si="15"/>
        <v>6372720</v>
      </c>
      <c r="H99" s="57">
        <f>단가산출근거목록표!F6</f>
        <v>18430</v>
      </c>
      <c r="I99" s="12">
        <f>ROUNDDOWN(H99*D99,0)</f>
        <v>3317400</v>
      </c>
      <c r="J99" s="60">
        <f>단가산출근거목록표!G6</f>
        <v>6085</v>
      </c>
      <c r="K99" s="12">
        <f>ROUNDDOWN(J99*D99,0)</f>
        <v>1095300</v>
      </c>
      <c r="L99" s="53">
        <f>단가산출근거목록표!H6</f>
        <v>10889</v>
      </c>
      <c r="M99" s="23">
        <f>ROUNDDOWN(L99*D99,0)</f>
        <v>1960020</v>
      </c>
      <c r="N99" s="24" t="s">
        <v>814</v>
      </c>
      <c r="O99" s="16" t="s">
        <v>813</v>
      </c>
      <c r="P99" s="6" t="s">
        <v>812</v>
      </c>
      <c r="Q99" s="6" t="s">
        <v>515</v>
      </c>
      <c r="AC99" s="19" t="str">
        <f ca="1">HYPERLINK("#"&amp;단가산출근거목록표!J2&amp;"!A"&amp;ROW(단가산출근거목록표!A6),"산근    3 →")</f>
        <v>산근    3 →</v>
      </c>
    </row>
    <row r="100" spans="1:29" ht="30.6" customHeight="1" x14ac:dyDescent="0.3">
      <c r="A100" s="9"/>
      <c r="B100" s="9" t="s">
        <v>220</v>
      </c>
      <c r="C100" s="44" t="s">
        <v>201</v>
      </c>
      <c r="D100" s="46">
        <v>640</v>
      </c>
      <c r="E100" s="24" t="s">
        <v>14</v>
      </c>
      <c r="F100" s="53">
        <f t="shared" si="15"/>
        <v>1421</v>
      </c>
      <c r="G100" s="55">
        <f t="shared" si="15"/>
        <v>909440</v>
      </c>
      <c r="H100" s="57">
        <f>단가산출근거목록표!F18</f>
        <v>818</v>
      </c>
      <c r="I100" s="12">
        <f>ROUNDDOWN(H100*D100,0)</f>
        <v>523520</v>
      </c>
      <c r="J100" s="60">
        <f>단가산출근거목록표!G18</f>
        <v>264</v>
      </c>
      <c r="K100" s="12">
        <f>ROUNDDOWN(J100*D100,0)</f>
        <v>168960</v>
      </c>
      <c r="L100" s="53">
        <f>단가산출근거목록표!H18</f>
        <v>339</v>
      </c>
      <c r="M100" s="23">
        <f>ROUNDDOWN(L100*D100,0)</f>
        <v>216960</v>
      </c>
      <c r="N100" s="24" t="s">
        <v>817</v>
      </c>
      <c r="O100" s="16" t="s">
        <v>816</v>
      </c>
      <c r="P100" s="6" t="s">
        <v>815</v>
      </c>
      <c r="Q100" s="6" t="s">
        <v>515</v>
      </c>
      <c r="AC100" s="19" t="str">
        <f ca="1">HYPERLINK("#"&amp;단가산출근거목록표!J2&amp;"!A"&amp;ROW(단가산출근거목록표!A18),"산근   15 →")</f>
        <v>산근   15 →</v>
      </c>
    </row>
    <row r="101" spans="1:29" ht="30.6" customHeight="1" x14ac:dyDescent="0.3">
      <c r="A101" s="9"/>
      <c r="B101" s="9"/>
      <c r="C101" s="44"/>
      <c r="D101" s="45"/>
      <c r="E101" s="24"/>
      <c r="F101" s="10">
        <v>0</v>
      </c>
      <c r="G101" s="49"/>
      <c r="H101" s="58"/>
      <c r="I101" s="58"/>
      <c r="J101" s="58"/>
      <c r="K101" s="58"/>
      <c r="L101" s="58"/>
      <c r="M101" s="52"/>
      <c r="N101" s="24"/>
      <c r="O101" s="16" t="s">
        <v>793</v>
      </c>
      <c r="P101" s="6" t="s">
        <v>540</v>
      </c>
      <c r="Q101" s="6" t="s">
        <v>537</v>
      </c>
    </row>
    <row r="102" spans="1:29" ht="30.6" customHeight="1" x14ac:dyDescent="0.3">
      <c r="A102" s="41" t="s">
        <v>818</v>
      </c>
      <c r="B102" s="41" t="s">
        <v>819</v>
      </c>
      <c r="C102" s="43"/>
      <c r="D102" s="45"/>
      <c r="E102" s="24"/>
      <c r="F102" s="10">
        <v>0</v>
      </c>
      <c r="G102" s="54">
        <f>SUMIF(Q103:Q104,P102,G103:G104)</f>
        <v>5264678</v>
      </c>
      <c r="H102" s="12">
        <v>0</v>
      </c>
      <c r="I102" s="55">
        <f>SUMIF(Q103:Q104,P102,I103:I104)</f>
        <v>2751747</v>
      </c>
      <c r="J102" s="12">
        <v>0</v>
      </c>
      <c r="K102" s="61">
        <f>SUMIF(Q103:Q104,P102,K103:K104)</f>
        <v>905220</v>
      </c>
      <c r="L102" s="23">
        <v>0</v>
      </c>
      <c r="M102" s="61">
        <f>SUMIF(Q103:Q104,P102,M103:M104)</f>
        <v>1607711</v>
      </c>
      <c r="N102" s="24"/>
      <c r="O102" s="36" t="str">
        <f>"_x0007_`COD|E2_x0005_`QTY1|1_x0005_`EXI|0_x0005_`ITT|0_x0005_`END|"&amp;ROW(M105)&amp;"_x0005_`"</f>
        <v>_x0007_`COD|E2_x0005_`QTY1|1_x0005_`EXI|0_x0005_`ITT|0_x0005_`END|105_x0005_`</v>
      </c>
      <c r="P102" s="6" t="s">
        <v>515</v>
      </c>
      <c r="Q102" s="6" t="s">
        <v>537</v>
      </c>
    </row>
    <row r="103" spans="1:29" ht="30.6" customHeight="1" x14ac:dyDescent="0.3">
      <c r="A103" s="9"/>
      <c r="B103" s="9" t="s">
        <v>172</v>
      </c>
      <c r="C103" s="44" t="s">
        <v>173</v>
      </c>
      <c r="D103" s="46">
        <v>41</v>
      </c>
      <c r="E103" s="24" t="s">
        <v>14</v>
      </c>
      <c r="F103" s="53">
        <f>J103+H103+L103</f>
        <v>2334</v>
      </c>
      <c r="G103" s="55">
        <f>K103+I103+M103</f>
        <v>95694</v>
      </c>
      <c r="H103" s="57">
        <f>단가산출근거목록표!F5</f>
        <v>1487</v>
      </c>
      <c r="I103" s="12">
        <f>ROUNDDOWN(H103*D103,0)</f>
        <v>60967</v>
      </c>
      <c r="J103" s="60">
        <f>단가산출근거목록표!G5</f>
        <v>410</v>
      </c>
      <c r="K103" s="12">
        <f>ROUNDDOWN(J103*D103,0)</f>
        <v>16810</v>
      </c>
      <c r="L103" s="53">
        <f>단가산출근거목록표!H5</f>
        <v>437</v>
      </c>
      <c r="M103" s="23">
        <f>ROUNDDOWN(L103*D103,0)</f>
        <v>17917</v>
      </c>
      <c r="N103" s="24" t="s">
        <v>822</v>
      </c>
      <c r="O103" s="16" t="s">
        <v>821</v>
      </c>
      <c r="P103" s="6" t="s">
        <v>820</v>
      </c>
      <c r="Q103" s="6" t="s">
        <v>515</v>
      </c>
      <c r="AC103" s="19" t="str">
        <f ca="1">HYPERLINK("#"&amp;단가산출근거목록표!J2&amp;"!A"&amp;ROW(단가산출근거목록표!A5),"산근    2 →")</f>
        <v>산근    2 →</v>
      </c>
    </row>
    <row r="104" spans="1:29" ht="30.6" customHeight="1" x14ac:dyDescent="0.3">
      <c r="A104" s="9"/>
      <c r="B104" s="9" t="s">
        <v>211</v>
      </c>
      <c r="C104" s="44" t="s">
        <v>177</v>
      </c>
      <c r="D104" s="46">
        <v>146</v>
      </c>
      <c r="E104" s="24" t="s">
        <v>14</v>
      </c>
      <c r="F104" s="53">
        <f>J104+H104+L104</f>
        <v>35404</v>
      </c>
      <c r="G104" s="55">
        <f>K104+I104+M104</f>
        <v>5168984</v>
      </c>
      <c r="H104" s="57">
        <f>단가산출근거목록표!F15</f>
        <v>18430</v>
      </c>
      <c r="I104" s="12">
        <f>ROUNDDOWN(H104*D104,0)</f>
        <v>2690780</v>
      </c>
      <c r="J104" s="60">
        <f>단가산출근거목록표!G15</f>
        <v>6085</v>
      </c>
      <c r="K104" s="12">
        <f>ROUNDDOWN(J104*D104,0)</f>
        <v>888410</v>
      </c>
      <c r="L104" s="53">
        <f>단가산출근거목록표!H15</f>
        <v>10889</v>
      </c>
      <c r="M104" s="23">
        <f>ROUNDDOWN(L104*D104,0)</f>
        <v>1589794</v>
      </c>
      <c r="N104" s="24" t="s">
        <v>825</v>
      </c>
      <c r="O104" s="16" t="s">
        <v>824</v>
      </c>
      <c r="P104" s="6" t="s">
        <v>823</v>
      </c>
      <c r="Q104" s="6" t="s">
        <v>515</v>
      </c>
      <c r="AC104" s="19" t="str">
        <f ca="1">HYPERLINK("#"&amp;단가산출근거목록표!J2&amp;"!A"&amp;ROW(단가산출근거목록표!A15),"산근   12 →")</f>
        <v>산근   12 →</v>
      </c>
    </row>
    <row r="105" spans="1:29" ht="30.6" customHeight="1" x14ac:dyDescent="0.3">
      <c r="A105" s="9"/>
      <c r="B105" s="9"/>
      <c r="C105" s="44"/>
      <c r="D105" s="45"/>
      <c r="E105" s="24"/>
      <c r="F105" s="10">
        <v>0</v>
      </c>
      <c r="G105" s="49"/>
      <c r="H105" s="58"/>
      <c r="I105" s="58"/>
      <c r="J105" s="58"/>
      <c r="K105" s="58"/>
      <c r="L105" s="58"/>
      <c r="M105" s="52"/>
      <c r="N105" s="24"/>
      <c r="O105" s="16" t="s">
        <v>793</v>
      </c>
      <c r="P105" s="6" t="s">
        <v>540</v>
      </c>
      <c r="Q105" s="6" t="s">
        <v>537</v>
      </c>
    </row>
    <row r="106" spans="1:29" ht="30.6" customHeight="1" x14ac:dyDescent="0.3">
      <c r="A106" s="41" t="s">
        <v>826</v>
      </c>
      <c r="B106" s="41" t="s">
        <v>827</v>
      </c>
      <c r="C106" s="43"/>
      <c r="D106" s="45"/>
      <c r="E106" s="24"/>
      <c r="F106" s="10">
        <v>0</v>
      </c>
      <c r="G106" s="54">
        <f>SUMIF(Q107:Q111,P106,G107:G111)</f>
        <v>26732748</v>
      </c>
      <c r="H106" s="12">
        <v>0</v>
      </c>
      <c r="I106" s="55">
        <f>SUMIF(Q107:Q111,P106,I107:I111)</f>
        <v>15867928</v>
      </c>
      <c r="J106" s="12">
        <v>0</v>
      </c>
      <c r="K106" s="61">
        <f>SUMIF(Q107:Q111,P106,K107:K111)</f>
        <v>4384291</v>
      </c>
      <c r="L106" s="23">
        <v>0</v>
      </c>
      <c r="M106" s="61">
        <f>SUMIF(Q107:Q111,P106,M107:M111)</f>
        <v>6480529</v>
      </c>
      <c r="N106" s="24"/>
      <c r="O106" s="36" t="str">
        <f>"_x0007_`COD|E2_x0005_`QTY1|1_x0005_`EXI|0_x0005_`ITT|0_x0005_`END|"&amp;ROW(M112)&amp;"_x0005_`"</f>
        <v>_x0007_`COD|E2_x0005_`QTY1|1_x0005_`EXI|0_x0005_`ITT|0_x0005_`END|112_x0005_`</v>
      </c>
      <c r="P106" s="6" t="s">
        <v>515</v>
      </c>
      <c r="Q106" s="6" t="s">
        <v>537</v>
      </c>
    </row>
    <row r="107" spans="1:29" ht="30.6" customHeight="1" x14ac:dyDescent="0.3">
      <c r="A107" s="9"/>
      <c r="B107" s="9" t="s">
        <v>196</v>
      </c>
      <c r="C107" s="44" t="s">
        <v>197</v>
      </c>
      <c r="D107" s="46">
        <v>6429</v>
      </c>
      <c r="E107" s="24" t="s">
        <v>14</v>
      </c>
      <c r="F107" s="53">
        <f t="shared" ref="F107:G111" si="16">J107+H107+L107</f>
        <v>0</v>
      </c>
      <c r="G107" s="55">
        <f t="shared" si="16"/>
        <v>0</v>
      </c>
      <c r="H107" s="57">
        <f>단가산출근거목록표!F11</f>
        <v>0</v>
      </c>
      <c r="I107" s="12">
        <f>ROUNDDOWN(H107*D107,0)</f>
        <v>0</v>
      </c>
      <c r="J107" s="60">
        <f>단가산출근거목록표!G11</f>
        <v>0</v>
      </c>
      <c r="K107" s="12">
        <f>ROUNDDOWN(J107*D107,0)</f>
        <v>0</v>
      </c>
      <c r="L107" s="53">
        <f>단가산출근거목록표!H11</f>
        <v>0</v>
      </c>
      <c r="M107" s="23">
        <f>ROUNDDOWN(L107*D107,0)</f>
        <v>0</v>
      </c>
      <c r="N107" s="24" t="s">
        <v>830</v>
      </c>
      <c r="O107" s="16" t="s">
        <v>829</v>
      </c>
      <c r="P107" s="6" t="s">
        <v>828</v>
      </c>
      <c r="Q107" s="6" t="s">
        <v>515</v>
      </c>
      <c r="AC107" s="19" t="str">
        <f ca="1">HYPERLINK("#"&amp;단가산출근거목록표!J2&amp;"!A"&amp;ROW(단가산출근거목록표!A11),"산근    8 →")</f>
        <v>산근    8 →</v>
      </c>
    </row>
    <row r="108" spans="1:29" ht="30.6" customHeight="1" x14ac:dyDescent="0.3">
      <c r="A108" s="9"/>
      <c r="B108" s="9" t="s">
        <v>256</v>
      </c>
      <c r="C108" s="44" t="s">
        <v>317</v>
      </c>
      <c r="D108" s="46">
        <v>1155</v>
      </c>
      <c r="E108" s="24" t="s">
        <v>14</v>
      </c>
      <c r="F108" s="53">
        <f t="shared" si="16"/>
        <v>1851</v>
      </c>
      <c r="G108" s="55">
        <f t="shared" si="16"/>
        <v>2137905</v>
      </c>
      <c r="H108" s="57">
        <f>단가산출근거목록표!F44</f>
        <v>818</v>
      </c>
      <c r="I108" s="12">
        <f>ROUNDDOWN(H108*D108,0)</f>
        <v>944790</v>
      </c>
      <c r="J108" s="60">
        <f>단가산출근거목록표!G44</f>
        <v>542</v>
      </c>
      <c r="K108" s="12">
        <f>ROUNDDOWN(J108*D108,0)</f>
        <v>626010</v>
      </c>
      <c r="L108" s="53">
        <f>단가산출근거목록표!H44</f>
        <v>491</v>
      </c>
      <c r="M108" s="23">
        <f>ROUNDDOWN(L108*D108,0)</f>
        <v>567105</v>
      </c>
      <c r="N108" s="24" t="s">
        <v>944</v>
      </c>
      <c r="O108" s="16" t="s">
        <v>943</v>
      </c>
      <c r="P108" s="6" t="s">
        <v>942</v>
      </c>
      <c r="Q108" s="6" t="s">
        <v>515</v>
      </c>
      <c r="AC108" s="19" t="str">
        <f ca="1">HYPERLINK("#"&amp;단가산출근거목록표!J2&amp;"!A"&amp;ROW(단가산출근거목록표!A44),"산근   41 →")</f>
        <v>산근   41 →</v>
      </c>
    </row>
    <row r="109" spans="1:29" ht="30.6" customHeight="1" x14ac:dyDescent="0.3">
      <c r="A109" s="9"/>
      <c r="B109" s="9" t="s">
        <v>260</v>
      </c>
      <c r="C109" s="44" t="s">
        <v>321</v>
      </c>
      <c r="D109" s="46">
        <v>996</v>
      </c>
      <c r="E109" s="24" t="s">
        <v>14</v>
      </c>
      <c r="F109" s="53">
        <f t="shared" si="16"/>
        <v>2301</v>
      </c>
      <c r="G109" s="55">
        <f t="shared" si="16"/>
        <v>2291796</v>
      </c>
      <c r="H109" s="57">
        <f>단가산출근거목록표!F45</f>
        <v>979</v>
      </c>
      <c r="I109" s="12">
        <f>ROUNDDOWN(H109*D109,0)</f>
        <v>975084</v>
      </c>
      <c r="J109" s="60">
        <f>단가산출근거목록표!G45</f>
        <v>648</v>
      </c>
      <c r="K109" s="12">
        <f>ROUNDDOWN(J109*D109,0)</f>
        <v>645408</v>
      </c>
      <c r="L109" s="53">
        <f>단가산출근거목록표!H45</f>
        <v>674</v>
      </c>
      <c r="M109" s="23">
        <f>ROUNDDOWN(L109*D109,0)</f>
        <v>671304</v>
      </c>
      <c r="N109" s="24" t="s">
        <v>947</v>
      </c>
      <c r="O109" s="16" t="s">
        <v>946</v>
      </c>
      <c r="P109" s="6" t="s">
        <v>945</v>
      </c>
      <c r="Q109" s="6" t="s">
        <v>515</v>
      </c>
      <c r="AC109" s="19" t="str">
        <f ca="1">HYPERLINK("#"&amp;단가산출근거목록표!J2&amp;"!A"&amp;ROW(단가산출근거목록표!A45),"산근   42 →")</f>
        <v>산근   42 →</v>
      </c>
    </row>
    <row r="110" spans="1:29" ht="30.6" customHeight="1" x14ac:dyDescent="0.3">
      <c r="A110" s="9"/>
      <c r="B110" s="9" t="s">
        <v>264</v>
      </c>
      <c r="C110" s="44" t="s">
        <v>325</v>
      </c>
      <c r="D110" s="46">
        <v>1742</v>
      </c>
      <c r="E110" s="24" t="s">
        <v>14</v>
      </c>
      <c r="F110" s="53">
        <f t="shared" si="16"/>
        <v>8068</v>
      </c>
      <c r="G110" s="55">
        <f t="shared" si="16"/>
        <v>14054456</v>
      </c>
      <c r="H110" s="57">
        <f>단가산출근거목록표!F46</f>
        <v>5029</v>
      </c>
      <c r="I110" s="12">
        <f>ROUNDDOWN(H110*D110,0)</f>
        <v>8760518</v>
      </c>
      <c r="J110" s="60">
        <f>단가산출근거목록표!G46</f>
        <v>1139</v>
      </c>
      <c r="K110" s="12">
        <f>ROUNDDOWN(J110*D110,0)</f>
        <v>1984138</v>
      </c>
      <c r="L110" s="53">
        <f>단가산출근거목록표!H46</f>
        <v>1900</v>
      </c>
      <c r="M110" s="23">
        <f>ROUNDDOWN(L110*D110,0)</f>
        <v>3309800</v>
      </c>
      <c r="N110" s="24" t="s">
        <v>950</v>
      </c>
      <c r="O110" s="16" t="s">
        <v>949</v>
      </c>
      <c r="P110" s="6" t="s">
        <v>948</v>
      </c>
      <c r="Q110" s="6" t="s">
        <v>515</v>
      </c>
      <c r="AC110" s="19" t="str">
        <f ca="1">HYPERLINK("#"&amp;단가산출근거목록표!J2&amp;"!A"&amp;ROW(단가산출근거목록표!A46),"산근   43 →")</f>
        <v>산근   43 →</v>
      </c>
    </row>
    <row r="111" spans="1:29" ht="30.6" customHeight="1" x14ac:dyDescent="0.3">
      <c r="A111" s="9"/>
      <c r="B111" s="9" t="s">
        <v>268</v>
      </c>
      <c r="C111" s="44" t="s">
        <v>329</v>
      </c>
      <c r="D111" s="46">
        <v>929</v>
      </c>
      <c r="E111" s="24" t="s">
        <v>14</v>
      </c>
      <c r="F111" s="53">
        <f t="shared" si="16"/>
        <v>8879</v>
      </c>
      <c r="G111" s="55">
        <f t="shared" si="16"/>
        <v>8248591</v>
      </c>
      <c r="H111" s="57">
        <f>단가산출근거목록표!F47</f>
        <v>5584</v>
      </c>
      <c r="I111" s="12">
        <f>ROUNDDOWN(H111*D111,0)</f>
        <v>5187536</v>
      </c>
      <c r="J111" s="60">
        <f>단가산출근거목록표!G47</f>
        <v>1215</v>
      </c>
      <c r="K111" s="12">
        <f>ROUNDDOWN(J111*D111,0)</f>
        <v>1128735</v>
      </c>
      <c r="L111" s="53">
        <f>단가산출근거목록표!H47</f>
        <v>2080</v>
      </c>
      <c r="M111" s="23">
        <f>ROUNDDOWN(L111*D111,0)</f>
        <v>1932320</v>
      </c>
      <c r="N111" s="24" t="s">
        <v>953</v>
      </c>
      <c r="O111" s="16" t="s">
        <v>952</v>
      </c>
      <c r="P111" s="6" t="s">
        <v>951</v>
      </c>
      <c r="Q111" s="6" t="s">
        <v>515</v>
      </c>
      <c r="AC111" s="19" t="str">
        <f ca="1">HYPERLINK("#"&amp;단가산출근거목록표!J2&amp;"!A"&amp;ROW(단가산출근거목록표!A47),"산근   44 →")</f>
        <v>산근   44 →</v>
      </c>
    </row>
    <row r="112" spans="1:29" ht="30.6" customHeight="1" x14ac:dyDescent="0.3">
      <c r="A112" s="9"/>
      <c r="B112" s="9"/>
      <c r="C112" s="44"/>
      <c r="D112" s="45"/>
      <c r="E112" s="24"/>
      <c r="F112" s="10">
        <v>0</v>
      </c>
      <c r="G112" s="49"/>
      <c r="H112" s="58"/>
      <c r="I112" s="58"/>
      <c r="J112" s="58"/>
      <c r="K112" s="58"/>
      <c r="L112" s="58"/>
      <c r="M112" s="52"/>
      <c r="N112" s="24"/>
      <c r="O112" s="16" t="s">
        <v>793</v>
      </c>
      <c r="P112" s="6" t="s">
        <v>540</v>
      </c>
      <c r="Q112" s="6" t="s">
        <v>537</v>
      </c>
    </row>
    <row r="113" spans="1:29" ht="30.6" customHeight="1" x14ac:dyDescent="0.3">
      <c r="A113" s="41" t="s">
        <v>843</v>
      </c>
      <c r="B113" s="41" t="s">
        <v>844</v>
      </c>
      <c r="C113" s="43"/>
      <c r="D113" s="45"/>
      <c r="E113" s="24"/>
      <c r="F113" s="10">
        <v>0</v>
      </c>
      <c r="G113" s="54">
        <f>SUMIF(Q114:Q116,P113,G114:G116)</f>
        <v>8511884</v>
      </c>
      <c r="H113" s="12">
        <v>0</v>
      </c>
      <c r="I113" s="55">
        <f>SUMIF(Q114:Q116,P113,I114:I116)</f>
        <v>5045750</v>
      </c>
      <c r="J113" s="12">
        <v>0</v>
      </c>
      <c r="K113" s="61">
        <f>SUMIF(Q114:Q116,P113,K114:K116)</f>
        <v>1451343</v>
      </c>
      <c r="L113" s="23">
        <v>0</v>
      </c>
      <c r="M113" s="61">
        <f>SUMIF(Q114:Q116,P113,M114:M116)</f>
        <v>2014791</v>
      </c>
      <c r="N113" s="24"/>
      <c r="O113" s="36" t="str">
        <f>"_x0007_`COD|E2_x0005_`QTY1|1_x0005_`EXI|0_x0005_`ITT|0_x0005_`END|"&amp;ROW(M117)&amp;"_x0005_`"</f>
        <v>_x0007_`COD|E2_x0005_`QTY1|1_x0005_`EXI|0_x0005_`ITT|0_x0005_`END|117_x0005_`</v>
      </c>
      <c r="P113" s="6" t="s">
        <v>515</v>
      </c>
      <c r="Q113" s="6" t="s">
        <v>537</v>
      </c>
    </row>
    <row r="114" spans="1:29" ht="30.6" customHeight="1" x14ac:dyDescent="0.3">
      <c r="A114" s="9"/>
      <c r="B114" s="9" t="s">
        <v>238</v>
      </c>
      <c r="C114" s="44" t="s">
        <v>338</v>
      </c>
      <c r="D114" s="46">
        <v>779</v>
      </c>
      <c r="E114" s="24" t="s">
        <v>14</v>
      </c>
      <c r="F114" s="53">
        <f t="shared" ref="F114:G116" si="17">J114+H114+L114</f>
        <v>3908</v>
      </c>
      <c r="G114" s="55">
        <f t="shared" si="17"/>
        <v>3044332</v>
      </c>
      <c r="H114" s="57">
        <f>단가산출근거목록표!F49</f>
        <v>2501</v>
      </c>
      <c r="I114" s="12">
        <f>ROUNDDOWN(H114*D114,0)</f>
        <v>1948279</v>
      </c>
      <c r="J114" s="60">
        <f>단가산출근거목록표!G49</f>
        <v>587</v>
      </c>
      <c r="K114" s="12">
        <f>ROUNDDOWN(J114*D114,0)</f>
        <v>457273</v>
      </c>
      <c r="L114" s="53">
        <f>단가산출근거목록표!H49</f>
        <v>820</v>
      </c>
      <c r="M114" s="23">
        <f>ROUNDDOWN(L114*D114,0)</f>
        <v>638780</v>
      </c>
      <c r="N114" s="24" t="s">
        <v>956</v>
      </c>
      <c r="O114" s="16" t="s">
        <v>955</v>
      </c>
      <c r="P114" s="6" t="s">
        <v>954</v>
      </c>
      <c r="Q114" s="6" t="s">
        <v>515</v>
      </c>
      <c r="AC114" s="19" t="str">
        <f ca="1">HYPERLINK("#"&amp;단가산출근거목록표!J2&amp;"!A"&amp;ROW(단가산출근거목록표!A49),"산근   46 →")</f>
        <v>산근   46 →</v>
      </c>
    </row>
    <row r="115" spans="1:29" ht="30.6" customHeight="1" x14ac:dyDescent="0.3">
      <c r="A115" s="9"/>
      <c r="B115" s="9" t="s">
        <v>200</v>
      </c>
      <c r="C115" s="44" t="s">
        <v>201</v>
      </c>
      <c r="D115" s="46">
        <v>1977</v>
      </c>
      <c r="E115" s="24" t="s">
        <v>42</v>
      </c>
      <c r="F115" s="53">
        <f t="shared" si="17"/>
        <v>1290</v>
      </c>
      <c r="G115" s="55">
        <f t="shared" si="17"/>
        <v>2550330</v>
      </c>
      <c r="H115" s="57">
        <f>단가산출근거목록표!F12</f>
        <v>716</v>
      </c>
      <c r="I115" s="12">
        <f>ROUNDDOWN(H115*D115,0)</f>
        <v>1415532</v>
      </c>
      <c r="J115" s="60">
        <f>단가산출근거목록표!G12</f>
        <v>231</v>
      </c>
      <c r="K115" s="12">
        <f>ROUNDDOWN(J115*D115,0)</f>
        <v>456687</v>
      </c>
      <c r="L115" s="53">
        <f>단가산출근거목록표!H12</f>
        <v>343</v>
      </c>
      <c r="M115" s="23">
        <f>ROUNDDOWN(L115*D115,0)</f>
        <v>678111</v>
      </c>
      <c r="N115" s="24" t="s">
        <v>850</v>
      </c>
      <c r="O115" s="16" t="s">
        <v>849</v>
      </c>
      <c r="P115" s="6" t="s">
        <v>848</v>
      </c>
      <c r="Q115" s="6" t="s">
        <v>515</v>
      </c>
      <c r="AC115" s="19" t="str">
        <f ca="1">HYPERLINK("#"&amp;단가산출근거목록표!J2&amp;"!A"&amp;ROW(단가산출근거목록표!A12),"산근    9 →")</f>
        <v>산근    9 →</v>
      </c>
    </row>
    <row r="116" spans="1:29" ht="30.6" customHeight="1" x14ac:dyDescent="0.3">
      <c r="A116" s="9"/>
      <c r="B116" s="9" t="s">
        <v>184</v>
      </c>
      <c r="C116" s="44" t="s">
        <v>185</v>
      </c>
      <c r="D116" s="46">
        <v>6979</v>
      </c>
      <c r="E116" s="24" t="s">
        <v>42</v>
      </c>
      <c r="F116" s="53">
        <f t="shared" si="17"/>
        <v>418</v>
      </c>
      <c r="G116" s="55">
        <f t="shared" si="17"/>
        <v>2917222</v>
      </c>
      <c r="H116" s="57">
        <f>단가산출근거목록표!F8</f>
        <v>241</v>
      </c>
      <c r="I116" s="12">
        <f>ROUNDDOWN(H116*D116,0)</f>
        <v>1681939</v>
      </c>
      <c r="J116" s="60">
        <f>단가산출근거목록표!G8</f>
        <v>77</v>
      </c>
      <c r="K116" s="12">
        <f>ROUNDDOWN(J116*D116,0)</f>
        <v>537383</v>
      </c>
      <c r="L116" s="53">
        <f>단가산출근거목록표!H8</f>
        <v>100</v>
      </c>
      <c r="M116" s="23">
        <f>ROUNDDOWN(L116*D116,0)</f>
        <v>697900</v>
      </c>
      <c r="N116" s="24" t="s">
        <v>853</v>
      </c>
      <c r="O116" s="16" t="s">
        <v>852</v>
      </c>
      <c r="P116" s="6" t="s">
        <v>851</v>
      </c>
      <c r="Q116" s="6" t="s">
        <v>515</v>
      </c>
      <c r="AC116" s="19" t="str">
        <f ca="1">HYPERLINK("#"&amp;단가산출근거목록표!J2&amp;"!A"&amp;ROW(단가산출근거목록표!A8),"산근    5 →")</f>
        <v>산근    5 →</v>
      </c>
    </row>
    <row r="117" spans="1:29" ht="30.6" customHeight="1" x14ac:dyDescent="0.3">
      <c r="A117" s="9"/>
      <c r="B117" s="9"/>
      <c r="C117" s="44"/>
      <c r="D117" s="45"/>
      <c r="E117" s="24"/>
      <c r="F117" s="10">
        <v>0</v>
      </c>
      <c r="G117" s="49"/>
      <c r="H117" s="58"/>
      <c r="I117" s="58"/>
      <c r="J117" s="58"/>
      <c r="K117" s="58"/>
      <c r="L117" s="58"/>
      <c r="M117" s="52"/>
      <c r="N117" s="24"/>
      <c r="O117" s="16" t="s">
        <v>793</v>
      </c>
      <c r="P117" s="6" t="s">
        <v>540</v>
      </c>
      <c r="Q117" s="6" t="s">
        <v>554</v>
      </c>
    </row>
    <row r="118" spans="1:29" ht="30.6" customHeight="1" x14ac:dyDescent="0.3">
      <c r="A118" s="41" t="s">
        <v>794</v>
      </c>
      <c r="B118" s="41" t="s">
        <v>854</v>
      </c>
      <c r="C118" s="43"/>
      <c r="D118" s="45"/>
      <c r="E118" s="24"/>
      <c r="F118" s="10">
        <v>0</v>
      </c>
      <c r="G118" s="54">
        <f>SUMIF(Q119:Q135,P118,G119:G135)</f>
        <v>45764264</v>
      </c>
      <c r="H118" s="12">
        <v>0</v>
      </c>
      <c r="I118" s="55">
        <f>SUMIF(Q119:Q135,P118,I119:I135)</f>
        <v>33651481</v>
      </c>
      <c r="J118" s="12">
        <v>0</v>
      </c>
      <c r="K118" s="61">
        <f>SUMIF(Q119:Q135,P118,K119:K135)</f>
        <v>5610611</v>
      </c>
      <c r="L118" s="23">
        <v>0</v>
      </c>
      <c r="M118" s="61">
        <f>SUMIF(Q119:Q135,P118,M119:M135)</f>
        <v>6502172</v>
      </c>
      <c r="N118" s="24"/>
      <c r="O118" s="36" t="str">
        <f>"_x0007_`COD|E3_x0005_`QTY1|1_x0005_`EXI|0_x0005_`ITT|0_x0005_`END|"&amp;ROW(M136)&amp;"_x0005_`"</f>
        <v>_x0007_`COD|E3_x0005_`QTY1|1_x0005_`EXI|0_x0005_`ITT|0_x0005_`END|136_x0005_`</v>
      </c>
      <c r="P118" s="6" t="s">
        <v>537</v>
      </c>
      <c r="Q118" s="6" t="s">
        <v>554</v>
      </c>
    </row>
    <row r="119" spans="1:29" ht="30.6" customHeight="1" x14ac:dyDescent="0.3">
      <c r="A119" s="41" t="s">
        <v>857</v>
      </c>
      <c r="B119" s="41" t="s">
        <v>858</v>
      </c>
      <c r="C119" s="43"/>
      <c r="D119" s="45"/>
      <c r="E119" s="24"/>
      <c r="F119" s="10">
        <v>0</v>
      </c>
      <c r="G119" s="54">
        <f>SUMIF(Q120:Q122,P119,G120:G122)</f>
        <v>24588880</v>
      </c>
      <c r="H119" s="12">
        <v>0</v>
      </c>
      <c r="I119" s="55">
        <f>SUMIF(Q120:Q122,P119,I120:I122)</f>
        <v>18008420</v>
      </c>
      <c r="J119" s="12">
        <v>0</v>
      </c>
      <c r="K119" s="61">
        <f>SUMIF(Q120:Q122,P119,K120:K122)</f>
        <v>2746380</v>
      </c>
      <c r="L119" s="23">
        <v>0</v>
      </c>
      <c r="M119" s="61">
        <f>SUMIF(Q120:Q122,P119,M120:M122)</f>
        <v>3834080</v>
      </c>
      <c r="N119" s="24"/>
      <c r="O119" s="36" t="str">
        <f>"_x0007_`COD|E2_x0005_`QTY1|1_x0005_`EXI|0_x0005_`ITT|0_x0005_`END|"&amp;ROW(M123)&amp;"_x0005_`"</f>
        <v>_x0007_`COD|E2_x0005_`QTY1|1_x0005_`EXI|0_x0005_`ITT|0_x0005_`END|123_x0005_`</v>
      </c>
      <c r="P119" s="6" t="s">
        <v>515</v>
      </c>
      <c r="Q119" s="6" t="s">
        <v>537</v>
      </c>
    </row>
    <row r="120" spans="1:29" ht="30.6" customHeight="1" x14ac:dyDescent="0.3">
      <c r="A120" s="9"/>
      <c r="B120" s="9" t="s">
        <v>144</v>
      </c>
      <c r="C120" s="44" t="s">
        <v>145</v>
      </c>
      <c r="D120" s="46">
        <v>20</v>
      </c>
      <c r="E120" s="24" t="s">
        <v>20</v>
      </c>
      <c r="F120" s="53">
        <f t="shared" ref="F120:G122" si="18">J120+H120+L120</f>
        <v>205678</v>
      </c>
      <c r="G120" s="55">
        <f t="shared" si="18"/>
        <v>4113560</v>
      </c>
      <c r="H120" s="57">
        <f>일위대가목록표!F33</f>
        <v>163125</v>
      </c>
      <c r="I120" s="12">
        <f>ROUNDDOWN(H120*D120,0)</f>
        <v>3262500</v>
      </c>
      <c r="J120" s="60">
        <f>일위대가목록표!G33</f>
        <v>18909</v>
      </c>
      <c r="K120" s="12">
        <f>ROUNDDOWN(J120*D120,0)</f>
        <v>378180</v>
      </c>
      <c r="L120" s="53">
        <f>일위대가목록표!H33</f>
        <v>23644</v>
      </c>
      <c r="M120" s="23">
        <f>ROUNDDOWN(L120*D120,0)</f>
        <v>472880</v>
      </c>
      <c r="N120" s="24" t="s">
        <v>959</v>
      </c>
      <c r="O120" s="16" t="s">
        <v>958</v>
      </c>
      <c r="P120" s="6" t="s">
        <v>957</v>
      </c>
      <c r="Q120" s="6" t="s">
        <v>515</v>
      </c>
      <c r="AC120" s="19" t="str">
        <f ca="1">HYPERLINK("#"&amp;일위대가목록표!J2&amp;"!A"&amp;ROW(일위대가목록표!A33),"대가   30 →")</f>
        <v>대가   30 →</v>
      </c>
    </row>
    <row r="121" spans="1:29" ht="30.6" customHeight="1" x14ac:dyDescent="0.3">
      <c r="A121" s="9"/>
      <c r="B121" s="9" t="s">
        <v>149</v>
      </c>
      <c r="C121" s="44" t="s">
        <v>150</v>
      </c>
      <c r="D121" s="46">
        <v>20</v>
      </c>
      <c r="E121" s="24" t="s">
        <v>20</v>
      </c>
      <c r="F121" s="53">
        <f t="shared" si="18"/>
        <v>212941</v>
      </c>
      <c r="G121" s="55">
        <f t="shared" si="18"/>
        <v>4258820</v>
      </c>
      <c r="H121" s="57">
        <f>일위대가목록표!F34</f>
        <v>154426</v>
      </c>
      <c r="I121" s="12">
        <f>ROUNDDOWN(H121*D121,0)</f>
        <v>3088520</v>
      </c>
      <c r="J121" s="60">
        <f>일위대가목록표!G34</f>
        <v>24486</v>
      </c>
      <c r="K121" s="12">
        <f>ROUNDDOWN(J121*D121,0)</f>
        <v>489720</v>
      </c>
      <c r="L121" s="53">
        <f>일위대가목록표!H34</f>
        <v>34029</v>
      </c>
      <c r="M121" s="23">
        <f>ROUNDDOWN(L121*D121,0)</f>
        <v>680580</v>
      </c>
      <c r="N121" s="24" t="s">
        <v>962</v>
      </c>
      <c r="O121" s="16" t="s">
        <v>961</v>
      </c>
      <c r="P121" s="6" t="s">
        <v>960</v>
      </c>
      <c r="Q121" s="6" t="s">
        <v>515</v>
      </c>
      <c r="AC121" s="19" t="str">
        <f ca="1">HYPERLINK("#"&amp;일위대가목록표!J2&amp;"!A"&amp;ROW(일위대가목록표!A34),"대가   31 →")</f>
        <v>대가   31 →</v>
      </c>
    </row>
    <row r="122" spans="1:29" ht="30.6" customHeight="1" x14ac:dyDescent="0.3">
      <c r="A122" s="9"/>
      <c r="B122" s="9" t="s">
        <v>154</v>
      </c>
      <c r="C122" s="44" t="s">
        <v>150</v>
      </c>
      <c r="D122" s="46">
        <v>60</v>
      </c>
      <c r="E122" s="24" t="s">
        <v>20</v>
      </c>
      <c r="F122" s="53">
        <f t="shared" si="18"/>
        <v>270275</v>
      </c>
      <c r="G122" s="55">
        <f t="shared" si="18"/>
        <v>16216500</v>
      </c>
      <c r="H122" s="57">
        <f>일위대가목록표!F35</f>
        <v>194290</v>
      </c>
      <c r="I122" s="12">
        <f>ROUNDDOWN(H122*D122,0)</f>
        <v>11657400</v>
      </c>
      <c r="J122" s="60">
        <f>일위대가목록표!G35</f>
        <v>31308</v>
      </c>
      <c r="K122" s="12">
        <f>ROUNDDOWN(J122*D122,0)</f>
        <v>1878480</v>
      </c>
      <c r="L122" s="53">
        <f>일위대가목록표!H35</f>
        <v>44677</v>
      </c>
      <c r="M122" s="23">
        <f>ROUNDDOWN(L122*D122,0)</f>
        <v>2680620</v>
      </c>
      <c r="N122" s="24" t="s">
        <v>965</v>
      </c>
      <c r="O122" s="16" t="s">
        <v>964</v>
      </c>
      <c r="P122" s="6" t="s">
        <v>963</v>
      </c>
      <c r="Q122" s="6" t="s">
        <v>515</v>
      </c>
      <c r="AC122" s="19" t="str">
        <f ca="1">HYPERLINK("#"&amp;일위대가목록표!J2&amp;"!A"&amp;ROW(일위대가목록표!A35),"대가   32 →")</f>
        <v>대가   32 →</v>
      </c>
    </row>
    <row r="123" spans="1:29" ht="30.6" customHeight="1" x14ac:dyDescent="0.3">
      <c r="A123" s="9"/>
      <c r="B123" s="9"/>
      <c r="C123" s="44"/>
      <c r="D123" s="45"/>
      <c r="E123" s="24"/>
      <c r="F123" s="10">
        <v>0</v>
      </c>
      <c r="G123" s="49"/>
      <c r="H123" s="58"/>
      <c r="I123" s="58"/>
      <c r="J123" s="58"/>
      <c r="K123" s="58"/>
      <c r="L123" s="58"/>
      <c r="M123" s="52"/>
      <c r="N123" s="24"/>
      <c r="O123" s="16" t="s">
        <v>793</v>
      </c>
      <c r="P123" s="6" t="s">
        <v>540</v>
      </c>
      <c r="Q123" s="6" t="s">
        <v>537</v>
      </c>
    </row>
    <row r="124" spans="1:29" ht="30.6" customHeight="1" x14ac:dyDescent="0.3">
      <c r="A124" s="41" t="s">
        <v>874</v>
      </c>
      <c r="B124" s="41" t="s">
        <v>875</v>
      </c>
      <c r="C124" s="43"/>
      <c r="D124" s="45"/>
      <c r="E124" s="24"/>
      <c r="F124" s="10">
        <v>0</v>
      </c>
      <c r="G124" s="54">
        <f>SUMIF(Q125:Q130,P124,G125:G130)</f>
        <v>9796914</v>
      </c>
      <c r="H124" s="12">
        <v>0</v>
      </c>
      <c r="I124" s="55">
        <f>SUMIF(Q125:Q130,P124,I125:I130)</f>
        <v>7768511</v>
      </c>
      <c r="J124" s="12">
        <v>0</v>
      </c>
      <c r="K124" s="61">
        <f>SUMIF(Q125:Q130,P124,K125:K130)</f>
        <v>856861</v>
      </c>
      <c r="L124" s="23">
        <v>0</v>
      </c>
      <c r="M124" s="61">
        <f>SUMIF(Q125:Q130,P124,M125:M130)</f>
        <v>1171542</v>
      </c>
      <c r="N124" s="24"/>
      <c r="O124" s="36" t="str">
        <f>"_x0007_`COD|E2_x0005_`QTY1|1_x0005_`EXI|0_x0005_`ITT|0_x0005_`END|"&amp;ROW(M131)&amp;"_x0005_`"</f>
        <v>_x0007_`COD|E2_x0005_`QTY1|1_x0005_`EXI|0_x0005_`ITT|0_x0005_`END|131_x0005_`</v>
      </c>
      <c r="P124" s="6" t="s">
        <v>515</v>
      </c>
      <c r="Q124" s="6" t="s">
        <v>537</v>
      </c>
    </row>
    <row r="125" spans="1:29" ht="30.6" customHeight="1" x14ac:dyDescent="0.3">
      <c r="A125" s="9"/>
      <c r="B125" s="9" t="s">
        <v>18</v>
      </c>
      <c r="C125" s="44" t="s">
        <v>19</v>
      </c>
      <c r="D125" s="46">
        <v>84</v>
      </c>
      <c r="E125" s="24" t="s">
        <v>20</v>
      </c>
      <c r="F125" s="53">
        <f t="shared" ref="F125:G130" si="19">J125+H125+L125</f>
        <v>16001</v>
      </c>
      <c r="G125" s="55">
        <f t="shared" si="19"/>
        <v>1344084</v>
      </c>
      <c r="H125" s="57">
        <f>일위대가목록표!F5</f>
        <v>15002</v>
      </c>
      <c r="I125" s="12">
        <f t="shared" ref="I125:I130" si="20">ROUNDDOWN(H125*D125,0)</f>
        <v>1260168</v>
      </c>
      <c r="J125" s="60">
        <f>일위대가목록표!G5</f>
        <v>584</v>
      </c>
      <c r="K125" s="12">
        <f t="shared" ref="K125:K130" si="21">ROUNDDOWN(J125*D125,0)</f>
        <v>49056</v>
      </c>
      <c r="L125" s="53">
        <f>일위대가목록표!H5</f>
        <v>415</v>
      </c>
      <c r="M125" s="23">
        <f t="shared" ref="M125:M130" si="22">ROUNDDOWN(L125*D125,0)</f>
        <v>34860</v>
      </c>
      <c r="N125" s="24" t="s">
        <v>878</v>
      </c>
      <c r="O125" s="16" t="s">
        <v>877</v>
      </c>
      <c r="P125" s="6" t="s">
        <v>876</v>
      </c>
      <c r="Q125" s="6" t="s">
        <v>515</v>
      </c>
      <c r="AC125" s="19" t="str">
        <f ca="1">HYPERLINK("#"&amp;일위대가목록표!J2&amp;"!A"&amp;ROW(일위대가목록표!A5),"대가    2 →")</f>
        <v>대가    2 →</v>
      </c>
    </row>
    <row r="126" spans="1:29" ht="30.6" customHeight="1" x14ac:dyDescent="0.3">
      <c r="A126" s="9"/>
      <c r="B126" s="9" t="s">
        <v>18</v>
      </c>
      <c r="C126" s="44" t="s">
        <v>24</v>
      </c>
      <c r="D126" s="46">
        <v>16</v>
      </c>
      <c r="E126" s="24" t="s">
        <v>20</v>
      </c>
      <c r="F126" s="53">
        <f t="shared" si="19"/>
        <v>20785</v>
      </c>
      <c r="G126" s="55">
        <f t="shared" si="19"/>
        <v>332560</v>
      </c>
      <c r="H126" s="57">
        <f>일위대가목록표!F6</f>
        <v>19553</v>
      </c>
      <c r="I126" s="12">
        <f t="shared" si="20"/>
        <v>312848</v>
      </c>
      <c r="J126" s="60">
        <f>일위대가목록표!G6</f>
        <v>733</v>
      </c>
      <c r="K126" s="12">
        <f t="shared" si="21"/>
        <v>11728</v>
      </c>
      <c r="L126" s="53">
        <f>일위대가목록표!H6</f>
        <v>499</v>
      </c>
      <c r="M126" s="23">
        <f t="shared" si="22"/>
        <v>7984</v>
      </c>
      <c r="N126" s="24" t="s">
        <v>881</v>
      </c>
      <c r="O126" s="16" t="s">
        <v>880</v>
      </c>
      <c r="P126" s="6" t="s">
        <v>879</v>
      </c>
      <c r="Q126" s="6" t="s">
        <v>515</v>
      </c>
      <c r="AC126" s="19" t="str">
        <f ca="1">HYPERLINK("#"&amp;일위대가목록표!J2&amp;"!A"&amp;ROW(일위대가목록표!A6),"대가    3 →")</f>
        <v>대가    3 →</v>
      </c>
    </row>
    <row r="127" spans="1:29" ht="30.6" customHeight="1" x14ac:dyDescent="0.3">
      <c r="A127" s="9"/>
      <c r="B127" s="9" t="s">
        <v>18</v>
      </c>
      <c r="C127" s="44" t="s">
        <v>140</v>
      </c>
      <c r="D127" s="46">
        <v>22</v>
      </c>
      <c r="E127" s="24" t="s">
        <v>20</v>
      </c>
      <c r="F127" s="53">
        <f t="shared" si="19"/>
        <v>25257</v>
      </c>
      <c r="G127" s="55">
        <f t="shared" si="19"/>
        <v>555654</v>
      </c>
      <c r="H127" s="57">
        <f>일위대가목록표!F32</f>
        <v>23801</v>
      </c>
      <c r="I127" s="12">
        <f t="shared" si="20"/>
        <v>523622</v>
      </c>
      <c r="J127" s="60">
        <f>일위대가목록표!G32</f>
        <v>874</v>
      </c>
      <c r="K127" s="12">
        <f t="shared" si="21"/>
        <v>19228</v>
      </c>
      <c r="L127" s="53">
        <f>일위대가목록표!H32</f>
        <v>582</v>
      </c>
      <c r="M127" s="23">
        <f t="shared" si="22"/>
        <v>12804</v>
      </c>
      <c r="N127" s="24" t="s">
        <v>968</v>
      </c>
      <c r="O127" s="16" t="s">
        <v>967</v>
      </c>
      <c r="P127" s="6" t="s">
        <v>966</v>
      </c>
      <c r="Q127" s="6" t="s">
        <v>515</v>
      </c>
      <c r="AC127" s="19" t="str">
        <f ca="1">HYPERLINK("#"&amp;일위대가목록표!J2&amp;"!A"&amp;ROW(일위대가목록표!A32),"대가   29 →")</f>
        <v>대가   29 →</v>
      </c>
    </row>
    <row r="128" spans="1:29" ht="30.6" customHeight="1" x14ac:dyDescent="0.3">
      <c r="A128" s="9"/>
      <c r="B128" s="9" t="s">
        <v>81</v>
      </c>
      <c r="C128" s="44" t="s">
        <v>86</v>
      </c>
      <c r="D128" s="46">
        <v>2</v>
      </c>
      <c r="E128" s="24" t="s">
        <v>36</v>
      </c>
      <c r="F128" s="53">
        <f t="shared" si="19"/>
        <v>1937206</v>
      </c>
      <c r="G128" s="55">
        <f t="shared" si="19"/>
        <v>3874412</v>
      </c>
      <c r="H128" s="57">
        <f>일위대가목록표!F19</f>
        <v>1445580</v>
      </c>
      <c r="I128" s="12">
        <f t="shared" si="20"/>
        <v>2891160</v>
      </c>
      <c r="J128" s="60">
        <f>일위대가목록표!G19</f>
        <v>201781</v>
      </c>
      <c r="K128" s="12">
        <f t="shared" si="21"/>
        <v>403562</v>
      </c>
      <c r="L128" s="53">
        <f>일위대가목록표!H19</f>
        <v>289845</v>
      </c>
      <c r="M128" s="23">
        <f t="shared" si="22"/>
        <v>579690</v>
      </c>
      <c r="N128" s="24" t="s">
        <v>884</v>
      </c>
      <c r="O128" s="16" t="s">
        <v>883</v>
      </c>
      <c r="P128" s="6" t="s">
        <v>882</v>
      </c>
      <c r="Q128" s="6" t="s">
        <v>515</v>
      </c>
      <c r="AC128" s="19" t="str">
        <f ca="1">HYPERLINK("#"&amp;일위대가목록표!J2&amp;"!A"&amp;ROW(일위대가목록표!A19),"대가   16 →")</f>
        <v>대가   16 →</v>
      </c>
    </row>
    <row r="129" spans="1:29" ht="30.6" customHeight="1" x14ac:dyDescent="0.3">
      <c r="A129" s="9"/>
      <c r="B129" s="9" t="s">
        <v>81</v>
      </c>
      <c r="C129" s="44" t="s">
        <v>82</v>
      </c>
      <c r="D129" s="46">
        <v>3</v>
      </c>
      <c r="E129" s="24" t="s">
        <v>36</v>
      </c>
      <c r="F129" s="53">
        <f t="shared" si="19"/>
        <v>1216838</v>
      </c>
      <c r="G129" s="55">
        <f t="shared" si="19"/>
        <v>3650514</v>
      </c>
      <c r="H129" s="57">
        <f>일위대가목록표!F18</f>
        <v>919291</v>
      </c>
      <c r="I129" s="12">
        <f t="shared" si="20"/>
        <v>2757873</v>
      </c>
      <c r="J129" s="60">
        <f>일위대가목록표!G18</f>
        <v>121969</v>
      </c>
      <c r="K129" s="12">
        <f t="shared" si="21"/>
        <v>365907</v>
      </c>
      <c r="L129" s="53">
        <f>일위대가목록표!H18</f>
        <v>175578</v>
      </c>
      <c r="M129" s="23">
        <f t="shared" si="22"/>
        <v>526734</v>
      </c>
      <c r="N129" s="24" t="s">
        <v>887</v>
      </c>
      <c r="O129" s="16" t="s">
        <v>886</v>
      </c>
      <c r="P129" s="6" t="s">
        <v>885</v>
      </c>
      <c r="Q129" s="6" t="s">
        <v>515</v>
      </c>
      <c r="AC129" s="19" t="str">
        <f ca="1">HYPERLINK("#"&amp;일위대가목록표!J2&amp;"!A"&amp;ROW(일위대가목록표!A18),"대가   15 →")</f>
        <v>대가   15 →</v>
      </c>
    </row>
    <row r="130" spans="1:29" ht="30.6" customHeight="1" x14ac:dyDescent="0.3">
      <c r="A130" s="9"/>
      <c r="B130" s="9" t="s">
        <v>72</v>
      </c>
      <c r="C130" s="44"/>
      <c r="D130" s="46">
        <v>10</v>
      </c>
      <c r="E130" s="24" t="s">
        <v>36</v>
      </c>
      <c r="F130" s="53">
        <f t="shared" si="19"/>
        <v>3969</v>
      </c>
      <c r="G130" s="55">
        <f t="shared" si="19"/>
        <v>39690</v>
      </c>
      <c r="H130" s="57">
        <f>일위대가목록표!F16</f>
        <v>2284</v>
      </c>
      <c r="I130" s="12">
        <f t="shared" si="20"/>
        <v>22840</v>
      </c>
      <c r="J130" s="60">
        <f>일위대가목록표!G16</f>
        <v>738</v>
      </c>
      <c r="K130" s="12">
        <f t="shared" si="21"/>
        <v>7380</v>
      </c>
      <c r="L130" s="53">
        <f>일위대가목록표!H16</f>
        <v>947</v>
      </c>
      <c r="M130" s="23">
        <f t="shared" si="22"/>
        <v>9470</v>
      </c>
      <c r="N130" s="24" t="s">
        <v>890</v>
      </c>
      <c r="O130" s="16" t="s">
        <v>889</v>
      </c>
      <c r="P130" s="6" t="s">
        <v>888</v>
      </c>
      <c r="Q130" s="6" t="s">
        <v>515</v>
      </c>
      <c r="AC130" s="19" t="str">
        <f ca="1">HYPERLINK("#"&amp;일위대가목록표!J2&amp;"!A"&amp;ROW(일위대가목록표!A16),"대가   13 →")</f>
        <v>대가   13 →</v>
      </c>
    </row>
    <row r="131" spans="1:29" ht="30.6" customHeight="1" x14ac:dyDescent="0.3">
      <c r="A131" s="9"/>
      <c r="B131" s="9"/>
      <c r="C131" s="44"/>
      <c r="D131" s="45"/>
      <c r="E131" s="24"/>
      <c r="F131" s="10">
        <v>0</v>
      </c>
      <c r="G131" s="49"/>
      <c r="H131" s="58"/>
      <c r="I131" s="58"/>
      <c r="J131" s="58"/>
      <c r="K131" s="58"/>
      <c r="L131" s="58"/>
      <c r="M131" s="52"/>
      <c r="N131" s="24"/>
      <c r="O131" s="16" t="s">
        <v>793</v>
      </c>
      <c r="P131" s="6" t="s">
        <v>540</v>
      </c>
      <c r="Q131" s="6" t="s">
        <v>537</v>
      </c>
    </row>
    <row r="132" spans="1:29" ht="30.6" customHeight="1" x14ac:dyDescent="0.3">
      <c r="A132" s="41" t="s">
        <v>891</v>
      </c>
      <c r="B132" s="41" t="s">
        <v>892</v>
      </c>
      <c r="C132" s="43"/>
      <c r="D132" s="45"/>
      <c r="E132" s="24"/>
      <c r="F132" s="10">
        <v>0</v>
      </c>
      <c r="G132" s="54">
        <f>SUMIF(Q133:Q135,P132,G133:G135)</f>
        <v>11378470</v>
      </c>
      <c r="H132" s="12">
        <v>0</v>
      </c>
      <c r="I132" s="55">
        <f>SUMIF(Q133:Q135,P132,I133:I135)</f>
        <v>7874550</v>
      </c>
      <c r="J132" s="12">
        <v>0</v>
      </c>
      <c r="K132" s="61">
        <f>SUMIF(Q133:Q135,P132,K133:K135)</f>
        <v>2007370</v>
      </c>
      <c r="L132" s="23">
        <v>0</v>
      </c>
      <c r="M132" s="61">
        <f>SUMIF(Q133:Q135,P132,M133:M135)</f>
        <v>1496550</v>
      </c>
      <c r="N132" s="24"/>
      <c r="O132" s="36" t="str">
        <f>"_x0007_`COD|E2_x0005_`QTY1|1_x0005_`EXI|0_x0005_`ITT|0_x0005_`END|"&amp;ROW(M136)&amp;"_x0005_`"</f>
        <v>_x0007_`COD|E2_x0005_`QTY1|1_x0005_`EXI|0_x0005_`ITT|0_x0005_`END|136_x0005_`</v>
      </c>
      <c r="P132" s="6" t="s">
        <v>515</v>
      </c>
      <c r="Q132" s="6" t="s">
        <v>537</v>
      </c>
    </row>
    <row r="133" spans="1:29" ht="30.6" customHeight="1" x14ac:dyDescent="0.3">
      <c r="A133" s="9"/>
      <c r="B133" s="9" t="s">
        <v>158</v>
      </c>
      <c r="C133" s="44" t="s">
        <v>159</v>
      </c>
      <c r="D133" s="46">
        <v>20</v>
      </c>
      <c r="E133" s="24" t="s">
        <v>42</v>
      </c>
      <c r="F133" s="53">
        <f t="shared" ref="F133:G135" si="23">J133+H133+L133</f>
        <v>72985</v>
      </c>
      <c r="G133" s="55">
        <f t="shared" si="23"/>
        <v>1459700</v>
      </c>
      <c r="H133" s="57">
        <f>일위대가목록표!F36</f>
        <v>61083</v>
      </c>
      <c r="I133" s="12">
        <f>ROUNDDOWN(H133*D133,0)</f>
        <v>1221660</v>
      </c>
      <c r="J133" s="60">
        <f>일위대가목록표!G36</f>
        <v>4489</v>
      </c>
      <c r="K133" s="12">
        <f>ROUNDDOWN(J133*D133,0)</f>
        <v>89780</v>
      </c>
      <c r="L133" s="53">
        <f>일위대가목록표!H36</f>
        <v>7413</v>
      </c>
      <c r="M133" s="23">
        <f>ROUNDDOWN(L133*D133,0)</f>
        <v>148260</v>
      </c>
      <c r="N133" s="24" t="s">
        <v>971</v>
      </c>
      <c r="O133" s="16" t="s">
        <v>970</v>
      </c>
      <c r="P133" s="6" t="s">
        <v>969</v>
      </c>
      <c r="Q133" s="6" t="s">
        <v>515</v>
      </c>
      <c r="AC133" s="19" t="str">
        <f ca="1">HYPERLINK("#"&amp;일위대가목록표!J2&amp;"!A"&amp;ROW(일위대가목록표!A36),"대가   33 →")</f>
        <v>대가   33 →</v>
      </c>
    </row>
    <row r="134" spans="1:29" ht="30.6" customHeight="1" x14ac:dyDescent="0.3">
      <c r="A134" s="9"/>
      <c r="B134" s="9" t="s">
        <v>76</v>
      </c>
      <c r="C134" s="44" t="s">
        <v>163</v>
      </c>
      <c r="D134" s="46">
        <v>90</v>
      </c>
      <c r="E134" s="24" t="s">
        <v>42</v>
      </c>
      <c r="F134" s="53">
        <f t="shared" si="23"/>
        <v>98653</v>
      </c>
      <c r="G134" s="55">
        <f t="shared" si="23"/>
        <v>8878770</v>
      </c>
      <c r="H134" s="57">
        <f>일위대가목록표!F37</f>
        <v>73921</v>
      </c>
      <c r="I134" s="12">
        <f>ROUNDDOWN(H134*D134,0)</f>
        <v>6652890</v>
      </c>
      <c r="J134" s="60">
        <f>일위대가목록표!G37</f>
        <v>9751</v>
      </c>
      <c r="K134" s="12">
        <f>ROUNDDOWN(J134*D134,0)</f>
        <v>877590</v>
      </c>
      <c r="L134" s="53">
        <f>일위대가목록표!H37</f>
        <v>14981</v>
      </c>
      <c r="M134" s="23">
        <f>ROUNDDOWN(L134*D134,0)</f>
        <v>1348290</v>
      </c>
      <c r="N134" s="24" t="s">
        <v>974</v>
      </c>
      <c r="O134" s="16" t="s">
        <v>973</v>
      </c>
      <c r="P134" s="6" t="s">
        <v>972</v>
      </c>
      <c r="Q134" s="6" t="s">
        <v>515</v>
      </c>
      <c r="AC134" s="19" t="str">
        <f ca="1">HYPERLINK("#"&amp;일위대가목록표!J2&amp;"!A"&amp;ROW(일위대가목록표!A37),"대가   34 →")</f>
        <v>대가   34 →</v>
      </c>
    </row>
    <row r="135" spans="1:29" ht="30.6" customHeight="1" x14ac:dyDescent="0.3">
      <c r="A135" s="9"/>
      <c r="B135" s="9" t="s">
        <v>562</v>
      </c>
      <c r="C135" s="44" t="s">
        <v>563</v>
      </c>
      <c r="D135" s="46">
        <v>2</v>
      </c>
      <c r="E135" s="24" t="s">
        <v>36</v>
      </c>
      <c r="F135" s="53">
        <f t="shared" si="23"/>
        <v>520000</v>
      </c>
      <c r="G135" s="55">
        <f t="shared" si="23"/>
        <v>1040000</v>
      </c>
      <c r="H135" s="59">
        <v>0</v>
      </c>
      <c r="I135" s="23">
        <f>ROUNDDOWN(H135*D135,0)</f>
        <v>0</v>
      </c>
      <c r="J135" s="60">
        <f>재료비목록표!E31</f>
        <v>520000</v>
      </c>
      <c r="K135" s="12">
        <f>ROUNDDOWN(J135*D135,0)</f>
        <v>1040000</v>
      </c>
      <c r="L135" s="62">
        <v>0</v>
      </c>
      <c r="M135" s="23">
        <f>ROUNDDOWN(L135*D135,0)</f>
        <v>0</v>
      </c>
      <c r="N135" s="24" t="s">
        <v>901</v>
      </c>
      <c r="O135" s="16" t="s">
        <v>900</v>
      </c>
      <c r="P135" s="6" t="s">
        <v>899</v>
      </c>
      <c r="Q135" s="6" t="s">
        <v>515</v>
      </c>
      <c r="AC135" s="19" t="str">
        <f ca="1">HYPERLINK("#"&amp;재료비목록표!G2&amp;"!A"&amp;ROW(재료비목록표!A31),"자재   28 →")</f>
        <v>자재   28 →</v>
      </c>
    </row>
    <row r="136" spans="1:29" ht="30.6" customHeight="1" x14ac:dyDescent="0.3">
      <c r="A136" s="9"/>
      <c r="B136" s="9"/>
      <c r="C136" s="44"/>
      <c r="D136" s="45"/>
      <c r="E136" s="24"/>
      <c r="F136" s="10">
        <v>0</v>
      </c>
      <c r="G136" s="49"/>
      <c r="H136" s="58"/>
      <c r="I136" s="58"/>
      <c r="J136" s="58"/>
      <c r="K136" s="58"/>
      <c r="L136" s="58"/>
      <c r="M136" s="52"/>
      <c r="N136" s="24"/>
      <c r="O136" s="16" t="s">
        <v>793</v>
      </c>
      <c r="P136" s="6" t="s">
        <v>540</v>
      </c>
      <c r="Q136" s="6" t="s">
        <v>554</v>
      </c>
    </row>
    <row r="137" spans="1:29" ht="30.6" customHeight="1" x14ac:dyDescent="0.3">
      <c r="A137" s="41" t="s">
        <v>856</v>
      </c>
      <c r="B137" s="41" t="s">
        <v>855</v>
      </c>
      <c r="C137" s="43"/>
      <c r="D137" s="45"/>
      <c r="E137" s="24"/>
      <c r="F137" s="10">
        <v>0</v>
      </c>
      <c r="G137" s="54">
        <f>SUMIF(Q138:Q143,P137,G138:G143)</f>
        <v>3779330</v>
      </c>
      <c r="H137" s="12">
        <v>0</v>
      </c>
      <c r="I137" s="55">
        <f>SUMIF(Q138:Q143,P137,I138:I143)</f>
        <v>0</v>
      </c>
      <c r="J137" s="12">
        <v>0</v>
      </c>
      <c r="K137" s="61">
        <f>SUMIF(Q138:Q143,P137,K138:K143)</f>
        <v>0</v>
      </c>
      <c r="L137" s="23">
        <v>0</v>
      </c>
      <c r="M137" s="61">
        <f>SUMIF(Q138:Q143,P137,M138:M143)</f>
        <v>3779330</v>
      </c>
      <c r="N137" s="24"/>
      <c r="O137" s="36" t="str">
        <f>"_x0007_`COD|E3_x0005_`QTY1|1_x0005_`EXI|0_x0005_`ITT|0_x0005_`END|"&amp;ROW(M144)&amp;"_x0005_`"</f>
        <v>_x0007_`COD|E3_x0005_`QTY1|1_x0005_`EXI|0_x0005_`ITT|0_x0005_`END|144_x0005_`</v>
      </c>
      <c r="P137" s="6" t="s">
        <v>537</v>
      </c>
      <c r="Q137" s="6" t="s">
        <v>554</v>
      </c>
    </row>
    <row r="138" spans="1:29" ht="30.6" customHeight="1" x14ac:dyDescent="0.3">
      <c r="A138" s="9"/>
      <c r="B138" s="9" t="s">
        <v>241</v>
      </c>
      <c r="C138" s="44" t="s">
        <v>242</v>
      </c>
      <c r="D138" s="46">
        <v>1</v>
      </c>
      <c r="E138" s="24" t="s">
        <v>243</v>
      </c>
      <c r="F138" s="53">
        <f t="shared" ref="F138:G143" si="24">J138+H138+L138</f>
        <v>535090</v>
      </c>
      <c r="G138" s="55">
        <f t="shared" si="24"/>
        <v>535090</v>
      </c>
      <c r="H138" s="57">
        <f>단가산출근거목록표!F24</f>
        <v>0</v>
      </c>
      <c r="I138" s="12">
        <f t="shared" ref="I138:I143" si="25">ROUNDDOWN(H138*D138,0)</f>
        <v>0</v>
      </c>
      <c r="J138" s="60">
        <f>단가산출근거목록표!G24</f>
        <v>0</v>
      </c>
      <c r="K138" s="12">
        <f t="shared" ref="K138:K143" si="26">ROUNDDOWN(J138*D138,0)</f>
        <v>0</v>
      </c>
      <c r="L138" s="53">
        <f>단가산출근거목록표!H24</f>
        <v>535090</v>
      </c>
      <c r="M138" s="23">
        <f t="shared" ref="M138:M143" si="27">ROUNDDOWN(L138*D138,0)</f>
        <v>535090</v>
      </c>
      <c r="N138" s="24" t="s">
        <v>907</v>
      </c>
      <c r="O138" s="16" t="s">
        <v>906</v>
      </c>
      <c r="P138" s="6" t="s">
        <v>905</v>
      </c>
      <c r="Q138" s="6" t="s">
        <v>537</v>
      </c>
      <c r="AC138" s="19" t="str">
        <f ca="1">HYPERLINK("#"&amp;단가산출근거목록표!J2&amp;"!A"&amp;ROW(단가산출근거목록표!A24),"산근   21 →")</f>
        <v>산근   21 →</v>
      </c>
    </row>
    <row r="139" spans="1:29" ht="30.6" customHeight="1" x14ac:dyDescent="0.3">
      <c r="A139" s="9"/>
      <c r="B139" s="9" t="s">
        <v>278</v>
      </c>
      <c r="C139" s="44" t="s">
        <v>242</v>
      </c>
      <c r="D139" s="46">
        <v>1</v>
      </c>
      <c r="E139" s="24" t="s">
        <v>243</v>
      </c>
      <c r="F139" s="53">
        <f t="shared" si="24"/>
        <v>55909</v>
      </c>
      <c r="G139" s="55">
        <f t="shared" si="24"/>
        <v>55909</v>
      </c>
      <c r="H139" s="57">
        <f>단가산출근거목록표!F34</f>
        <v>0</v>
      </c>
      <c r="I139" s="12">
        <f t="shared" si="25"/>
        <v>0</v>
      </c>
      <c r="J139" s="60">
        <f>단가산출근거목록표!G34</f>
        <v>0</v>
      </c>
      <c r="K139" s="12">
        <f t="shared" si="26"/>
        <v>0</v>
      </c>
      <c r="L139" s="53">
        <f>단가산출근거목록표!H34</f>
        <v>55909</v>
      </c>
      <c r="M139" s="23">
        <f t="shared" si="27"/>
        <v>55909</v>
      </c>
      <c r="N139" s="24" t="s">
        <v>910</v>
      </c>
      <c r="O139" s="16" t="s">
        <v>909</v>
      </c>
      <c r="P139" s="6" t="s">
        <v>908</v>
      </c>
      <c r="Q139" s="6" t="s">
        <v>537</v>
      </c>
      <c r="AC139" s="19" t="str">
        <f ca="1">HYPERLINK("#"&amp;단가산출근거목록표!J2&amp;"!A"&amp;ROW(단가산출근거목록표!A34),"산근   31 →")</f>
        <v>산근   31 →</v>
      </c>
    </row>
    <row r="140" spans="1:29" ht="30.6" customHeight="1" x14ac:dyDescent="0.3">
      <c r="A140" s="9"/>
      <c r="B140" s="9" t="s">
        <v>246</v>
      </c>
      <c r="C140" s="44" t="s">
        <v>247</v>
      </c>
      <c r="D140" s="46">
        <v>16</v>
      </c>
      <c r="E140" s="24" t="s">
        <v>14</v>
      </c>
      <c r="F140" s="53">
        <f t="shared" si="24"/>
        <v>18383</v>
      </c>
      <c r="G140" s="55">
        <f t="shared" si="24"/>
        <v>294128</v>
      </c>
      <c r="H140" s="57">
        <f>단가산출근거목록표!F25</f>
        <v>0</v>
      </c>
      <c r="I140" s="12">
        <f t="shared" si="25"/>
        <v>0</v>
      </c>
      <c r="J140" s="60">
        <f>단가산출근거목록표!G25</f>
        <v>0</v>
      </c>
      <c r="K140" s="12">
        <f t="shared" si="26"/>
        <v>0</v>
      </c>
      <c r="L140" s="53">
        <f>단가산출근거목록표!H25</f>
        <v>18383</v>
      </c>
      <c r="M140" s="23">
        <f t="shared" si="27"/>
        <v>294128</v>
      </c>
      <c r="N140" s="24" t="s">
        <v>913</v>
      </c>
      <c r="O140" s="16" t="s">
        <v>912</v>
      </c>
      <c r="P140" s="6" t="s">
        <v>911</v>
      </c>
      <c r="Q140" s="6" t="s">
        <v>537</v>
      </c>
      <c r="AC140" s="19" t="str">
        <f ca="1">HYPERLINK("#"&amp;단가산출근거목록표!J2&amp;"!A"&amp;ROW(단가산출근거목록표!A25),"산근   22 →")</f>
        <v>산근   22 →</v>
      </c>
    </row>
    <row r="141" spans="1:29" ht="30.6" customHeight="1" x14ac:dyDescent="0.3">
      <c r="A141" s="9"/>
      <c r="B141" s="9" t="s">
        <v>250</v>
      </c>
      <c r="C141" s="44" t="s">
        <v>247</v>
      </c>
      <c r="D141" s="46">
        <v>19</v>
      </c>
      <c r="E141" s="24" t="s">
        <v>14</v>
      </c>
      <c r="F141" s="53">
        <f t="shared" si="24"/>
        <v>19453</v>
      </c>
      <c r="G141" s="55">
        <f t="shared" si="24"/>
        <v>369607</v>
      </c>
      <c r="H141" s="57">
        <f>단가산출근거목록표!F26</f>
        <v>0</v>
      </c>
      <c r="I141" s="12">
        <f t="shared" si="25"/>
        <v>0</v>
      </c>
      <c r="J141" s="60">
        <f>단가산출근거목록표!G26</f>
        <v>0</v>
      </c>
      <c r="K141" s="12">
        <f t="shared" si="26"/>
        <v>0</v>
      </c>
      <c r="L141" s="53">
        <f>단가산출근거목록표!H26</f>
        <v>19453</v>
      </c>
      <c r="M141" s="23">
        <f t="shared" si="27"/>
        <v>369607</v>
      </c>
      <c r="N141" s="24" t="s">
        <v>916</v>
      </c>
      <c r="O141" s="16" t="s">
        <v>915</v>
      </c>
      <c r="P141" s="6" t="s">
        <v>914</v>
      </c>
      <c r="Q141" s="6" t="s">
        <v>537</v>
      </c>
      <c r="AC141" s="19" t="str">
        <f ca="1">HYPERLINK("#"&amp;단가산출근거목록표!J2&amp;"!A"&amp;ROW(단가산출근거목록표!A26),"산근   23 →")</f>
        <v>산근   23 →</v>
      </c>
    </row>
    <row r="142" spans="1:29" ht="30.6" customHeight="1" x14ac:dyDescent="0.3">
      <c r="A142" s="9"/>
      <c r="B142" s="9" t="s">
        <v>227</v>
      </c>
      <c r="C142" s="44" t="s">
        <v>228</v>
      </c>
      <c r="D142" s="46">
        <v>54</v>
      </c>
      <c r="E142" s="24" t="s">
        <v>229</v>
      </c>
      <c r="F142" s="53">
        <f t="shared" si="24"/>
        <v>35460</v>
      </c>
      <c r="G142" s="55">
        <f t="shared" si="24"/>
        <v>1914840</v>
      </c>
      <c r="H142" s="57">
        <f>단가산출근거목록표!F20</f>
        <v>0</v>
      </c>
      <c r="I142" s="12">
        <f t="shared" si="25"/>
        <v>0</v>
      </c>
      <c r="J142" s="60">
        <f>단가산출근거목록표!G20</f>
        <v>0</v>
      </c>
      <c r="K142" s="12">
        <f t="shared" si="26"/>
        <v>0</v>
      </c>
      <c r="L142" s="53">
        <f>단가산출근거목록표!H20</f>
        <v>35460</v>
      </c>
      <c r="M142" s="23">
        <f t="shared" si="27"/>
        <v>1914840</v>
      </c>
      <c r="N142" s="24" t="s">
        <v>919</v>
      </c>
      <c r="O142" s="16" t="s">
        <v>918</v>
      </c>
      <c r="P142" s="6" t="s">
        <v>917</v>
      </c>
      <c r="Q142" s="6" t="s">
        <v>537</v>
      </c>
      <c r="AC142" s="19" t="str">
        <f ca="1">HYPERLINK("#"&amp;단가산출근거목록표!J2&amp;"!A"&amp;ROW(단가산출근거목록표!A20),"산근   17 →")</f>
        <v>산근   17 →</v>
      </c>
    </row>
    <row r="143" spans="1:29" ht="30.6" customHeight="1" x14ac:dyDescent="0.3">
      <c r="A143" s="9"/>
      <c r="B143" s="9" t="s">
        <v>253</v>
      </c>
      <c r="C143" s="44" t="s">
        <v>242</v>
      </c>
      <c r="D143" s="46">
        <v>244</v>
      </c>
      <c r="E143" s="24" t="s">
        <v>243</v>
      </c>
      <c r="F143" s="53">
        <f t="shared" si="24"/>
        <v>2499</v>
      </c>
      <c r="G143" s="55">
        <f t="shared" si="24"/>
        <v>609756</v>
      </c>
      <c r="H143" s="57">
        <f>단가산출근거목록표!F27</f>
        <v>0</v>
      </c>
      <c r="I143" s="12">
        <f t="shared" si="25"/>
        <v>0</v>
      </c>
      <c r="J143" s="60">
        <f>단가산출근거목록표!G27</f>
        <v>0</v>
      </c>
      <c r="K143" s="12">
        <f t="shared" si="26"/>
        <v>0</v>
      </c>
      <c r="L143" s="53">
        <f>단가산출근거목록표!H27</f>
        <v>2499</v>
      </c>
      <c r="M143" s="23">
        <f t="shared" si="27"/>
        <v>609756</v>
      </c>
      <c r="N143" s="24" t="s">
        <v>922</v>
      </c>
      <c r="O143" s="16" t="s">
        <v>921</v>
      </c>
      <c r="P143" s="6" t="s">
        <v>920</v>
      </c>
      <c r="Q143" s="6" t="s">
        <v>537</v>
      </c>
      <c r="AC143" s="19" t="str">
        <f ca="1">HYPERLINK("#"&amp;단가산출근거목록표!J2&amp;"!A"&amp;ROW(단가산출근거목록표!A27),"산근   24 →")</f>
        <v>산근   24 →</v>
      </c>
    </row>
    <row r="144" spans="1:29" ht="30.6" customHeight="1" x14ac:dyDescent="0.3">
      <c r="A144" s="9"/>
      <c r="B144" s="9"/>
      <c r="C144" s="44"/>
      <c r="D144" s="45"/>
      <c r="E144" s="24"/>
      <c r="F144" s="10">
        <v>0</v>
      </c>
      <c r="G144" s="49"/>
      <c r="H144" s="58"/>
      <c r="I144" s="58"/>
      <c r="J144" s="58"/>
      <c r="K144" s="58"/>
      <c r="L144" s="58"/>
      <c r="M144" s="52"/>
      <c r="N144" s="24"/>
      <c r="O144" s="16" t="s">
        <v>793</v>
      </c>
      <c r="P144" s="6" t="s">
        <v>540</v>
      </c>
      <c r="Q144" s="6" t="s">
        <v>554</v>
      </c>
    </row>
    <row r="145" spans="1:29" ht="30.6" customHeight="1" x14ac:dyDescent="0.3">
      <c r="A145" s="41" t="s">
        <v>923</v>
      </c>
      <c r="B145" s="41" t="s">
        <v>924</v>
      </c>
      <c r="C145" s="43"/>
      <c r="D145" s="45"/>
      <c r="E145" s="24"/>
      <c r="F145" s="10">
        <v>0</v>
      </c>
      <c r="G145" s="54">
        <f>SUMIF(Q146:Q149,P145,G146:G149)</f>
        <v>4459000</v>
      </c>
      <c r="H145" s="12">
        <v>0</v>
      </c>
      <c r="I145" s="55">
        <f>SUMIF(Q146:Q149,P145,I146:I149)</f>
        <v>0</v>
      </c>
      <c r="J145" s="12">
        <v>0</v>
      </c>
      <c r="K145" s="61">
        <f>SUMIF(Q146:Q149,P145,K146:K149)</f>
        <v>4459000</v>
      </c>
      <c r="L145" s="23">
        <v>0</v>
      </c>
      <c r="M145" s="61">
        <f>SUMIF(Q146:Q149,P145,M146:M149)</f>
        <v>0</v>
      </c>
      <c r="N145" s="24"/>
      <c r="O145" s="36" t="str">
        <f>"_x0007_`COD|E3_x0005_`QTY1|1_x0005_`EXI|0_x0005_`ITT|0_x0005_`END|"&amp;ROW(M150)&amp;"_x0005_`"</f>
        <v>_x0007_`COD|E3_x0005_`QTY1|1_x0005_`EXI|0_x0005_`ITT|0_x0005_`END|150_x0005_`</v>
      </c>
      <c r="P145" s="6" t="s">
        <v>537</v>
      </c>
      <c r="Q145" s="6" t="s">
        <v>554</v>
      </c>
    </row>
    <row r="146" spans="1:29" ht="30.6" customHeight="1" x14ac:dyDescent="0.3">
      <c r="A146" s="9"/>
      <c r="B146" s="9" t="s">
        <v>543</v>
      </c>
      <c r="C146" s="44" t="s">
        <v>536</v>
      </c>
      <c r="D146" s="46">
        <v>16</v>
      </c>
      <c r="E146" s="24" t="s">
        <v>442</v>
      </c>
      <c r="F146" s="53">
        <f t="shared" ref="F146:G149" si="28">J146+H146+L146</f>
        <v>29000</v>
      </c>
      <c r="G146" s="55">
        <f t="shared" si="28"/>
        <v>464000</v>
      </c>
      <c r="H146" s="59">
        <v>0</v>
      </c>
      <c r="I146" s="23">
        <f>ROUNDDOWN(H146*D146,0)</f>
        <v>0</v>
      </c>
      <c r="J146" s="60">
        <f>재료비목록표!E27</f>
        <v>29000</v>
      </c>
      <c r="K146" s="12">
        <f>ROUNDDOWN(J146*D146,0)</f>
        <v>464000</v>
      </c>
      <c r="L146" s="62">
        <v>0</v>
      </c>
      <c r="M146" s="23">
        <f>ROUNDDOWN(L146*D146,0)</f>
        <v>0</v>
      </c>
      <c r="N146" s="24" t="s">
        <v>927</v>
      </c>
      <c r="O146" s="16" t="s">
        <v>926</v>
      </c>
      <c r="P146" s="6" t="s">
        <v>925</v>
      </c>
      <c r="Q146" s="6" t="s">
        <v>537</v>
      </c>
      <c r="AC146" s="19" t="str">
        <f ca="1">HYPERLINK("#"&amp;재료비목록표!G2&amp;"!A"&amp;ROW(재료비목록표!A27),"자재   24 →")</f>
        <v>자재   24 →</v>
      </c>
    </row>
    <row r="147" spans="1:29" ht="30.6" customHeight="1" x14ac:dyDescent="0.3">
      <c r="A147" s="9"/>
      <c r="B147" s="9" t="s">
        <v>535</v>
      </c>
      <c r="C147" s="44" t="s">
        <v>536</v>
      </c>
      <c r="D147" s="46">
        <v>19</v>
      </c>
      <c r="E147" s="24" t="s">
        <v>442</v>
      </c>
      <c r="F147" s="53">
        <f t="shared" si="28"/>
        <v>21000</v>
      </c>
      <c r="G147" s="55">
        <f t="shared" si="28"/>
        <v>399000</v>
      </c>
      <c r="H147" s="59">
        <v>0</v>
      </c>
      <c r="I147" s="23">
        <f>ROUNDDOWN(H147*D147,0)</f>
        <v>0</v>
      </c>
      <c r="J147" s="60">
        <f>재료비목록표!E25</f>
        <v>21000</v>
      </c>
      <c r="K147" s="12">
        <f>ROUNDDOWN(J147*D147,0)</f>
        <v>399000</v>
      </c>
      <c r="L147" s="62">
        <v>0</v>
      </c>
      <c r="M147" s="23">
        <f>ROUNDDOWN(L147*D147,0)</f>
        <v>0</v>
      </c>
      <c r="N147" s="24" t="s">
        <v>930</v>
      </c>
      <c r="O147" s="16" t="s">
        <v>929</v>
      </c>
      <c r="P147" s="6" t="s">
        <v>928</v>
      </c>
      <c r="Q147" s="6" t="s">
        <v>537</v>
      </c>
      <c r="AC147" s="19" t="str">
        <f ca="1">HYPERLINK("#"&amp;재료비목록표!G2&amp;"!A"&amp;ROW(재료비목록표!A25),"자재   22 →")</f>
        <v>자재   22 →</v>
      </c>
    </row>
    <row r="148" spans="1:29" ht="30.6" customHeight="1" x14ac:dyDescent="0.3">
      <c r="A148" s="9"/>
      <c r="B148" s="9" t="s">
        <v>547</v>
      </c>
      <c r="C148" s="44" t="s">
        <v>567</v>
      </c>
      <c r="D148" s="46">
        <v>54</v>
      </c>
      <c r="E148" s="24" t="s">
        <v>229</v>
      </c>
      <c r="F148" s="53">
        <f t="shared" si="28"/>
        <v>44000</v>
      </c>
      <c r="G148" s="55">
        <f t="shared" si="28"/>
        <v>2376000</v>
      </c>
      <c r="H148" s="59">
        <v>0</v>
      </c>
      <c r="I148" s="23">
        <f>ROUNDDOWN(H148*D148,0)</f>
        <v>0</v>
      </c>
      <c r="J148" s="60">
        <f>재료비목록표!E32</f>
        <v>44000</v>
      </c>
      <c r="K148" s="12">
        <f>ROUNDDOWN(J148*D148,0)</f>
        <v>2376000</v>
      </c>
      <c r="L148" s="62">
        <v>0</v>
      </c>
      <c r="M148" s="23">
        <f>ROUNDDOWN(L148*D148,0)</f>
        <v>0</v>
      </c>
      <c r="N148" s="24" t="s">
        <v>933</v>
      </c>
      <c r="O148" s="16" t="s">
        <v>932</v>
      </c>
      <c r="P148" s="6" t="s">
        <v>931</v>
      </c>
      <c r="Q148" s="6" t="s">
        <v>537</v>
      </c>
      <c r="AC148" s="19" t="str">
        <f ca="1">HYPERLINK("#"&amp;재료비목록표!G2&amp;"!A"&amp;ROW(재료비목록표!A32),"자재   29 →")</f>
        <v>자재   29 →</v>
      </c>
    </row>
    <row r="149" spans="1:29" ht="30.6" customHeight="1" x14ac:dyDescent="0.3">
      <c r="A149" s="9"/>
      <c r="B149" s="9" t="s">
        <v>530</v>
      </c>
      <c r="C149" s="44" t="s">
        <v>531</v>
      </c>
      <c r="D149" s="46">
        <v>244</v>
      </c>
      <c r="E149" s="24" t="s">
        <v>243</v>
      </c>
      <c r="F149" s="53">
        <f t="shared" si="28"/>
        <v>5000</v>
      </c>
      <c r="G149" s="55">
        <f t="shared" si="28"/>
        <v>1220000</v>
      </c>
      <c r="H149" s="59">
        <v>0</v>
      </c>
      <c r="I149" s="23">
        <f>ROUNDDOWN(H149*D149,0)</f>
        <v>0</v>
      </c>
      <c r="J149" s="60">
        <f>재료비목록표!E24</f>
        <v>5000</v>
      </c>
      <c r="K149" s="12">
        <f>ROUNDDOWN(J149*D149,0)</f>
        <v>1220000</v>
      </c>
      <c r="L149" s="62">
        <v>0</v>
      </c>
      <c r="M149" s="23">
        <f>ROUNDDOWN(L149*D149,0)</f>
        <v>0</v>
      </c>
      <c r="N149" s="24" t="s">
        <v>936</v>
      </c>
      <c r="O149" s="16" t="s">
        <v>935</v>
      </c>
      <c r="P149" s="6" t="s">
        <v>934</v>
      </c>
      <c r="Q149" s="6" t="s">
        <v>537</v>
      </c>
      <c r="AC149" s="19" t="str">
        <f ca="1">HYPERLINK("#"&amp;재료비목록표!G2&amp;"!A"&amp;ROW(재료비목록표!A24),"자재   21 →")</f>
        <v>자재   21 →</v>
      </c>
    </row>
    <row r="150" spans="1:29" ht="30.6" customHeight="1" x14ac:dyDescent="0.3">
      <c r="A150" s="9"/>
      <c r="B150" s="9"/>
      <c r="C150" s="44"/>
      <c r="D150" s="45"/>
      <c r="E150" s="24"/>
      <c r="F150" s="10">
        <v>0</v>
      </c>
      <c r="G150" s="49"/>
      <c r="H150" s="58"/>
      <c r="I150" s="58"/>
      <c r="J150" s="58"/>
      <c r="K150" s="58"/>
      <c r="L150" s="58"/>
      <c r="M150" s="52"/>
      <c r="N150" s="24"/>
      <c r="O150" s="16" t="s">
        <v>586</v>
      </c>
      <c r="P150" s="6" t="s">
        <v>540</v>
      </c>
      <c r="Q150" s="6" t="s">
        <v>581</v>
      </c>
    </row>
    <row r="151" spans="1:29" ht="30.6" customHeight="1" x14ac:dyDescent="0.3">
      <c r="A151" s="9"/>
      <c r="B151" s="9"/>
      <c r="C151" s="9"/>
      <c r="D151" s="47"/>
      <c r="E151" s="33"/>
      <c r="F151" s="50"/>
      <c r="G151" s="50"/>
      <c r="H151" s="50"/>
      <c r="I151" s="50"/>
      <c r="J151" s="50"/>
      <c r="K151" s="50"/>
      <c r="L151" s="50"/>
      <c r="M151" s="50"/>
      <c r="N151" s="24"/>
    </row>
    <row r="152" spans="1:29" ht="30.6" customHeight="1" x14ac:dyDescent="0.3">
      <c r="A152" s="9"/>
      <c r="B152" s="9"/>
      <c r="C152" s="9"/>
      <c r="D152" s="47"/>
      <c r="E152" s="33"/>
      <c r="F152" s="50"/>
      <c r="G152" s="50"/>
      <c r="H152" s="50"/>
      <c r="I152" s="50"/>
      <c r="J152" s="50"/>
      <c r="K152" s="50"/>
      <c r="L152" s="50"/>
      <c r="M152" s="50"/>
      <c r="N152" s="24"/>
    </row>
    <row r="153" spans="1:29" ht="30.6" customHeight="1" x14ac:dyDescent="0.3">
      <c r="A153" s="9"/>
      <c r="B153" s="9"/>
      <c r="C153" s="9"/>
      <c r="D153" s="47"/>
      <c r="E153" s="33"/>
      <c r="F153" s="50"/>
      <c r="G153" s="50"/>
      <c r="H153" s="50"/>
      <c r="I153" s="50"/>
      <c r="J153" s="50"/>
      <c r="K153" s="50"/>
      <c r="L153" s="50"/>
      <c r="M153" s="50"/>
      <c r="N153" s="24"/>
    </row>
    <row r="154" spans="1:29" ht="30.6" customHeight="1" x14ac:dyDescent="0.3">
      <c r="A154" s="9"/>
      <c r="B154" s="9"/>
      <c r="C154" s="9"/>
      <c r="D154" s="47"/>
      <c r="E154" s="33"/>
      <c r="F154" s="50"/>
      <c r="G154" s="50"/>
      <c r="H154" s="50"/>
      <c r="I154" s="50"/>
      <c r="J154" s="50"/>
      <c r="K154" s="50"/>
      <c r="L154" s="50"/>
      <c r="M154" s="50"/>
      <c r="N154" s="24"/>
    </row>
    <row r="155" spans="1:29" ht="30.6" customHeight="1" x14ac:dyDescent="0.3">
      <c r="A155" s="9"/>
      <c r="B155" s="9"/>
      <c r="C155" s="9"/>
      <c r="D155" s="47"/>
      <c r="E155" s="33"/>
      <c r="F155" s="50"/>
      <c r="G155" s="50"/>
      <c r="H155" s="50"/>
      <c r="I155" s="50"/>
      <c r="J155" s="50"/>
      <c r="K155" s="50"/>
      <c r="L155" s="50"/>
      <c r="M155" s="50"/>
      <c r="N155" s="24"/>
    </row>
    <row r="156" spans="1:29" ht="30.6" customHeight="1" x14ac:dyDescent="0.3">
      <c r="A156" s="9"/>
      <c r="B156" s="9"/>
      <c r="C156" s="9"/>
      <c r="D156" s="47"/>
      <c r="E156" s="33"/>
      <c r="F156" s="50"/>
      <c r="G156" s="50"/>
      <c r="H156" s="50"/>
      <c r="I156" s="50"/>
      <c r="J156" s="50"/>
      <c r="K156" s="50"/>
      <c r="L156" s="50"/>
      <c r="M156" s="50"/>
      <c r="N156" s="24"/>
    </row>
    <row r="157" spans="1:29" ht="30.6" customHeight="1" x14ac:dyDescent="0.3">
      <c r="A157" s="9"/>
      <c r="B157" s="9"/>
      <c r="C157" s="9"/>
      <c r="D157" s="47"/>
      <c r="E157" s="33"/>
      <c r="F157" s="50"/>
      <c r="G157" s="50"/>
      <c r="H157" s="50"/>
      <c r="I157" s="50"/>
      <c r="J157" s="50"/>
      <c r="K157" s="50"/>
      <c r="L157" s="50"/>
      <c r="M157" s="50"/>
      <c r="N157" s="24"/>
    </row>
    <row r="158" spans="1:29" ht="30.6" customHeight="1" x14ac:dyDescent="0.3">
      <c r="A158" s="9"/>
      <c r="B158" s="9"/>
      <c r="C158" s="9"/>
      <c r="D158" s="47"/>
      <c r="E158" s="33"/>
      <c r="F158" s="50"/>
      <c r="G158" s="50"/>
      <c r="H158" s="50"/>
      <c r="I158" s="50"/>
      <c r="J158" s="50"/>
      <c r="K158" s="50"/>
      <c r="L158" s="50"/>
      <c r="M158" s="50"/>
      <c r="N158" s="24"/>
    </row>
    <row r="159" spans="1:29" ht="30.6" customHeight="1" x14ac:dyDescent="0.3">
      <c r="A159" s="9"/>
      <c r="B159" s="9"/>
      <c r="C159" s="9"/>
      <c r="D159" s="47"/>
      <c r="E159" s="33"/>
      <c r="F159" s="50"/>
      <c r="G159" s="50"/>
      <c r="H159" s="50"/>
      <c r="I159" s="50"/>
      <c r="J159" s="50"/>
      <c r="K159" s="50"/>
      <c r="L159" s="50"/>
      <c r="M159" s="50"/>
      <c r="N159" s="24"/>
    </row>
    <row r="160" spans="1:29" ht="30.6" customHeight="1" x14ac:dyDescent="0.3">
      <c r="A160" s="9"/>
      <c r="B160" s="9"/>
      <c r="C160" s="9"/>
      <c r="D160" s="47"/>
      <c r="E160" s="33"/>
      <c r="F160" s="50"/>
      <c r="G160" s="50"/>
      <c r="H160" s="50"/>
      <c r="I160" s="50"/>
      <c r="J160" s="50"/>
      <c r="K160" s="50"/>
      <c r="L160" s="50"/>
      <c r="M160" s="50"/>
      <c r="N160" s="24"/>
    </row>
    <row r="161" spans="1:29" ht="30.6" customHeight="1" x14ac:dyDescent="0.3">
      <c r="A161" s="9"/>
      <c r="B161" s="9"/>
      <c r="C161" s="9"/>
      <c r="D161" s="47"/>
      <c r="E161" s="33"/>
      <c r="F161" s="50"/>
      <c r="G161" s="50"/>
      <c r="H161" s="50"/>
      <c r="I161" s="50"/>
      <c r="J161" s="50"/>
      <c r="K161" s="50"/>
      <c r="L161" s="50"/>
      <c r="M161" s="50"/>
      <c r="N161" s="24"/>
    </row>
    <row r="162" spans="1:29" ht="30.6" customHeight="1" x14ac:dyDescent="0.3">
      <c r="A162" s="9"/>
      <c r="B162" s="9"/>
      <c r="C162" s="9"/>
      <c r="D162" s="47"/>
      <c r="E162" s="33"/>
      <c r="F162" s="50"/>
      <c r="G162" s="50"/>
      <c r="H162" s="50"/>
      <c r="I162" s="50"/>
      <c r="J162" s="50"/>
      <c r="K162" s="50"/>
      <c r="L162" s="50"/>
      <c r="M162" s="50"/>
      <c r="N162" s="24"/>
    </row>
    <row r="163" spans="1:29" ht="30.6" customHeight="1" x14ac:dyDescent="0.3">
      <c r="A163" s="9"/>
      <c r="B163" s="9"/>
      <c r="C163" s="9"/>
      <c r="D163" s="47"/>
      <c r="E163" s="33"/>
      <c r="F163" s="50"/>
      <c r="G163" s="50"/>
      <c r="H163" s="50"/>
      <c r="I163" s="50"/>
      <c r="J163" s="50"/>
      <c r="K163" s="50"/>
      <c r="L163" s="50"/>
      <c r="M163" s="50"/>
      <c r="N163" s="24"/>
    </row>
    <row r="164" spans="1:29" ht="30.6" customHeight="1" x14ac:dyDescent="0.3">
      <c r="A164" s="9"/>
      <c r="B164" s="9"/>
      <c r="C164" s="9"/>
      <c r="D164" s="47"/>
      <c r="E164" s="33"/>
      <c r="F164" s="50"/>
      <c r="G164" s="50"/>
      <c r="H164" s="50"/>
      <c r="I164" s="50"/>
      <c r="J164" s="50"/>
      <c r="K164" s="50"/>
      <c r="L164" s="50"/>
      <c r="M164" s="50"/>
      <c r="N164" s="24"/>
    </row>
    <row r="165" spans="1:29" ht="30.6" customHeight="1" x14ac:dyDescent="0.3">
      <c r="A165" s="41" t="s">
        <v>577</v>
      </c>
      <c r="B165" s="41" t="s">
        <v>938</v>
      </c>
      <c r="C165" s="43" t="s">
        <v>939</v>
      </c>
      <c r="D165" s="45"/>
      <c r="E165" s="24"/>
      <c r="F165" s="10">
        <v>0</v>
      </c>
      <c r="G165" s="54">
        <f>SUMIF(Q166:Q233,P165,G166:G233)</f>
        <v>279539423</v>
      </c>
      <c r="H165" s="12">
        <v>0</v>
      </c>
      <c r="I165" s="55">
        <f>SUMIF(Q166:Q233,P165,I166:I233)</f>
        <v>117714471</v>
      </c>
      <c r="J165" s="12">
        <v>0</v>
      </c>
      <c r="K165" s="61">
        <f>SUMIF(Q166:Q233,P165,K166:K233)</f>
        <v>91003260</v>
      </c>
      <c r="L165" s="23">
        <v>0</v>
      </c>
      <c r="M165" s="61">
        <f>SUMIF(Q166:Q233,P165,M166:M233)</f>
        <v>70821692</v>
      </c>
      <c r="N165" s="24"/>
      <c r="O165" s="36" t="str">
        <f>"_x0007_`COD|E4_x0005_`QTY1|1_x0005_`EXI|0_x0005_`ITT|0_x0005_`END|"&amp;ROW(M234)&amp;"_x0005_`"</f>
        <v>_x0007_`COD|E4_x0005_`QTY1|1_x0005_`EXI|0_x0005_`ITT|0_x0005_`END|234_x0005_`</v>
      </c>
      <c r="P165" s="6" t="s">
        <v>554</v>
      </c>
      <c r="Q165" s="6" t="s">
        <v>581</v>
      </c>
    </row>
    <row r="166" spans="1:29" ht="30.6" customHeight="1" x14ac:dyDescent="0.3">
      <c r="A166" s="41" t="s">
        <v>549</v>
      </c>
      <c r="B166" s="41" t="s">
        <v>544</v>
      </c>
      <c r="C166" s="43"/>
      <c r="D166" s="45"/>
      <c r="E166" s="24"/>
      <c r="F166" s="10">
        <v>0</v>
      </c>
      <c r="G166" s="54">
        <f>SUMIF(Q167:Q196,P166,G167:G196)</f>
        <v>189929261</v>
      </c>
      <c r="H166" s="12">
        <v>0</v>
      </c>
      <c r="I166" s="55">
        <f>SUMIF(Q167:Q196,P166,I167:I196)</f>
        <v>89709254</v>
      </c>
      <c r="J166" s="12">
        <v>0</v>
      </c>
      <c r="K166" s="61">
        <f>SUMIF(Q167:Q196,P166,K167:K196)</f>
        <v>57723292</v>
      </c>
      <c r="L166" s="23">
        <v>0</v>
      </c>
      <c r="M166" s="61">
        <f>SUMIF(Q167:Q196,P166,M167:M196)</f>
        <v>42496715</v>
      </c>
      <c r="N166" s="24"/>
      <c r="O166" s="36" t="str">
        <f>"_x0007_`COD|E3_x0005_`QTY1|1_x0005_`EXI|0_x0005_`ITT|0_x0005_`END|"&amp;ROW(M197)&amp;"_x0005_`"</f>
        <v>_x0007_`COD|E3_x0005_`QTY1|1_x0005_`EXI|0_x0005_`ITT|0_x0005_`END|197_x0005_`</v>
      </c>
      <c r="P166" s="6" t="s">
        <v>537</v>
      </c>
      <c r="Q166" s="6" t="s">
        <v>554</v>
      </c>
    </row>
    <row r="167" spans="1:29" ht="30.6" customHeight="1" x14ac:dyDescent="0.3">
      <c r="A167" s="41" t="s">
        <v>532</v>
      </c>
      <c r="B167" s="41" t="s">
        <v>527</v>
      </c>
      <c r="C167" s="43"/>
      <c r="D167" s="45"/>
      <c r="E167" s="24"/>
      <c r="F167" s="10">
        <v>0</v>
      </c>
      <c r="G167" s="54">
        <f>SUMIF(Q168:Q170,P167,G168:G170)</f>
        <v>2198840</v>
      </c>
      <c r="H167" s="12">
        <v>0</v>
      </c>
      <c r="I167" s="55">
        <f>SUMIF(Q168:Q170,P167,I168:I170)</f>
        <v>1702064</v>
      </c>
      <c r="J167" s="12">
        <v>0</v>
      </c>
      <c r="K167" s="61">
        <f>SUMIF(Q168:Q170,P167,K168:K170)</f>
        <v>366366</v>
      </c>
      <c r="L167" s="23">
        <v>0</v>
      </c>
      <c r="M167" s="61">
        <f>SUMIF(Q168:Q170,P167,M168:M170)</f>
        <v>130410</v>
      </c>
      <c r="N167" s="24"/>
      <c r="O167" s="36" t="str">
        <f>"_x0007_`COD|E2_x0005_`QTY1|1_x0005_`EXI|0_x0005_`ITT|0_x0005_`END|"&amp;ROW(M171)&amp;"_x0005_`"</f>
        <v>_x0007_`COD|E2_x0005_`QTY1|1_x0005_`EXI|0_x0005_`ITT|0_x0005_`END|171_x0005_`</v>
      </c>
      <c r="P167" s="6" t="s">
        <v>515</v>
      </c>
      <c r="Q167" s="6" t="s">
        <v>537</v>
      </c>
    </row>
    <row r="168" spans="1:29" ht="30.6" customHeight="1" x14ac:dyDescent="0.3">
      <c r="A168" s="9"/>
      <c r="B168" s="9" t="s">
        <v>34</v>
      </c>
      <c r="C168" s="44" t="s">
        <v>35</v>
      </c>
      <c r="D168" s="46">
        <v>18</v>
      </c>
      <c r="E168" s="24" t="s">
        <v>36</v>
      </c>
      <c r="F168" s="53">
        <f t="shared" ref="F168:G170" si="29">J168+H168+L168</f>
        <v>25821</v>
      </c>
      <c r="G168" s="55">
        <f t="shared" si="29"/>
        <v>464778</v>
      </c>
      <c r="H168" s="57">
        <f>일위대가목록표!F8</f>
        <v>21936</v>
      </c>
      <c r="I168" s="12">
        <f>ROUNDDOWN(H168*D168,0)</f>
        <v>394848</v>
      </c>
      <c r="J168" s="60">
        <f>일위대가목록표!G8</f>
        <v>3885</v>
      </c>
      <c r="K168" s="12">
        <f>ROUNDDOWN(J168*D168,0)</f>
        <v>69930</v>
      </c>
      <c r="L168" s="53">
        <f>일위대가목록표!H8</f>
        <v>0</v>
      </c>
      <c r="M168" s="23">
        <f>ROUNDDOWN(L168*D168,0)</f>
        <v>0</v>
      </c>
      <c r="N168" s="24" t="s">
        <v>495</v>
      </c>
      <c r="O168" s="16" t="s">
        <v>510</v>
      </c>
      <c r="P168" s="6" t="s">
        <v>519</v>
      </c>
      <c r="Q168" s="6" t="s">
        <v>515</v>
      </c>
      <c r="AC168" s="19" t="str">
        <f ca="1">HYPERLINK("#"&amp;일위대가목록표!J2&amp;"!A"&amp;ROW(일위대가목록표!A8),"대가    5 →")</f>
        <v>대가    5 →</v>
      </c>
    </row>
    <row r="169" spans="1:29" ht="30.6" customHeight="1" x14ac:dyDescent="0.3">
      <c r="A169" s="9"/>
      <c r="B169" s="9" t="s">
        <v>34</v>
      </c>
      <c r="C169" s="44" t="s">
        <v>51</v>
      </c>
      <c r="D169" s="46">
        <v>28</v>
      </c>
      <c r="E169" s="24" t="s">
        <v>36</v>
      </c>
      <c r="F169" s="53">
        <f t="shared" si="29"/>
        <v>39974</v>
      </c>
      <c r="G169" s="55">
        <f t="shared" si="29"/>
        <v>1119272</v>
      </c>
      <c r="H169" s="57">
        <f>일위대가목록표!F11</f>
        <v>33032</v>
      </c>
      <c r="I169" s="12">
        <f>ROUNDDOWN(H169*D169,0)</f>
        <v>924896</v>
      </c>
      <c r="J169" s="60">
        <f>일위대가목록표!G11</f>
        <v>6942</v>
      </c>
      <c r="K169" s="12">
        <f>ROUNDDOWN(J169*D169,0)</f>
        <v>194376</v>
      </c>
      <c r="L169" s="53">
        <f>일위대가목록표!H11</f>
        <v>0</v>
      </c>
      <c r="M169" s="23">
        <f>ROUNDDOWN(L169*D169,0)</f>
        <v>0</v>
      </c>
      <c r="N169" s="24" t="s">
        <v>481</v>
      </c>
      <c r="O169" s="16" t="s">
        <v>486</v>
      </c>
      <c r="P169" s="6" t="s">
        <v>491</v>
      </c>
      <c r="Q169" s="6" t="s">
        <v>515</v>
      </c>
      <c r="AC169" s="19" t="str">
        <f ca="1">HYPERLINK("#"&amp;일위대가목록표!J2&amp;"!A"&amp;ROW(일위대가목록표!A11),"대가    8 →")</f>
        <v>대가    8 →</v>
      </c>
    </row>
    <row r="170" spans="1:29" ht="30.6" customHeight="1" x14ac:dyDescent="0.3">
      <c r="A170" s="9"/>
      <c r="B170" s="9" t="s">
        <v>67</v>
      </c>
      <c r="C170" s="44" t="s">
        <v>68</v>
      </c>
      <c r="D170" s="46">
        <v>810</v>
      </c>
      <c r="E170" s="24" t="s">
        <v>42</v>
      </c>
      <c r="F170" s="53">
        <f t="shared" si="29"/>
        <v>759</v>
      </c>
      <c r="G170" s="55">
        <f t="shared" si="29"/>
        <v>614790</v>
      </c>
      <c r="H170" s="57">
        <f>일위대가목록표!F15</f>
        <v>472</v>
      </c>
      <c r="I170" s="12">
        <f>ROUNDDOWN(H170*D170,0)</f>
        <v>382320</v>
      </c>
      <c r="J170" s="60">
        <f>일위대가목록표!G15</f>
        <v>126</v>
      </c>
      <c r="K170" s="12">
        <f>ROUNDDOWN(J170*D170,0)</f>
        <v>102060</v>
      </c>
      <c r="L170" s="53">
        <f>일위대가목록표!H15</f>
        <v>161</v>
      </c>
      <c r="M170" s="23">
        <f>ROUNDDOWN(L170*D170,0)</f>
        <v>130410</v>
      </c>
      <c r="N170" s="24" t="s">
        <v>792</v>
      </c>
      <c r="O170" s="16" t="s">
        <v>791</v>
      </c>
      <c r="P170" s="6" t="s">
        <v>475</v>
      </c>
      <c r="Q170" s="6" t="s">
        <v>515</v>
      </c>
      <c r="AC170" s="19" t="str">
        <f ca="1">HYPERLINK("#"&amp;일위대가목록표!J2&amp;"!A"&amp;ROW(일위대가목록표!A15),"대가   12 →")</f>
        <v>대가   12 →</v>
      </c>
    </row>
    <row r="171" spans="1:29" ht="30.6" customHeight="1" x14ac:dyDescent="0.3">
      <c r="A171" s="9"/>
      <c r="B171" s="9"/>
      <c r="C171" s="44"/>
      <c r="D171" s="45"/>
      <c r="E171" s="24"/>
      <c r="F171" s="10">
        <v>0</v>
      </c>
      <c r="G171" s="49"/>
      <c r="H171" s="58"/>
      <c r="I171" s="58"/>
      <c r="J171" s="58"/>
      <c r="K171" s="58"/>
      <c r="L171" s="58"/>
      <c r="M171" s="52"/>
      <c r="N171" s="24"/>
      <c r="O171" s="16" t="s">
        <v>793</v>
      </c>
      <c r="P171" s="6" t="s">
        <v>540</v>
      </c>
      <c r="Q171" s="6" t="s">
        <v>537</v>
      </c>
    </row>
    <row r="172" spans="1:29" ht="30.6" customHeight="1" x14ac:dyDescent="0.3">
      <c r="A172" s="41" t="s">
        <v>796</v>
      </c>
      <c r="B172" s="41" t="s">
        <v>797</v>
      </c>
      <c r="C172" s="43"/>
      <c r="D172" s="45"/>
      <c r="E172" s="24"/>
      <c r="F172" s="10">
        <v>0</v>
      </c>
      <c r="G172" s="54">
        <f>SUMIF(Q173:Q175,P172,G173:G175)</f>
        <v>161365949</v>
      </c>
      <c r="H172" s="12">
        <v>0</v>
      </c>
      <c r="I172" s="55">
        <f>SUMIF(Q173:Q175,P172,I173:I175)</f>
        <v>73636959</v>
      </c>
      <c r="J172" s="12">
        <v>0</v>
      </c>
      <c r="K172" s="61">
        <f>SUMIF(Q173:Q175,P172,K173:K175)</f>
        <v>52413239</v>
      </c>
      <c r="L172" s="23">
        <v>0</v>
      </c>
      <c r="M172" s="61">
        <f>SUMIF(Q173:Q175,P172,M173:M175)</f>
        <v>35315751</v>
      </c>
      <c r="N172" s="24"/>
      <c r="O172" s="36" t="str">
        <f>"_x0007_`COD|E2_x0005_`QTY1|1_x0005_`EXI|0_x0005_`ITT|0_x0005_`END|"&amp;ROW(M176)&amp;"_x0005_`"</f>
        <v>_x0007_`COD|E2_x0005_`QTY1|1_x0005_`EXI|0_x0005_`ITT|0_x0005_`END|176_x0005_`</v>
      </c>
      <c r="P172" s="6" t="s">
        <v>515</v>
      </c>
      <c r="Q172" s="6" t="s">
        <v>537</v>
      </c>
    </row>
    <row r="173" spans="1:29" ht="30.6" customHeight="1" x14ac:dyDescent="0.3">
      <c r="A173" s="9"/>
      <c r="B173" s="9" t="s">
        <v>214</v>
      </c>
      <c r="C173" s="44" t="s">
        <v>201</v>
      </c>
      <c r="D173" s="46">
        <v>7164</v>
      </c>
      <c r="E173" s="24" t="s">
        <v>14</v>
      </c>
      <c r="F173" s="53">
        <f t="shared" ref="F173:G175" si="30">J173+H173+L173</f>
        <v>1939</v>
      </c>
      <c r="G173" s="55">
        <f t="shared" si="30"/>
        <v>13890996</v>
      </c>
      <c r="H173" s="57">
        <f>단가산출근거목록표!F16</f>
        <v>1116</v>
      </c>
      <c r="I173" s="12">
        <f>ROUNDDOWN(H173*D173,0)</f>
        <v>7995024</v>
      </c>
      <c r="J173" s="60">
        <f>단가산출근거목록표!G16</f>
        <v>360</v>
      </c>
      <c r="K173" s="12">
        <f>ROUNDDOWN(J173*D173,0)</f>
        <v>2579040</v>
      </c>
      <c r="L173" s="53">
        <f>단가산출근거목록표!H16</f>
        <v>463</v>
      </c>
      <c r="M173" s="23">
        <f>ROUNDDOWN(L173*D173,0)</f>
        <v>3316932</v>
      </c>
      <c r="N173" s="24" t="s">
        <v>800</v>
      </c>
      <c r="O173" s="16" t="s">
        <v>799</v>
      </c>
      <c r="P173" s="6" t="s">
        <v>798</v>
      </c>
      <c r="Q173" s="6" t="s">
        <v>515</v>
      </c>
      <c r="AC173" s="19" t="str">
        <f ca="1">HYPERLINK("#"&amp;단가산출근거목록표!J2&amp;"!A"&amp;ROW(단가산출근거목록표!A16),"산근   13 →")</f>
        <v>산근   13 →</v>
      </c>
    </row>
    <row r="174" spans="1:29" ht="30.6" customHeight="1" x14ac:dyDescent="0.3">
      <c r="A174" s="9"/>
      <c r="B174" s="9" t="s">
        <v>223</v>
      </c>
      <c r="C174" s="44" t="s">
        <v>224</v>
      </c>
      <c r="D174" s="46">
        <v>2944</v>
      </c>
      <c r="E174" s="24" t="s">
        <v>14</v>
      </c>
      <c r="F174" s="53">
        <f t="shared" si="30"/>
        <v>23875</v>
      </c>
      <c r="G174" s="55">
        <f t="shared" si="30"/>
        <v>70288000</v>
      </c>
      <c r="H174" s="57">
        <f>단가산출근거목록표!F19</f>
        <v>12397</v>
      </c>
      <c r="I174" s="12">
        <f>ROUNDDOWN(H174*D174,0)</f>
        <v>36496768</v>
      </c>
      <c r="J174" s="60">
        <f>단가산출근거목록표!G19</f>
        <v>4097</v>
      </c>
      <c r="K174" s="12">
        <f>ROUNDDOWN(J174*D174,0)</f>
        <v>12061568</v>
      </c>
      <c r="L174" s="53">
        <f>단가산출근거목록표!H19</f>
        <v>7381</v>
      </c>
      <c r="M174" s="23">
        <f>ROUNDDOWN(L174*D174,0)</f>
        <v>21729664</v>
      </c>
      <c r="N174" s="24" t="s">
        <v>803</v>
      </c>
      <c r="O174" s="16" t="s">
        <v>802</v>
      </c>
      <c r="P174" s="6" t="s">
        <v>801</v>
      </c>
      <c r="Q174" s="6" t="s">
        <v>515</v>
      </c>
      <c r="AC174" s="19" t="str">
        <f ca="1">HYPERLINK("#"&amp;단가산출근거목록표!J2&amp;"!A"&amp;ROW(단가산출근거목록표!A19),"산근   16 →")</f>
        <v>산근   16 →</v>
      </c>
    </row>
    <row r="175" spans="1:29" ht="30.6" customHeight="1" x14ac:dyDescent="0.3">
      <c r="A175" s="9"/>
      <c r="B175" s="9" t="s">
        <v>168</v>
      </c>
      <c r="C175" s="44" t="s">
        <v>169</v>
      </c>
      <c r="D175" s="46">
        <v>6869</v>
      </c>
      <c r="E175" s="24" t="s">
        <v>14</v>
      </c>
      <c r="F175" s="53">
        <f t="shared" si="30"/>
        <v>11237</v>
      </c>
      <c r="G175" s="55">
        <f t="shared" si="30"/>
        <v>77186953</v>
      </c>
      <c r="H175" s="57">
        <f>단가산출근거목록표!F4</f>
        <v>4243</v>
      </c>
      <c r="I175" s="12">
        <f>ROUNDDOWN(H175*D175,0)</f>
        <v>29145167</v>
      </c>
      <c r="J175" s="60">
        <f>단가산출근거목록표!G4</f>
        <v>5499</v>
      </c>
      <c r="K175" s="12">
        <f>ROUNDDOWN(J175*D175,0)</f>
        <v>37772631</v>
      </c>
      <c r="L175" s="53">
        <f>단가산출근거목록표!H4</f>
        <v>1495</v>
      </c>
      <c r="M175" s="23">
        <f>ROUNDDOWN(L175*D175,0)</f>
        <v>10269155</v>
      </c>
      <c r="N175" s="24" t="s">
        <v>806</v>
      </c>
      <c r="O175" s="16" t="s">
        <v>805</v>
      </c>
      <c r="P175" s="6" t="s">
        <v>804</v>
      </c>
      <c r="Q175" s="6" t="s">
        <v>515</v>
      </c>
      <c r="AC175" s="19" t="str">
        <f ca="1">HYPERLINK("#"&amp;단가산출근거목록표!J2&amp;"!A"&amp;ROW(단가산출근거목록표!A4),"산근    1 →")</f>
        <v>산근    1 →</v>
      </c>
    </row>
    <row r="176" spans="1:29" ht="30.6" customHeight="1" x14ac:dyDescent="0.3">
      <c r="A176" s="9"/>
      <c r="B176" s="9"/>
      <c r="C176" s="44"/>
      <c r="D176" s="45"/>
      <c r="E176" s="24"/>
      <c r="F176" s="10">
        <v>0</v>
      </c>
      <c r="G176" s="49"/>
      <c r="H176" s="58"/>
      <c r="I176" s="58"/>
      <c r="J176" s="58"/>
      <c r="K176" s="58"/>
      <c r="L176" s="58"/>
      <c r="M176" s="52"/>
      <c r="N176" s="24"/>
      <c r="O176" s="16" t="s">
        <v>793</v>
      </c>
      <c r="P176" s="6" t="s">
        <v>540</v>
      </c>
      <c r="Q176" s="6" t="s">
        <v>537</v>
      </c>
    </row>
    <row r="177" spans="1:29" ht="30.6" customHeight="1" x14ac:dyDescent="0.3">
      <c r="A177" s="41" t="s">
        <v>807</v>
      </c>
      <c r="B177" s="41" t="s">
        <v>808</v>
      </c>
      <c r="C177" s="43"/>
      <c r="D177" s="45"/>
      <c r="E177" s="24"/>
      <c r="F177" s="10">
        <v>0</v>
      </c>
      <c r="G177" s="54">
        <f>SUMIF(Q178:Q180,P177,G178:G180)</f>
        <v>2968680</v>
      </c>
      <c r="H177" s="12">
        <v>0</v>
      </c>
      <c r="I177" s="55">
        <f>SUMIF(Q178:Q180,P177,I178:I180)</f>
        <v>1651854</v>
      </c>
      <c r="J177" s="12">
        <v>0</v>
      </c>
      <c r="K177" s="61">
        <f>SUMIF(Q178:Q180,P177,K178:K180)</f>
        <v>537353</v>
      </c>
      <c r="L177" s="23">
        <v>0</v>
      </c>
      <c r="M177" s="61">
        <f>SUMIF(Q178:Q180,P177,M178:M180)</f>
        <v>779473</v>
      </c>
      <c r="N177" s="24"/>
      <c r="O177" s="36" t="str">
        <f>"_x0007_`COD|E2_x0005_`QTY1|1_x0005_`EXI|0_x0005_`ITT|0_x0005_`END|"&amp;ROW(M181)&amp;"_x0005_`"</f>
        <v>_x0007_`COD|E2_x0005_`QTY1|1_x0005_`EXI|0_x0005_`ITT|0_x0005_`END|181_x0005_`</v>
      </c>
      <c r="P177" s="6" t="s">
        <v>515</v>
      </c>
      <c r="Q177" s="6" t="s">
        <v>537</v>
      </c>
    </row>
    <row r="178" spans="1:29" ht="30.6" customHeight="1" x14ac:dyDescent="0.3">
      <c r="A178" s="9"/>
      <c r="B178" s="9" t="s">
        <v>217</v>
      </c>
      <c r="C178" s="44" t="s">
        <v>201</v>
      </c>
      <c r="D178" s="46">
        <v>792</v>
      </c>
      <c r="E178" s="24" t="s">
        <v>14</v>
      </c>
      <c r="F178" s="53">
        <f t="shared" ref="F178:G180" si="31">J178+H178+L178</f>
        <v>1641</v>
      </c>
      <c r="G178" s="55">
        <f t="shared" si="31"/>
        <v>1299672</v>
      </c>
      <c r="H178" s="57">
        <f>단가산출근거목록표!F17</f>
        <v>944</v>
      </c>
      <c r="I178" s="12">
        <f>ROUNDDOWN(H178*D178,0)</f>
        <v>747648</v>
      </c>
      <c r="J178" s="60">
        <f>단가산출근거목록표!G17</f>
        <v>305</v>
      </c>
      <c r="K178" s="12">
        <f>ROUNDDOWN(J178*D178,0)</f>
        <v>241560</v>
      </c>
      <c r="L178" s="53">
        <f>단가산출근거목록표!H17</f>
        <v>392</v>
      </c>
      <c r="M178" s="23">
        <f>ROUNDDOWN(L178*D178,0)</f>
        <v>310464</v>
      </c>
      <c r="N178" s="24" t="s">
        <v>811</v>
      </c>
      <c r="O178" s="16" t="s">
        <v>810</v>
      </c>
      <c r="P178" s="6" t="s">
        <v>809</v>
      </c>
      <c r="Q178" s="6" t="s">
        <v>515</v>
      </c>
      <c r="AC178" s="19" t="str">
        <f ca="1">HYPERLINK("#"&amp;단가산출근거목록표!J2&amp;"!A"&amp;ROW(단가산출근거목록표!A17),"산근   14 →")</f>
        <v>산근   14 →</v>
      </c>
    </row>
    <row r="179" spans="1:29" ht="30.6" customHeight="1" x14ac:dyDescent="0.3">
      <c r="A179" s="9"/>
      <c r="B179" s="9" t="s">
        <v>176</v>
      </c>
      <c r="C179" s="44" t="s">
        <v>177</v>
      </c>
      <c r="D179" s="46">
        <v>29</v>
      </c>
      <c r="E179" s="24" t="s">
        <v>14</v>
      </c>
      <c r="F179" s="53">
        <f t="shared" si="31"/>
        <v>35404</v>
      </c>
      <c r="G179" s="55">
        <f t="shared" si="31"/>
        <v>1026716</v>
      </c>
      <c r="H179" s="57">
        <f>단가산출근거목록표!F6</f>
        <v>18430</v>
      </c>
      <c r="I179" s="12">
        <f>ROUNDDOWN(H179*D179,0)</f>
        <v>534470</v>
      </c>
      <c r="J179" s="60">
        <f>단가산출근거목록표!G6</f>
        <v>6085</v>
      </c>
      <c r="K179" s="12">
        <f>ROUNDDOWN(J179*D179,0)</f>
        <v>176465</v>
      </c>
      <c r="L179" s="53">
        <f>단가산출근거목록표!H6</f>
        <v>10889</v>
      </c>
      <c r="M179" s="23">
        <f>ROUNDDOWN(L179*D179,0)</f>
        <v>315781</v>
      </c>
      <c r="N179" s="24" t="s">
        <v>814</v>
      </c>
      <c r="O179" s="16" t="s">
        <v>813</v>
      </c>
      <c r="P179" s="6" t="s">
        <v>812</v>
      </c>
      <c r="Q179" s="6" t="s">
        <v>515</v>
      </c>
      <c r="AC179" s="19" t="str">
        <f ca="1">HYPERLINK("#"&amp;단가산출근거목록표!J2&amp;"!A"&amp;ROW(단가산출근거목록표!A6),"산근    3 →")</f>
        <v>산근    3 →</v>
      </c>
    </row>
    <row r="180" spans="1:29" ht="30.6" customHeight="1" x14ac:dyDescent="0.3">
      <c r="A180" s="9"/>
      <c r="B180" s="9" t="s">
        <v>220</v>
      </c>
      <c r="C180" s="44" t="s">
        <v>201</v>
      </c>
      <c r="D180" s="46">
        <v>452</v>
      </c>
      <c r="E180" s="24" t="s">
        <v>14</v>
      </c>
      <c r="F180" s="53">
        <f t="shared" si="31"/>
        <v>1421</v>
      </c>
      <c r="G180" s="55">
        <f t="shared" si="31"/>
        <v>642292</v>
      </c>
      <c r="H180" s="57">
        <f>단가산출근거목록표!F18</f>
        <v>818</v>
      </c>
      <c r="I180" s="12">
        <f>ROUNDDOWN(H180*D180,0)</f>
        <v>369736</v>
      </c>
      <c r="J180" s="60">
        <f>단가산출근거목록표!G18</f>
        <v>264</v>
      </c>
      <c r="K180" s="12">
        <f>ROUNDDOWN(J180*D180,0)</f>
        <v>119328</v>
      </c>
      <c r="L180" s="53">
        <f>단가산출근거목록표!H18</f>
        <v>339</v>
      </c>
      <c r="M180" s="23">
        <f>ROUNDDOWN(L180*D180,0)</f>
        <v>153228</v>
      </c>
      <c r="N180" s="24" t="s">
        <v>817</v>
      </c>
      <c r="O180" s="16" t="s">
        <v>816</v>
      </c>
      <c r="P180" s="6" t="s">
        <v>815</v>
      </c>
      <c r="Q180" s="6" t="s">
        <v>515</v>
      </c>
      <c r="AC180" s="19" t="str">
        <f ca="1">HYPERLINK("#"&amp;단가산출근거목록표!J2&amp;"!A"&amp;ROW(단가산출근거목록표!A18),"산근   15 →")</f>
        <v>산근   15 →</v>
      </c>
    </row>
    <row r="181" spans="1:29" ht="30.6" customHeight="1" x14ac:dyDescent="0.3">
      <c r="A181" s="9"/>
      <c r="B181" s="9"/>
      <c r="C181" s="44"/>
      <c r="D181" s="45"/>
      <c r="E181" s="24"/>
      <c r="F181" s="10">
        <v>0</v>
      </c>
      <c r="G181" s="49"/>
      <c r="H181" s="58"/>
      <c r="I181" s="58"/>
      <c r="J181" s="58"/>
      <c r="K181" s="58"/>
      <c r="L181" s="58"/>
      <c r="M181" s="52"/>
      <c r="N181" s="24"/>
      <c r="O181" s="16" t="s">
        <v>793</v>
      </c>
      <c r="P181" s="6" t="s">
        <v>540</v>
      </c>
      <c r="Q181" s="6" t="s">
        <v>537</v>
      </c>
    </row>
    <row r="182" spans="1:29" ht="30.6" customHeight="1" x14ac:dyDescent="0.3">
      <c r="A182" s="41" t="s">
        <v>818</v>
      </c>
      <c r="B182" s="41" t="s">
        <v>819</v>
      </c>
      <c r="C182" s="43"/>
      <c r="D182" s="45"/>
      <c r="E182" s="24"/>
      <c r="F182" s="10">
        <v>0</v>
      </c>
      <c r="G182" s="54">
        <f>SUMIF(Q183:Q184,P182,G183:G184)</f>
        <v>6462200</v>
      </c>
      <c r="H182" s="12">
        <v>0</v>
      </c>
      <c r="I182" s="55">
        <f>SUMIF(Q183:Q184,P182,I183:I184)</f>
        <v>3366156</v>
      </c>
      <c r="J182" s="12">
        <v>0</v>
      </c>
      <c r="K182" s="61">
        <f>SUMIF(Q183:Q184,P182,K183:K184)</f>
        <v>1110750</v>
      </c>
      <c r="L182" s="23">
        <v>0</v>
      </c>
      <c r="M182" s="61">
        <f>SUMIF(Q183:Q184,P182,M183:M184)</f>
        <v>1985294</v>
      </c>
      <c r="N182" s="24"/>
      <c r="O182" s="36" t="str">
        <f>"_x0007_`COD|E2_x0005_`QTY1|1_x0005_`EXI|0_x0005_`ITT|0_x0005_`END|"&amp;ROW(M185)&amp;"_x0005_`"</f>
        <v>_x0007_`COD|E2_x0005_`QTY1|1_x0005_`EXI|0_x0005_`ITT|0_x0005_`END|185_x0005_`</v>
      </c>
      <c r="P182" s="6" t="s">
        <v>515</v>
      </c>
      <c r="Q182" s="6" t="s">
        <v>537</v>
      </c>
    </row>
    <row r="183" spans="1:29" ht="30.6" customHeight="1" x14ac:dyDescent="0.3">
      <c r="A183" s="9"/>
      <c r="B183" s="9" t="s">
        <v>172</v>
      </c>
      <c r="C183" s="44" t="s">
        <v>173</v>
      </c>
      <c r="D183" s="46">
        <v>8</v>
      </c>
      <c r="E183" s="24" t="s">
        <v>14</v>
      </c>
      <c r="F183" s="53">
        <f>J183+H183+L183</f>
        <v>2334</v>
      </c>
      <c r="G183" s="55">
        <f>K183+I183+M183</f>
        <v>18672</v>
      </c>
      <c r="H183" s="57">
        <f>단가산출근거목록표!F5</f>
        <v>1487</v>
      </c>
      <c r="I183" s="12">
        <f>ROUNDDOWN(H183*D183,0)</f>
        <v>11896</v>
      </c>
      <c r="J183" s="60">
        <f>단가산출근거목록표!G5</f>
        <v>410</v>
      </c>
      <c r="K183" s="12">
        <f>ROUNDDOWN(J183*D183,0)</f>
        <v>3280</v>
      </c>
      <c r="L183" s="53">
        <f>단가산출근거목록표!H5</f>
        <v>437</v>
      </c>
      <c r="M183" s="23">
        <f>ROUNDDOWN(L183*D183,0)</f>
        <v>3496</v>
      </c>
      <c r="N183" s="24" t="s">
        <v>822</v>
      </c>
      <c r="O183" s="16" t="s">
        <v>821</v>
      </c>
      <c r="P183" s="6" t="s">
        <v>820</v>
      </c>
      <c r="Q183" s="6" t="s">
        <v>515</v>
      </c>
      <c r="AC183" s="19" t="str">
        <f ca="1">HYPERLINK("#"&amp;단가산출근거목록표!J2&amp;"!A"&amp;ROW(단가산출근거목록표!A5),"산근    2 →")</f>
        <v>산근    2 →</v>
      </c>
    </row>
    <row r="184" spans="1:29" ht="30.6" customHeight="1" x14ac:dyDescent="0.3">
      <c r="A184" s="9"/>
      <c r="B184" s="9" t="s">
        <v>211</v>
      </c>
      <c r="C184" s="44" t="s">
        <v>177</v>
      </c>
      <c r="D184" s="46">
        <v>182</v>
      </c>
      <c r="E184" s="24" t="s">
        <v>14</v>
      </c>
      <c r="F184" s="53">
        <f>J184+H184+L184</f>
        <v>35404</v>
      </c>
      <c r="G184" s="55">
        <f>K184+I184+M184</f>
        <v>6443528</v>
      </c>
      <c r="H184" s="57">
        <f>단가산출근거목록표!F15</f>
        <v>18430</v>
      </c>
      <c r="I184" s="12">
        <f>ROUNDDOWN(H184*D184,0)</f>
        <v>3354260</v>
      </c>
      <c r="J184" s="60">
        <f>단가산출근거목록표!G15</f>
        <v>6085</v>
      </c>
      <c r="K184" s="12">
        <f>ROUNDDOWN(J184*D184,0)</f>
        <v>1107470</v>
      </c>
      <c r="L184" s="53">
        <f>단가산출근거목록표!H15</f>
        <v>10889</v>
      </c>
      <c r="M184" s="23">
        <f>ROUNDDOWN(L184*D184,0)</f>
        <v>1981798</v>
      </c>
      <c r="N184" s="24" t="s">
        <v>825</v>
      </c>
      <c r="O184" s="16" t="s">
        <v>824</v>
      </c>
      <c r="P184" s="6" t="s">
        <v>823</v>
      </c>
      <c r="Q184" s="6" t="s">
        <v>515</v>
      </c>
      <c r="AC184" s="19" t="str">
        <f ca="1">HYPERLINK("#"&amp;단가산출근거목록표!J2&amp;"!A"&amp;ROW(단가산출근거목록표!A15),"산근   12 →")</f>
        <v>산근   12 →</v>
      </c>
    </row>
    <row r="185" spans="1:29" ht="30.6" customHeight="1" x14ac:dyDescent="0.3">
      <c r="A185" s="9"/>
      <c r="B185" s="9"/>
      <c r="C185" s="44"/>
      <c r="D185" s="45"/>
      <c r="E185" s="24"/>
      <c r="F185" s="10">
        <v>0</v>
      </c>
      <c r="G185" s="49"/>
      <c r="H185" s="58"/>
      <c r="I185" s="58"/>
      <c r="J185" s="58"/>
      <c r="K185" s="58"/>
      <c r="L185" s="58"/>
      <c r="M185" s="52"/>
      <c r="N185" s="24"/>
      <c r="O185" s="16" t="s">
        <v>793</v>
      </c>
      <c r="P185" s="6" t="s">
        <v>540</v>
      </c>
      <c r="Q185" s="6" t="s">
        <v>537</v>
      </c>
    </row>
    <row r="186" spans="1:29" ht="30.6" customHeight="1" x14ac:dyDescent="0.3">
      <c r="A186" s="41" t="s">
        <v>826</v>
      </c>
      <c r="B186" s="41" t="s">
        <v>827</v>
      </c>
      <c r="C186" s="43"/>
      <c r="D186" s="45"/>
      <c r="E186" s="24"/>
      <c r="F186" s="10">
        <v>0</v>
      </c>
      <c r="G186" s="54">
        <f>SUMIF(Q187:Q191,P186,G187:G191)</f>
        <v>3411950</v>
      </c>
      <c r="H186" s="12">
        <v>0</v>
      </c>
      <c r="I186" s="55">
        <f>SUMIF(Q187:Q191,P186,I187:I191)</f>
        <v>1657840</v>
      </c>
      <c r="J186" s="12">
        <v>0</v>
      </c>
      <c r="K186" s="61">
        <f>SUMIF(Q187:Q191,P186,K187:K191)</f>
        <v>817249</v>
      </c>
      <c r="L186" s="23">
        <v>0</v>
      </c>
      <c r="M186" s="61">
        <f>SUMIF(Q187:Q191,P186,M187:M191)</f>
        <v>936861</v>
      </c>
      <c r="N186" s="24"/>
      <c r="O186" s="36" t="str">
        <f>"_x0007_`COD|E2_x0005_`QTY1|1_x0005_`EXI|0_x0005_`ITT|0_x0005_`END|"&amp;ROW(M192)&amp;"_x0005_`"</f>
        <v>_x0007_`COD|E2_x0005_`QTY1|1_x0005_`EXI|0_x0005_`ITT|0_x0005_`END|192_x0005_`</v>
      </c>
      <c r="P186" s="6" t="s">
        <v>515</v>
      </c>
      <c r="Q186" s="6" t="s">
        <v>537</v>
      </c>
    </row>
    <row r="187" spans="1:29" ht="30.6" customHeight="1" x14ac:dyDescent="0.3">
      <c r="A187" s="9"/>
      <c r="B187" s="9" t="s">
        <v>196</v>
      </c>
      <c r="C187" s="44" t="s">
        <v>197</v>
      </c>
      <c r="D187" s="46">
        <v>3425</v>
      </c>
      <c r="E187" s="24" t="s">
        <v>14</v>
      </c>
      <c r="F187" s="53">
        <f t="shared" ref="F187:G191" si="32">J187+H187+L187</f>
        <v>0</v>
      </c>
      <c r="G187" s="55">
        <f t="shared" si="32"/>
        <v>0</v>
      </c>
      <c r="H187" s="57">
        <f>단가산출근거목록표!F11</f>
        <v>0</v>
      </c>
      <c r="I187" s="12">
        <f>ROUNDDOWN(H187*D187,0)</f>
        <v>0</v>
      </c>
      <c r="J187" s="60">
        <f>단가산출근거목록표!G11</f>
        <v>0</v>
      </c>
      <c r="K187" s="12">
        <f>ROUNDDOWN(J187*D187,0)</f>
        <v>0</v>
      </c>
      <c r="L187" s="53">
        <f>단가산출근거목록표!H11</f>
        <v>0</v>
      </c>
      <c r="M187" s="23">
        <f>ROUNDDOWN(L187*D187,0)</f>
        <v>0</v>
      </c>
      <c r="N187" s="24" t="s">
        <v>830</v>
      </c>
      <c r="O187" s="16" t="s">
        <v>829</v>
      </c>
      <c r="P187" s="6" t="s">
        <v>828</v>
      </c>
      <c r="Q187" s="6" t="s">
        <v>515</v>
      </c>
      <c r="AC187" s="19" t="str">
        <f ca="1">HYPERLINK("#"&amp;단가산출근거목록표!J2&amp;"!A"&amp;ROW(단가산출근거목록표!A11),"산근    8 →")</f>
        <v>산근    8 →</v>
      </c>
    </row>
    <row r="188" spans="1:29" ht="30.6" customHeight="1" x14ac:dyDescent="0.3">
      <c r="A188" s="9"/>
      <c r="B188" s="9" t="s">
        <v>256</v>
      </c>
      <c r="C188" s="44" t="s">
        <v>257</v>
      </c>
      <c r="D188" s="46">
        <v>313</v>
      </c>
      <c r="E188" s="24" t="s">
        <v>14</v>
      </c>
      <c r="F188" s="53">
        <f t="shared" si="32"/>
        <v>2049</v>
      </c>
      <c r="G188" s="55">
        <f t="shared" si="32"/>
        <v>641337</v>
      </c>
      <c r="H188" s="57">
        <f>단가산출근거목록표!F28</f>
        <v>906</v>
      </c>
      <c r="I188" s="12">
        <f>ROUNDDOWN(H188*D188,0)</f>
        <v>283578</v>
      </c>
      <c r="J188" s="60">
        <f>단가산출근거목록표!G28</f>
        <v>600</v>
      </c>
      <c r="K188" s="12">
        <f>ROUNDDOWN(J188*D188,0)</f>
        <v>187800</v>
      </c>
      <c r="L188" s="53">
        <f>단가산출근거목록표!H28</f>
        <v>543</v>
      </c>
      <c r="M188" s="23">
        <f>ROUNDDOWN(L188*D188,0)</f>
        <v>169959</v>
      </c>
      <c r="N188" s="24" t="s">
        <v>979</v>
      </c>
      <c r="O188" s="16" t="s">
        <v>978</v>
      </c>
      <c r="P188" s="6" t="s">
        <v>977</v>
      </c>
      <c r="Q188" s="6" t="s">
        <v>515</v>
      </c>
      <c r="AC188" s="19" t="str">
        <f ca="1">HYPERLINK("#"&amp;단가산출근거목록표!J2&amp;"!A"&amp;ROW(단가산출근거목록표!A28),"산근   25 →")</f>
        <v>산근   25 →</v>
      </c>
    </row>
    <row r="189" spans="1:29" ht="30.6" customHeight="1" x14ac:dyDescent="0.3">
      <c r="A189" s="9"/>
      <c r="B189" s="9" t="s">
        <v>260</v>
      </c>
      <c r="C189" s="44" t="s">
        <v>261</v>
      </c>
      <c r="D189" s="46">
        <v>862</v>
      </c>
      <c r="E189" s="24" t="s">
        <v>14</v>
      </c>
      <c r="F189" s="53">
        <f t="shared" si="32"/>
        <v>2153</v>
      </c>
      <c r="G189" s="55">
        <f t="shared" si="32"/>
        <v>1855886</v>
      </c>
      <c r="H189" s="57">
        <f>단가산출근거목록표!F29</f>
        <v>916</v>
      </c>
      <c r="I189" s="12">
        <f>ROUNDDOWN(H189*D189,0)</f>
        <v>789592</v>
      </c>
      <c r="J189" s="60">
        <f>단가산출근거목록표!G29</f>
        <v>607</v>
      </c>
      <c r="K189" s="12">
        <f>ROUNDDOWN(J189*D189,0)</f>
        <v>523234</v>
      </c>
      <c r="L189" s="53">
        <f>단가산출근거목록표!H29</f>
        <v>630</v>
      </c>
      <c r="M189" s="23">
        <f>ROUNDDOWN(L189*D189,0)</f>
        <v>543060</v>
      </c>
      <c r="N189" s="24" t="s">
        <v>982</v>
      </c>
      <c r="O189" s="16" t="s">
        <v>981</v>
      </c>
      <c r="P189" s="6" t="s">
        <v>980</v>
      </c>
      <c r="Q189" s="6" t="s">
        <v>515</v>
      </c>
      <c r="AC189" s="19" t="str">
        <f ca="1">HYPERLINK("#"&amp;단가산출근거목록표!J2&amp;"!A"&amp;ROW(단가산출근거목록표!A29),"산근   26 →")</f>
        <v>산근   26 →</v>
      </c>
    </row>
    <row r="190" spans="1:29" ht="30.6" customHeight="1" x14ac:dyDescent="0.3">
      <c r="A190" s="9"/>
      <c r="B190" s="9" t="s">
        <v>264</v>
      </c>
      <c r="C190" s="44" t="s">
        <v>265</v>
      </c>
      <c r="D190" s="46">
        <v>27</v>
      </c>
      <c r="E190" s="24" t="s">
        <v>14</v>
      </c>
      <c r="F190" s="53">
        <f t="shared" si="32"/>
        <v>6926</v>
      </c>
      <c r="G190" s="55">
        <f t="shared" si="32"/>
        <v>187002</v>
      </c>
      <c r="H190" s="57">
        <f>단가산출근거목록표!F30</f>
        <v>4415</v>
      </c>
      <c r="I190" s="12">
        <f>ROUNDDOWN(H190*D190,0)</f>
        <v>119205</v>
      </c>
      <c r="J190" s="60">
        <f>단가산출근거목록표!G30</f>
        <v>827</v>
      </c>
      <c r="K190" s="12">
        <f>ROUNDDOWN(J190*D190,0)</f>
        <v>22329</v>
      </c>
      <c r="L190" s="53">
        <f>단가산출근거목록표!H30</f>
        <v>1684</v>
      </c>
      <c r="M190" s="23">
        <f>ROUNDDOWN(L190*D190,0)</f>
        <v>45468</v>
      </c>
      <c r="N190" s="24" t="s">
        <v>985</v>
      </c>
      <c r="O190" s="16" t="s">
        <v>984</v>
      </c>
      <c r="P190" s="6" t="s">
        <v>983</v>
      </c>
      <c r="Q190" s="6" t="s">
        <v>515</v>
      </c>
      <c r="AC190" s="19" t="str">
        <f ca="1">HYPERLINK("#"&amp;단가산출근거목록표!J2&amp;"!A"&amp;ROW(단가산출근거목록표!A30),"산근   27 →")</f>
        <v>산근   27 →</v>
      </c>
    </row>
    <row r="191" spans="1:29" ht="30.6" customHeight="1" x14ac:dyDescent="0.3">
      <c r="A191" s="9"/>
      <c r="B191" s="9" t="s">
        <v>268</v>
      </c>
      <c r="C191" s="44" t="s">
        <v>265</v>
      </c>
      <c r="D191" s="46">
        <v>93</v>
      </c>
      <c r="E191" s="24" t="s">
        <v>14</v>
      </c>
      <c r="F191" s="53">
        <f t="shared" si="32"/>
        <v>7825</v>
      </c>
      <c r="G191" s="55">
        <f t="shared" si="32"/>
        <v>727725</v>
      </c>
      <c r="H191" s="57">
        <f>단가산출근거목록표!F31</f>
        <v>5005</v>
      </c>
      <c r="I191" s="12">
        <f>ROUNDDOWN(H191*D191,0)</f>
        <v>465465</v>
      </c>
      <c r="J191" s="60">
        <f>단가산출근거목록표!G31</f>
        <v>902</v>
      </c>
      <c r="K191" s="12">
        <f>ROUNDDOWN(J191*D191,0)</f>
        <v>83886</v>
      </c>
      <c r="L191" s="53">
        <f>단가산출근거목록표!H31</f>
        <v>1918</v>
      </c>
      <c r="M191" s="23">
        <f>ROUNDDOWN(L191*D191,0)</f>
        <v>178374</v>
      </c>
      <c r="N191" s="24" t="s">
        <v>988</v>
      </c>
      <c r="O191" s="16" t="s">
        <v>987</v>
      </c>
      <c r="P191" s="6" t="s">
        <v>986</v>
      </c>
      <c r="Q191" s="6" t="s">
        <v>515</v>
      </c>
      <c r="AC191" s="19" t="str">
        <f ca="1">HYPERLINK("#"&amp;단가산출근거목록표!J2&amp;"!A"&amp;ROW(단가산출근거목록표!A31),"산근   28 →")</f>
        <v>산근   28 →</v>
      </c>
    </row>
    <row r="192" spans="1:29" ht="30.6" customHeight="1" x14ac:dyDescent="0.3">
      <c r="A192" s="9"/>
      <c r="B192" s="9"/>
      <c r="C192" s="44"/>
      <c r="D192" s="45"/>
      <c r="E192" s="24"/>
      <c r="F192" s="10">
        <v>0</v>
      </c>
      <c r="G192" s="49"/>
      <c r="H192" s="58"/>
      <c r="I192" s="58"/>
      <c r="J192" s="58"/>
      <c r="K192" s="58"/>
      <c r="L192" s="58"/>
      <c r="M192" s="52"/>
      <c r="N192" s="24"/>
      <c r="O192" s="16" t="s">
        <v>793</v>
      </c>
      <c r="P192" s="6" t="s">
        <v>540</v>
      </c>
      <c r="Q192" s="6" t="s">
        <v>537</v>
      </c>
    </row>
    <row r="193" spans="1:29" ht="30.6" customHeight="1" x14ac:dyDescent="0.3">
      <c r="A193" s="41" t="s">
        <v>843</v>
      </c>
      <c r="B193" s="41" t="s">
        <v>844</v>
      </c>
      <c r="C193" s="43"/>
      <c r="D193" s="45"/>
      <c r="E193" s="24"/>
      <c r="F193" s="10">
        <v>0</v>
      </c>
      <c r="G193" s="54">
        <f>SUMIF(Q194:Q196,P193,G194:G196)</f>
        <v>13521642</v>
      </c>
      <c r="H193" s="12">
        <v>0</v>
      </c>
      <c r="I193" s="55">
        <f>SUMIF(Q194:Q196,P193,I194:I196)</f>
        <v>7694381</v>
      </c>
      <c r="J193" s="12">
        <v>0</v>
      </c>
      <c r="K193" s="61">
        <f>SUMIF(Q194:Q196,P193,K194:K196)</f>
        <v>2478335</v>
      </c>
      <c r="L193" s="23">
        <v>0</v>
      </c>
      <c r="M193" s="61">
        <f>SUMIF(Q194:Q196,P193,M194:M196)</f>
        <v>3348926</v>
      </c>
      <c r="N193" s="24"/>
      <c r="O193" s="36" t="str">
        <f>"_x0007_`COD|E2_x0005_`QTY1|1_x0005_`EXI|0_x0005_`ITT|0_x0005_`END|"&amp;ROW(M197)&amp;"_x0005_`"</f>
        <v>_x0007_`COD|E2_x0005_`QTY1|1_x0005_`EXI|0_x0005_`ITT|0_x0005_`END|197_x0005_`</v>
      </c>
      <c r="P193" s="6" t="s">
        <v>515</v>
      </c>
      <c r="Q193" s="6" t="s">
        <v>537</v>
      </c>
    </row>
    <row r="194" spans="1:29" ht="30.6" customHeight="1" x14ac:dyDescent="0.3">
      <c r="A194" s="9"/>
      <c r="B194" s="9" t="s">
        <v>238</v>
      </c>
      <c r="C194" s="44"/>
      <c r="D194" s="46">
        <v>6740</v>
      </c>
      <c r="E194" s="24" t="s">
        <v>14</v>
      </c>
      <c r="F194" s="53">
        <f t="shared" ref="F194:G196" si="33">J194+H194+L194</f>
        <v>1023</v>
      </c>
      <c r="G194" s="55">
        <f t="shared" si="33"/>
        <v>6895020</v>
      </c>
      <c r="H194" s="57">
        <f>단가산출근거목록표!F23</f>
        <v>589</v>
      </c>
      <c r="I194" s="12">
        <f>ROUNDDOWN(H194*D194,0)</f>
        <v>3969860</v>
      </c>
      <c r="J194" s="60">
        <f>단가산출근거목록표!G23</f>
        <v>190</v>
      </c>
      <c r="K194" s="12">
        <f>ROUNDDOWN(J194*D194,0)</f>
        <v>1280600</v>
      </c>
      <c r="L194" s="53">
        <f>단가산출근거목록표!H23</f>
        <v>244</v>
      </c>
      <c r="M194" s="23">
        <f>ROUNDDOWN(L194*D194,0)</f>
        <v>1644560</v>
      </c>
      <c r="N194" s="24" t="s">
        <v>991</v>
      </c>
      <c r="O194" s="16" t="s">
        <v>990</v>
      </c>
      <c r="P194" s="6" t="s">
        <v>989</v>
      </c>
      <c r="Q194" s="6" t="s">
        <v>515</v>
      </c>
      <c r="AC194" s="19" t="str">
        <f ca="1">HYPERLINK("#"&amp;단가산출근거목록표!J2&amp;"!A"&amp;ROW(단가산출근거목록표!A23),"산근   20 →")</f>
        <v>산근   20 →</v>
      </c>
    </row>
    <row r="195" spans="1:29" ht="30.6" customHeight="1" x14ac:dyDescent="0.3">
      <c r="A195" s="9"/>
      <c r="B195" s="9" t="s">
        <v>200</v>
      </c>
      <c r="C195" s="44" t="s">
        <v>201</v>
      </c>
      <c r="D195" s="46">
        <v>3462</v>
      </c>
      <c r="E195" s="24" t="s">
        <v>42</v>
      </c>
      <c r="F195" s="53">
        <f t="shared" si="33"/>
        <v>1290</v>
      </c>
      <c r="G195" s="55">
        <f t="shared" si="33"/>
        <v>4465980</v>
      </c>
      <c r="H195" s="57">
        <f>단가산출근거목록표!F12</f>
        <v>716</v>
      </c>
      <c r="I195" s="12">
        <f>ROUNDDOWN(H195*D195,0)</f>
        <v>2478792</v>
      </c>
      <c r="J195" s="60">
        <f>단가산출근거목록표!G12</f>
        <v>231</v>
      </c>
      <c r="K195" s="12">
        <f>ROUNDDOWN(J195*D195,0)</f>
        <v>799722</v>
      </c>
      <c r="L195" s="53">
        <f>단가산출근거목록표!H12</f>
        <v>343</v>
      </c>
      <c r="M195" s="23">
        <f>ROUNDDOWN(L195*D195,0)</f>
        <v>1187466</v>
      </c>
      <c r="N195" s="24" t="s">
        <v>850</v>
      </c>
      <c r="O195" s="16" t="s">
        <v>849</v>
      </c>
      <c r="P195" s="6" t="s">
        <v>848</v>
      </c>
      <c r="Q195" s="6" t="s">
        <v>515</v>
      </c>
      <c r="AC195" s="19" t="str">
        <f ca="1">HYPERLINK("#"&amp;단가산출근거목록표!J2&amp;"!A"&amp;ROW(단가산출근거목록표!A12),"산근    9 →")</f>
        <v>산근    9 →</v>
      </c>
    </row>
    <row r="196" spans="1:29" ht="30.6" customHeight="1" x14ac:dyDescent="0.3">
      <c r="A196" s="9"/>
      <c r="B196" s="9" t="s">
        <v>184</v>
      </c>
      <c r="C196" s="44" t="s">
        <v>185</v>
      </c>
      <c r="D196" s="46">
        <v>5169</v>
      </c>
      <c r="E196" s="24" t="s">
        <v>42</v>
      </c>
      <c r="F196" s="53">
        <f t="shared" si="33"/>
        <v>418</v>
      </c>
      <c r="G196" s="55">
        <f t="shared" si="33"/>
        <v>2160642</v>
      </c>
      <c r="H196" s="57">
        <f>단가산출근거목록표!F8</f>
        <v>241</v>
      </c>
      <c r="I196" s="12">
        <f>ROUNDDOWN(H196*D196,0)</f>
        <v>1245729</v>
      </c>
      <c r="J196" s="60">
        <f>단가산출근거목록표!G8</f>
        <v>77</v>
      </c>
      <c r="K196" s="12">
        <f>ROUNDDOWN(J196*D196,0)</f>
        <v>398013</v>
      </c>
      <c r="L196" s="53">
        <f>단가산출근거목록표!H8</f>
        <v>100</v>
      </c>
      <c r="M196" s="23">
        <f>ROUNDDOWN(L196*D196,0)</f>
        <v>516900</v>
      </c>
      <c r="N196" s="24" t="s">
        <v>853</v>
      </c>
      <c r="O196" s="16" t="s">
        <v>852</v>
      </c>
      <c r="P196" s="6" t="s">
        <v>851</v>
      </c>
      <c r="Q196" s="6" t="s">
        <v>515</v>
      </c>
      <c r="AC196" s="19" t="str">
        <f ca="1">HYPERLINK("#"&amp;단가산출근거목록표!J2&amp;"!A"&amp;ROW(단가산출근거목록표!A8),"산근    5 →")</f>
        <v>산근    5 →</v>
      </c>
    </row>
    <row r="197" spans="1:29" ht="30.6" customHeight="1" x14ac:dyDescent="0.3">
      <c r="A197" s="9"/>
      <c r="B197" s="9"/>
      <c r="C197" s="44"/>
      <c r="D197" s="45"/>
      <c r="E197" s="24"/>
      <c r="F197" s="10">
        <v>0</v>
      </c>
      <c r="G197" s="49"/>
      <c r="H197" s="58"/>
      <c r="I197" s="58"/>
      <c r="J197" s="58"/>
      <c r="K197" s="58"/>
      <c r="L197" s="58"/>
      <c r="M197" s="52"/>
      <c r="N197" s="24"/>
      <c r="O197" s="16" t="s">
        <v>793</v>
      </c>
      <c r="P197" s="6" t="s">
        <v>540</v>
      </c>
      <c r="Q197" s="6" t="s">
        <v>554</v>
      </c>
    </row>
    <row r="198" spans="1:29" ht="30.6" customHeight="1" x14ac:dyDescent="0.3">
      <c r="A198" s="41" t="s">
        <v>794</v>
      </c>
      <c r="B198" s="41" t="s">
        <v>854</v>
      </c>
      <c r="C198" s="43"/>
      <c r="D198" s="45"/>
      <c r="E198" s="24"/>
      <c r="F198" s="10">
        <v>0</v>
      </c>
      <c r="G198" s="54">
        <f>SUMIF(Q199:Q216,P198,G199:G216)</f>
        <v>37684612</v>
      </c>
      <c r="H198" s="12">
        <v>0</v>
      </c>
      <c r="I198" s="55">
        <f>SUMIF(Q199:Q216,P198,I199:I216)</f>
        <v>28005217</v>
      </c>
      <c r="J198" s="12">
        <v>0</v>
      </c>
      <c r="K198" s="61">
        <f>SUMIF(Q199:Q216,P198,K199:K216)</f>
        <v>4413322</v>
      </c>
      <c r="L198" s="23">
        <v>0</v>
      </c>
      <c r="M198" s="61">
        <f>SUMIF(Q199:Q216,P198,M199:M216)</f>
        <v>5266073</v>
      </c>
      <c r="N198" s="24"/>
      <c r="O198" s="36" t="str">
        <f>"_x0007_`COD|E3_x0005_`QTY1|1_x0005_`EXI|0_x0005_`ITT|0_x0005_`END|"&amp;ROW(M217)&amp;"_x0005_`"</f>
        <v>_x0007_`COD|E3_x0005_`QTY1|1_x0005_`EXI|0_x0005_`ITT|0_x0005_`END|217_x0005_`</v>
      </c>
      <c r="P198" s="6" t="s">
        <v>537</v>
      </c>
      <c r="Q198" s="6" t="s">
        <v>554</v>
      </c>
    </row>
    <row r="199" spans="1:29" ht="30.6" customHeight="1" x14ac:dyDescent="0.3">
      <c r="A199" s="41" t="s">
        <v>857</v>
      </c>
      <c r="B199" s="41" t="s">
        <v>858</v>
      </c>
      <c r="C199" s="43"/>
      <c r="D199" s="45"/>
      <c r="E199" s="24"/>
      <c r="F199" s="10">
        <v>0</v>
      </c>
      <c r="G199" s="54">
        <f>SUMIF(Q200:Q202,P199,G200:G202)</f>
        <v>23601718</v>
      </c>
      <c r="H199" s="12">
        <v>0</v>
      </c>
      <c r="I199" s="55">
        <f>SUMIF(Q200:Q202,P199,I200:I202)</f>
        <v>17454745</v>
      </c>
      <c r="J199" s="12">
        <v>0</v>
      </c>
      <c r="K199" s="61">
        <f>SUMIF(Q200:Q202,P199,K200:K202)</f>
        <v>2327334</v>
      </c>
      <c r="L199" s="23">
        <v>0</v>
      </c>
      <c r="M199" s="61">
        <f>SUMIF(Q200:Q202,P199,M200:M202)</f>
        <v>3819639</v>
      </c>
      <c r="N199" s="24"/>
      <c r="O199" s="36" t="str">
        <f>"_x0007_`COD|E2_x0005_`QTY1|1_x0005_`EXI|0_x0005_`ITT|0_x0005_`END|"&amp;ROW(M203)&amp;"_x0005_`"</f>
        <v>_x0007_`COD|E2_x0005_`QTY1|1_x0005_`EXI|0_x0005_`ITT|0_x0005_`END|203_x0005_`</v>
      </c>
      <c r="P199" s="6" t="s">
        <v>515</v>
      </c>
      <c r="Q199" s="6" t="s">
        <v>537</v>
      </c>
    </row>
    <row r="200" spans="1:29" ht="30.6" customHeight="1" x14ac:dyDescent="0.3">
      <c r="A200" s="9"/>
      <c r="B200" s="9" t="s">
        <v>90</v>
      </c>
      <c r="C200" s="44" t="s">
        <v>91</v>
      </c>
      <c r="D200" s="46">
        <v>35</v>
      </c>
      <c r="E200" s="24" t="s">
        <v>20</v>
      </c>
      <c r="F200" s="53">
        <f t="shared" ref="F200:G202" si="34">J200+H200+L200</f>
        <v>124594</v>
      </c>
      <c r="G200" s="55">
        <f t="shared" si="34"/>
        <v>4360790</v>
      </c>
      <c r="H200" s="57">
        <f>일위대가목록표!F20</f>
        <v>96868</v>
      </c>
      <c r="I200" s="12">
        <f>ROUNDDOWN(H200*D200,0)</f>
        <v>3390380</v>
      </c>
      <c r="J200" s="60">
        <f>일위대가목록표!G20</f>
        <v>11309</v>
      </c>
      <c r="K200" s="12">
        <f>ROUNDDOWN(J200*D200,0)</f>
        <v>395815</v>
      </c>
      <c r="L200" s="53">
        <f>일위대가목록표!H20</f>
        <v>16417</v>
      </c>
      <c r="M200" s="23">
        <f>ROUNDDOWN(L200*D200,0)</f>
        <v>574595</v>
      </c>
      <c r="N200" s="24" t="s">
        <v>861</v>
      </c>
      <c r="O200" s="16" t="s">
        <v>860</v>
      </c>
      <c r="P200" s="6" t="s">
        <v>859</v>
      </c>
      <c r="Q200" s="6" t="s">
        <v>515</v>
      </c>
      <c r="AC200" s="19" t="str">
        <f ca="1">HYPERLINK("#"&amp;일위대가목록표!J2&amp;"!A"&amp;ROW(일위대가목록표!A20),"대가   17 →")</f>
        <v>대가   17 →</v>
      </c>
    </row>
    <row r="201" spans="1:29" ht="30.6" customHeight="1" x14ac:dyDescent="0.3">
      <c r="A201" s="9"/>
      <c r="B201" s="9" t="s">
        <v>95</v>
      </c>
      <c r="C201" s="44" t="s">
        <v>96</v>
      </c>
      <c r="D201" s="46">
        <v>75</v>
      </c>
      <c r="E201" s="24" t="s">
        <v>20</v>
      </c>
      <c r="F201" s="53">
        <f t="shared" si="34"/>
        <v>167328</v>
      </c>
      <c r="G201" s="55">
        <f t="shared" si="34"/>
        <v>12549600</v>
      </c>
      <c r="H201" s="57">
        <f>일위대가목록표!F21</f>
        <v>122311</v>
      </c>
      <c r="I201" s="12">
        <f>ROUNDDOWN(H201*D201,0)</f>
        <v>9173325</v>
      </c>
      <c r="J201" s="60">
        <f>일위대가목록표!G21</f>
        <v>16797</v>
      </c>
      <c r="K201" s="12">
        <f>ROUNDDOWN(J201*D201,0)</f>
        <v>1259775</v>
      </c>
      <c r="L201" s="53">
        <f>일위대가목록표!H21</f>
        <v>28220</v>
      </c>
      <c r="M201" s="23">
        <f>ROUNDDOWN(L201*D201,0)</f>
        <v>2116500</v>
      </c>
      <c r="N201" s="24" t="s">
        <v>994</v>
      </c>
      <c r="O201" s="16" t="s">
        <v>993</v>
      </c>
      <c r="P201" s="6" t="s">
        <v>992</v>
      </c>
      <c r="Q201" s="6" t="s">
        <v>515</v>
      </c>
      <c r="AC201" s="19" t="str">
        <f ca="1">HYPERLINK("#"&amp;일위대가목록표!J2&amp;"!A"&amp;ROW(일위대가목록표!A21),"대가   18 →")</f>
        <v>대가   18 →</v>
      </c>
    </row>
    <row r="202" spans="1:29" ht="30.6" customHeight="1" x14ac:dyDescent="0.3">
      <c r="A202" s="9"/>
      <c r="B202" s="9" t="s">
        <v>95</v>
      </c>
      <c r="C202" s="44" t="s">
        <v>100</v>
      </c>
      <c r="D202" s="46">
        <v>32</v>
      </c>
      <c r="E202" s="24" t="s">
        <v>20</v>
      </c>
      <c r="F202" s="53">
        <f t="shared" si="34"/>
        <v>209104</v>
      </c>
      <c r="G202" s="55">
        <f t="shared" si="34"/>
        <v>6691328</v>
      </c>
      <c r="H202" s="57">
        <f>일위대가목록표!F22</f>
        <v>152845</v>
      </c>
      <c r="I202" s="12">
        <f>ROUNDDOWN(H202*D202,0)</f>
        <v>4891040</v>
      </c>
      <c r="J202" s="60">
        <f>일위대가목록표!G22</f>
        <v>20992</v>
      </c>
      <c r="K202" s="12">
        <f>ROUNDDOWN(J202*D202,0)</f>
        <v>671744</v>
      </c>
      <c r="L202" s="53">
        <f>일위대가목록표!H22</f>
        <v>35267</v>
      </c>
      <c r="M202" s="23">
        <f>ROUNDDOWN(L202*D202,0)</f>
        <v>1128544</v>
      </c>
      <c r="N202" s="24" t="s">
        <v>873</v>
      </c>
      <c r="O202" s="16" t="s">
        <v>872</v>
      </c>
      <c r="P202" s="6" t="s">
        <v>871</v>
      </c>
      <c r="Q202" s="6" t="s">
        <v>515</v>
      </c>
      <c r="AC202" s="19" t="str">
        <f ca="1">HYPERLINK("#"&amp;일위대가목록표!J2&amp;"!A"&amp;ROW(일위대가목록표!A22),"대가   19 →")</f>
        <v>대가   19 →</v>
      </c>
    </row>
    <row r="203" spans="1:29" ht="30.6" customHeight="1" x14ac:dyDescent="0.3">
      <c r="A203" s="9"/>
      <c r="B203" s="9"/>
      <c r="C203" s="44"/>
      <c r="D203" s="45"/>
      <c r="E203" s="24"/>
      <c r="F203" s="10">
        <v>0</v>
      </c>
      <c r="G203" s="49"/>
      <c r="H203" s="58"/>
      <c r="I203" s="58"/>
      <c r="J203" s="58"/>
      <c r="K203" s="58"/>
      <c r="L203" s="58"/>
      <c r="M203" s="52"/>
      <c r="N203" s="24"/>
      <c r="O203" s="16" t="s">
        <v>793</v>
      </c>
      <c r="P203" s="6" t="s">
        <v>540</v>
      </c>
      <c r="Q203" s="6" t="s">
        <v>537</v>
      </c>
    </row>
    <row r="204" spans="1:29" ht="30.6" customHeight="1" x14ac:dyDescent="0.3">
      <c r="A204" s="41" t="s">
        <v>874</v>
      </c>
      <c r="B204" s="41" t="s">
        <v>875</v>
      </c>
      <c r="C204" s="43"/>
      <c r="D204" s="45"/>
      <c r="E204" s="24"/>
      <c r="F204" s="10">
        <v>0</v>
      </c>
      <c r="G204" s="54">
        <f>SUMIF(Q205:Q212,P204,G205:G212)</f>
        <v>7763750</v>
      </c>
      <c r="H204" s="12">
        <v>0</v>
      </c>
      <c r="I204" s="55">
        <f>SUMIF(Q205:Q212,P204,I205:I212)</f>
        <v>6507212</v>
      </c>
      <c r="J204" s="12">
        <v>0</v>
      </c>
      <c r="K204" s="61">
        <f>SUMIF(Q205:Q212,P204,K205:K212)</f>
        <v>551000</v>
      </c>
      <c r="L204" s="23">
        <v>0</v>
      </c>
      <c r="M204" s="61">
        <f>SUMIF(Q205:Q212,P204,M205:M212)</f>
        <v>705538</v>
      </c>
      <c r="N204" s="24"/>
      <c r="O204" s="36" t="str">
        <f>"_x0007_`COD|E2_x0005_`QTY1|1_x0005_`EXI|0_x0005_`ITT|0_x0005_`END|"&amp;ROW(M213)&amp;"_x0005_`"</f>
        <v>_x0007_`COD|E2_x0005_`QTY1|1_x0005_`EXI|0_x0005_`ITT|0_x0005_`END|213_x0005_`</v>
      </c>
      <c r="P204" s="6" t="s">
        <v>515</v>
      </c>
      <c r="Q204" s="6" t="s">
        <v>537</v>
      </c>
    </row>
    <row r="205" spans="1:29" ht="30.6" customHeight="1" x14ac:dyDescent="0.3">
      <c r="A205" s="9"/>
      <c r="B205" s="9" t="s">
        <v>18</v>
      </c>
      <c r="C205" s="44" t="s">
        <v>19</v>
      </c>
      <c r="D205" s="46">
        <v>76</v>
      </c>
      <c r="E205" s="24" t="s">
        <v>20</v>
      </c>
      <c r="F205" s="53">
        <f t="shared" ref="F205:G212" si="35">J205+H205+L205</f>
        <v>16001</v>
      </c>
      <c r="G205" s="55">
        <f t="shared" si="35"/>
        <v>1216076</v>
      </c>
      <c r="H205" s="57">
        <f>일위대가목록표!F5</f>
        <v>15002</v>
      </c>
      <c r="I205" s="12">
        <f t="shared" ref="I205:I212" si="36">ROUNDDOWN(H205*D205,0)</f>
        <v>1140152</v>
      </c>
      <c r="J205" s="60">
        <f>일위대가목록표!G5</f>
        <v>584</v>
      </c>
      <c r="K205" s="12">
        <f t="shared" ref="K205:K212" si="37">ROUNDDOWN(J205*D205,0)</f>
        <v>44384</v>
      </c>
      <c r="L205" s="53">
        <f>일위대가목록표!H5</f>
        <v>415</v>
      </c>
      <c r="M205" s="23">
        <f t="shared" ref="M205:M212" si="38">ROUNDDOWN(L205*D205,0)</f>
        <v>31540</v>
      </c>
      <c r="N205" s="24" t="s">
        <v>878</v>
      </c>
      <c r="O205" s="16" t="s">
        <v>877</v>
      </c>
      <c r="P205" s="6" t="s">
        <v>876</v>
      </c>
      <c r="Q205" s="6" t="s">
        <v>515</v>
      </c>
      <c r="AC205" s="19" t="str">
        <f ca="1">HYPERLINK("#"&amp;일위대가목록표!J2&amp;"!A"&amp;ROW(일위대가목록표!A5),"대가    2 →")</f>
        <v>대가    2 →</v>
      </c>
    </row>
    <row r="206" spans="1:29" ht="30.6" customHeight="1" x14ac:dyDescent="0.3">
      <c r="A206" s="9"/>
      <c r="B206" s="9" t="s">
        <v>18</v>
      </c>
      <c r="C206" s="44" t="s">
        <v>24</v>
      </c>
      <c r="D206" s="46">
        <v>18</v>
      </c>
      <c r="E206" s="24" t="s">
        <v>20</v>
      </c>
      <c r="F206" s="53">
        <f t="shared" si="35"/>
        <v>20785</v>
      </c>
      <c r="G206" s="55">
        <f t="shared" si="35"/>
        <v>374130</v>
      </c>
      <c r="H206" s="57">
        <f>일위대가목록표!F6</f>
        <v>19553</v>
      </c>
      <c r="I206" s="12">
        <f t="shared" si="36"/>
        <v>351954</v>
      </c>
      <c r="J206" s="60">
        <f>일위대가목록표!G6</f>
        <v>733</v>
      </c>
      <c r="K206" s="12">
        <f t="shared" si="37"/>
        <v>13194</v>
      </c>
      <c r="L206" s="53">
        <f>일위대가목록표!H6</f>
        <v>499</v>
      </c>
      <c r="M206" s="23">
        <f t="shared" si="38"/>
        <v>8982</v>
      </c>
      <c r="N206" s="24" t="s">
        <v>881</v>
      </c>
      <c r="O206" s="16" t="s">
        <v>880</v>
      </c>
      <c r="P206" s="6" t="s">
        <v>879</v>
      </c>
      <c r="Q206" s="6" t="s">
        <v>515</v>
      </c>
      <c r="AC206" s="19" t="str">
        <f ca="1">HYPERLINK("#"&amp;일위대가목록표!J2&amp;"!A"&amp;ROW(일위대가목록표!A6),"대가    3 →")</f>
        <v>대가    3 →</v>
      </c>
    </row>
    <row r="207" spans="1:29" ht="30.6" customHeight="1" x14ac:dyDescent="0.3">
      <c r="A207" s="9"/>
      <c r="B207" s="9" t="s">
        <v>81</v>
      </c>
      <c r="C207" s="44" t="s">
        <v>86</v>
      </c>
      <c r="D207" s="46">
        <v>1</v>
      </c>
      <c r="E207" s="24" t="s">
        <v>36</v>
      </c>
      <c r="F207" s="53">
        <f t="shared" si="35"/>
        <v>1937206</v>
      </c>
      <c r="G207" s="55">
        <f t="shared" si="35"/>
        <v>1937206</v>
      </c>
      <c r="H207" s="57">
        <f>일위대가목록표!F19</f>
        <v>1445580</v>
      </c>
      <c r="I207" s="12">
        <f t="shared" si="36"/>
        <v>1445580</v>
      </c>
      <c r="J207" s="60">
        <f>일위대가목록표!G19</f>
        <v>201781</v>
      </c>
      <c r="K207" s="12">
        <f t="shared" si="37"/>
        <v>201781</v>
      </c>
      <c r="L207" s="53">
        <f>일위대가목록표!H19</f>
        <v>289845</v>
      </c>
      <c r="M207" s="23">
        <f t="shared" si="38"/>
        <v>289845</v>
      </c>
      <c r="N207" s="24" t="s">
        <v>884</v>
      </c>
      <c r="O207" s="16" t="s">
        <v>883</v>
      </c>
      <c r="P207" s="6" t="s">
        <v>882</v>
      </c>
      <c r="Q207" s="6" t="s">
        <v>515</v>
      </c>
      <c r="AC207" s="19" t="str">
        <f ca="1">HYPERLINK("#"&amp;일위대가목록표!J2&amp;"!A"&amp;ROW(일위대가목록표!A19),"대가   16 →")</f>
        <v>대가   16 →</v>
      </c>
    </row>
    <row r="208" spans="1:29" ht="30.6" customHeight="1" x14ac:dyDescent="0.3">
      <c r="A208" s="9"/>
      <c r="B208" s="9" t="s">
        <v>81</v>
      </c>
      <c r="C208" s="44" t="s">
        <v>82</v>
      </c>
      <c r="D208" s="46">
        <v>2</v>
      </c>
      <c r="E208" s="24" t="s">
        <v>36</v>
      </c>
      <c r="F208" s="53">
        <f t="shared" si="35"/>
        <v>1216838</v>
      </c>
      <c r="G208" s="55">
        <f t="shared" si="35"/>
        <v>2433676</v>
      </c>
      <c r="H208" s="57">
        <f>일위대가목록표!F18</f>
        <v>919291</v>
      </c>
      <c r="I208" s="12">
        <f t="shared" si="36"/>
        <v>1838582</v>
      </c>
      <c r="J208" s="60">
        <f>일위대가목록표!G18</f>
        <v>121969</v>
      </c>
      <c r="K208" s="12">
        <f t="shared" si="37"/>
        <v>243938</v>
      </c>
      <c r="L208" s="53">
        <f>일위대가목록표!H18</f>
        <v>175578</v>
      </c>
      <c r="M208" s="23">
        <f t="shared" si="38"/>
        <v>351156</v>
      </c>
      <c r="N208" s="24" t="s">
        <v>887</v>
      </c>
      <c r="O208" s="16" t="s">
        <v>886</v>
      </c>
      <c r="P208" s="6" t="s">
        <v>885</v>
      </c>
      <c r="Q208" s="6" t="s">
        <v>515</v>
      </c>
      <c r="AC208" s="19" t="str">
        <f ca="1">HYPERLINK("#"&amp;일위대가목록표!J2&amp;"!A"&amp;ROW(일위대가목록표!A18),"대가   15 →")</f>
        <v>대가   15 →</v>
      </c>
    </row>
    <row r="209" spans="1:29" ht="30.6" customHeight="1" x14ac:dyDescent="0.3">
      <c r="A209" s="9"/>
      <c r="B209" s="9" t="s">
        <v>72</v>
      </c>
      <c r="C209" s="44"/>
      <c r="D209" s="46">
        <v>6</v>
      </c>
      <c r="E209" s="24" t="s">
        <v>36</v>
      </c>
      <c r="F209" s="53">
        <f t="shared" si="35"/>
        <v>3969</v>
      </c>
      <c r="G209" s="55">
        <f t="shared" si="35"/>
        <v>23814</v>
      </c>
      <c r="H209" s="57">
        <f>일위대가목록표!F16</f>
        <v>2284</v>
      </c>
      <c r="I209" s="12">
        <f t="shared" si="36"/>
        <v>13704</v>
      </c>
      <c r="J209" s="60">
        <f>일위대가목록표!G16</f>
        <v>738</v>
      </c>
      <c r="K209" s="12">
        <f t="shared" si="37"/>
        <v>4428</v>
      </c>
      <c r="L209" s="53">
        <f>일위대가목록표!H16</f>
        <v>947</v>
      </c>
      <c r="M209" s="23">
        <f t="shared" si="38"/>
        <v>5682</v>
      </c>
      <c r="N209" s="24" t="s">
        <v>890</v>
      </c>
      <c r="O209" s="16" t="s">
        <v>889</v>
      </c>
      <c r="P209" s="6" t="s">
        <v>888</v>
      </c>
      <c r="Q209" s="6" t="s">
        <v>515</v>
      </c>
      <c r="AC209" s="19" t="str">
        <f ca="1">HYPERLINK("#"&amp;일위대가목록표!J2&amp;"!A"&amp;ROW(일위대가목록표!A16),"대가   13 →")</f>
        <v>대가   13 →</v>
      </c>
    </row>
    <row r="210" spans="1:29" ht="30.6" customHeight="1" x14ac:dyDescent="0.3">
      <c r="A210" s="9"/>
      <c r="B210" s="9" t="s">
        <v>113</v>
      </c>
      <c r="C210" s="44" t="s">
        <v>114</v>
      </c>
      <c r="D210" s="46">
        <v>48</v>
      </c>
      <c r="E210" s="24" t="s">
        <v>42</v>
      </c>
      <c r="F210" s="53">
        <f t="shared" si="35"/>
        <v>30193</v>
      </c>
      <c r="G210" s="55">
        <f t="shared" si="35"/>
        <v>1449264</v>
      </c>
      <c r="H210" s="57">
        <f>일위대가목록표!F25</f>
        <v>29769</v>
      </c>
      <c r="I210" s="12">
        <f t="shared" si="36"/>
        <v>1428912</v>
      </c>
      <c r="J210" s="60">
        <f>일위대가목록표!G25</f>
        <v>201</v>
      </c>
      <c r="K210" s="12">
        <f t="shared" si="37"/>
        <v>9648</v>
      </c>
      <c r="L210" s="53">
        <f>일위대가목록표!H25</f>
        <v>223</v>
      </c>
      <c r="M210" s="23">
        <f t="shared" si="38"/>
        <v>10704</v>
      </c>
      <c r="N210" s="24" t="s">
        <v>997</v>
      </c>
      <c r="O210" s="16" t="s">
        <v>996</v>
      </c>
      <c r="P210" s="6" t="s">
        <v>995</v>
      </c>
      <c r="Q210" s="6" t="s">
        <v>515</v>
      </c>
      <c r="AC210" s="19" t="str">
        <f ca="1">HYPERLINK("#"&amp;일위대가목록표!J2&amp;"!A"&amp;ROW(일위대가목록표!A25),"대가   22 →")</f>
        <v>대가   22 →</v>
      </c>
    </row>
    <row r="211" spans="1:29" ht="30.6" customHeight="1" x14ac:dyDescent="0.3">
      <c r="A211" s="9"/>
      <c r="B211" s="9" t="s">
        <v>118</v>
      </c>
      <c r="C211" s="44" t="s">
        <v>119</v>
      </c>
      <c r="D211" s="46">
        <v>10</v>
      </c>
      <c r="E211" s="24" t="s">
        <v>20</v>
      </c>
      <c r="F211" s="53">
        <f t="shared" si="35"/>
        <v>14653</v>
      </c>
      <c r="G211" s="55">
        <f t="shared" si="35"/>
        <v>146530</v>
      </c>
      <c r="H211" s="57">
        <f>일위대가목록표!F26</f>
        <v>12654</v>
      </c>
      <c r="I211" s="12">
        <f t="shared" si="36"/>
        <v>126540</v>
      </c>
      <c r="J211" s="60">
        <f>일위대가목록표!G26</f>
        <v>1620</v>
      </c>
      <c r="K211" s="12">
        <f t="shared" si="37"/>
        <v>16200</v>
      </c>
      <c r="L211" s="53">
        <f>일위대가목록표!H26</f>
        <v>379</v>
      </c>
      <c r="M211" s="23">
        <f t="shared" si="38"/>
        <v>3790</v>
      </c>
      <c r="N211" s="24" t="s">
        <v>1000</v>
      </c>
      <c r="O211" s="16" t="s">
        <v>999</v>
      </c>
      <c r="P211" s="6" t="s">
        <v>998</v>
      </c>
      <c r="Q211" s="6" t="s">
        <v>515</v>
      </c>
      <c r="AC211" s="19" t="str">
        <f ca="1">HYPERLINK("#"&amp;일위대가목록표!J2&amp;"!A"&amp;ROW(일위대가목록표!A26),"대가   23 →")</f>
        <v>대가   23 →</v>
      </c>
    </row>
    <row r="212" spans="1:29" ht="30.6" customHeight="1" x14ac:dyDescent="0.3">
      <c r="A212" s="9"/>
      <c r="B212" s="9" t="s">
        <v>104</v>
      </c>
      <c r="C212" s="44"/>
      <c r="D212" s="46">
        <v>1</v>
      </c>
      <c r="E212" s="24" t="s">
        <v>36</v>
      </c>
      <c r="F212" s="53">
        <f t="shared" si="35"/>
        <v>183054</v>
      </c>
      <c r="G212" s="55">
        <f t="shared" si="35"/>
        <v>183054</v>
      </c>
      <c r="H212" s="57">
        <f>일위대가목록표!F23</f>
        <v>161788</v>
      </c>
      <c r="I212" s="12">
        <f t="shared" si="36"/>
        <v>161788</v>
      </c>
      <c r="J212" s="60">
        <f>일위대가목록표!G23</f>
        <v>17427</v>
      </c>
      <c r="K212" s="12">
        <f t="shared" si="37"/>
        <v>17427</v>
      </c>
      <c r="L212" s="53">
        <f>일위대가목록표!H23</f>
        <v>3839</v>
      </c>
      <c r="M212" s="23">
        <f t="shared" si="38"/>
        <v>3839</v>
      </c>
      <c r="N212" s="24" t="s">
        <v>1003</v>
      </c>
      <c r="O212" s="16" t="s">
        <v>1002</v>
      </c>
      <c r="P212" s="6" t="s">
        <v>1001</v>
      </c>
      <c r="Q212" s="6" t="s">
        <v>515</v>
      </c>
      <c r="AC212" s="19" t="str">
        <f ca="1">HYPERLINK("#"&amp;일위대가목록표!J2&amp;"!A"&amp;ROW(일위대가목록표!A23),"대가   20 →")</f>
        <v>대가   20 →</v>
      </c>
    </row>
    <row r="213" spans="1:29" ht="30.6" customHeight="1" x14ac:dyDescent="0.3">
      <c r="A213" s="9"/>
      <c r="B213" s="9"/>
      <c r="C213" s="44"/>
      <c r="D213" s="45"/>
      <c r="E213" s="24"/>
      <c r="F213" s="10">
        <v>0</v>
      </c>
      <c r="G213" s="49"/>
      <c r="H213" s="58"/>
      <c r="I213" s="58"/>
      <c r="J213" s="58"/>
      <c r="K213" s="58"/>
      <c r="L213" s="58"/>
      <c r="M213" s="52"/>
      <c r="N213" s="24"/>
      <c r="O213" s="16" t="s">
        <v>793</v>
      </c>
      <c r="P213" s="6" t="s">
        <v>540</v>
      </c>
      <c r="Q213" s="6" t="s">
        <v>537</v>
      </c>
    </row>
    <row r="214" spans="1:29" ht="30.6" customHeight="1" x14ac:dyDescent="0.3">
      <c r="A214" s="41" t="s">
        <v>891</v>
      </c>
      <c r="B214" s="41" t="s">
        <v>892</v>
      </c>
      <c r="C214" s="43"/>
      <c r="D214" s="45"/>
      <c r="E214" s="24"/>
      <c r="F214" s="10">
        <v>0</v>
      </c>
      <c r="G214" s="54">
        <f>SUMIF(Q215:Q216,P214,G215:G216)</f>
        <v>6319144</v>
      </c>
      <c r="H214" s="12">
        <v>0</v>
      </c>
      <c r="I214" s="55">
        <f>SUMIF(Q215:Q216,P214,I215:I216)</f>
        <v>4043260</v>
      </c>
      <c r="J214" s="12">
        <v>0</v>
      </c>
      <c r="K214" s="61">
        <f>SUMIF(Q215:Q216,P214,K215:K216)</f>
        <v>1534988</v>
      </c>
      <c r="L214" s="23">
        <v>0</v>
      </c>
      <c r="M214" s="61">
        <f>SUMIF(Q215:Q216,P214,M215:M216)</f>
        <v>740896</v>
      </c>
      <c r="N214" s="24"/>
      <c r="O214" s="36" t="str">
        <f>"_x0007_`COD|E2_x0005_`QTY1|1_x0005_`EXI|0_x0005_`ITT|0_x0005_`END|"&amp;ROW(M217)&amp;"_x0005_`"</f>
        <v>_x0007_`COD|E2_x0005_`QTY1|1_x0005_`EXI|0_x0005_`ITT|0_x0005_`END|217_x0005_`</v>
      </c>
      <c r="P214" s="6" t="s">
        <v>515</v>
      </c>
      <c r="Q214" s="6" t="s">
        <v>537</v>
      </c>
    </row>
    <row r="215" spans="1:29" ht="30.6" customHeight="1" x14ac:dyDescent="0.3">
      <c r="A215" s="9"/>
      <c r="B215" s="9" t="s">
        <v>76</v>
      </c>
      <c r="C215" s="44" t="s">
        <v>77</v>
      </c>
      <c r="D215" s="46">
        <v>52</v>
      </c>
      <c r="E215" s="24" t="s">
        <v>42</v>
      </c>
      <c r="F215" s="53">
        <f>J215+H215+L215</f>
        <v>101522</v>
      </c>
      <c r="G215" s="55">
        <f>K215+I215+M215</f>
        <v>5279144</v>
      </c>
      <c r="H215" s="57">
        <f>일위대가목록표!F17</f>
        <v>77755</v>
      </c>
      <c r="I215" s="12">
        <f>ROUNDDOWN(H215*D215,0)</f>
        <v>4043260</v>
      </c>
      <c r="J215" s="60">
        <f>일위대가목록표!G17</f>
        <v>9519</v>
      </c>
      <c r="K215" s="12">
        <f>ROUNDDOWN(J215*D215,0)</f>
        <v>494988</v>
      </c>
      <c r="L215" s="53">
        <f>일위대가목록표!H17</f>
        <v>14248</v>
      </c>
      <c r="M215" s="23">
        <f>ROUNDDOWN(L215*D215,0)</f>
        <v>740896</v>
      </c>
      <c r="N215" s="24" t="s">
        <v>895</v>
      </c>
      <c r="O215" s="16" t="s">
        <v>894</v>
      </c>
      <c r="P215" s="6" t="s">
        <v>893</v>
      </c>
      <c r="Q215" s="6" t="s">
        <v>515</v>
      </c>
      <c r="AC215" s="19" t="str">
        <f ca="1">HYPERLINK("#"&amp;일위대가목록표!J2&amp;"!A"&amp;ROW(일위대가목록표!A17),"대가   14 →")</f>
        <v>대가   14 →</v>
      </c>
    </row>
    <row r="216" spans="1:29" ht="30.6" customHeight="1" x14ac:dyDescent="0.3">
      <c r="A216" s="9"/>
      <c r="B216" s="9" t="s">
        <v>562</v>
      </c>
      <c r="C216" s="44" t="s">
        <v>563</v>
      </c>
      <c r="D216" s="46">
        <v>2</v>
      </c>
      <c r="E216" s="24" t="s">
        <v>36</v>
      </c>
      <c r="F216" s="53">
        <f>J216+H216+L216</f>
        <v>520000</v>
      </c>
      <c r="G216" s="55">
        <f>K216+I216+M216</f>
        <v>1040000</v>
      </c>
      <c r="H216" s="59">
        <v>0</v>
      </c>
      <c r="I216" s="23">
        <f>ROUNDDOWN(H216*D216,0)</f>
        <v>0</v>
      </c>
      <c r="J216" s="60">
        <f>재료비목록표!E31</f>
        <v>520000</v>
      </c>
      <c r="K216" s="12">
        <f>ROUNDDOWN(J216*D216,0)</f>
        <v>1040000</v>
      </c>
      <c r="L216" s="62">
        <v>0</v>
      </c>
      <c r="M216" s="23">
        <f>ROUNDDOWN(L216*D216,0)</f>
        <v>0</v>
      </c>
      <c r="N216" s="24" t="s">
        <v>901</v>
      </c>
      <c r="O216" s="16" t="s">
        <v>900</v>
      </c>
      <c r="P216" s="6" t="s">
        <v>899</v>
      </c>
      <c r="Q216" s="6" t="s">
        <v>515</v>
      </c>
      <c r="AC216" s="19" t="str">
        <f ca="1">HYPERLINK("#"&amp;재료비목록표!G2&amp;"!A"&amp;ROW(재료비목록표!A31),"자재   28 →")</f>
        <v>자재   28 →</v>
      </c>
    </row>
    <row r="217" spans="1:29" ht="30.6" customHeight="1" x14ac:dyDescent="0.3">
      <c r="A217" s="9"/>
      <c r="B217" s="9"/>
      <c r="C217" s="44"/>
      <c r="D217" s="45"/>
      <c r="E217" s="24"/>
      <c r="F217" s="10">
        <v>0</v>
      </c>
      <c r="G217" s="49"/>
      <c r="H217" s="58"/>
      <c r="I217" s="58"/>
      <c r="J217" s="58"/>
      <c r="K217" s="58"/>
      <c r="L217" s="58"/>
      <c r="M217" s="52"/>
      <c r="N217" s="24"/>
      <c r="O217" s="16" t="s">
        <v>793</v>
      </c>
      <c r="P217" s="6" t="s">
        <v>540</v>
      </c>
      <c r="Q217" s="6" t="s">
        <v>554</v>
      </c>
    </row>
    <row r="218" spans="1:29" ht="30.6" customHeight="1" x14ac:dyDescent="0.3">
      <c r="A218" s="41" t="s">
        <v>856</v>
      </c>
      <c r="B218" s="41" t="s">
        <v>855</v>
      </c>
      <c r="C218" s="43"/>
      <c r="D218" s="45"/>
      <c r="E218" s="24"/>
      <c r="F218" s="10">
        <v>0</v>
      </c>
      <c r="G218" s="54">
        <f>SUMIF(Q219:Q225,P218,G219:G225)</f>
        <v>23058904</v>
      </c>
      <c r="H218" s="12">
        <v>0</v>
      </c>
      <c r="I218" s="55">
        <f>SUMIF(Q219:Q225,P218,I219:I225)</f>
        <v>0</v>
      </c>
      <c r="J218" s="12">
        <v>0</v>
      </c>
      <c r="K218" s="61">
        <f>SUMIF(Q219:Q225,P218,K219:K225)</f>
        <v>0</v>
      </c>
      <c r="L218" s="23">
        <v>0</v>
      </c>
      <c r="M218" s="61">
        <f>SUMIF(Q219:Q225,P218,M219:M225)</f>
        <v>23058904</v>
      </c>
      <c r="N218" s="24"/>
      <c r="O218" s="36" t="str">
        <f>"_x0007_`COD|E3_x0005_`QTY1|1_x0005_`EXI|0_x0005_`ITT|0_x0005_`END|"&amp;ROW(M226)&amp;"_x0005_`"</f>
        <v>_x0007_`COD|E3_x0005_`QTY1|1_x0005_`EXI|0_x0005_`ITT|0_x0005_`END|226_x0005_`</v>
      </c>
      <c r="P218" s="6" t="s">
        <v>537</v>
      </c>
      <c r="Q218" s="6" t="s">
        <v>554</v>
      </c>
    </row>
    <row r="219" spans="1:29" ht="30.6" customHeight="1" x14ac:dyDescent="0.3">
      <c r="A219" s="9"/>
      <c r="B219" s="9" t="s">
        <v>241</v>
      </c>
      <c r="C219" s="44" t="s">
        <v>242</v>
      </c>
      <c r="D219" s="46">
        <v>1</v>
      </c>
      <c r="E219" s="24" t="s">
        <v>243</v>
      </c>
      <c r="F219" s="53">
        <f t="shared" ref="F219:G225" si="39">J219+H219+L219</f>
        <v>535090</v>
      </c>
      <c r="G219" s="55">
        <f t="shared" si="39"/>
        <v>535090</v>
      </c>
      <c r="H219" s="57">
        <f>단가산출근거목록표!F24</f>
        <v>0</v>
      </c>
      <c r="I219" s="12">
        <f t="shared" ref="I219:I225" si="40">ROUNDDOWN(H219*D219,0)</f>
        <v>0</v>
      </c>
      <c r="J219" s="60">
        <f>단가산출근거목록표!G24</f>
        <v>0</v>
      </c>
      <c r="K219" s="12">
        <f t="shared" ref="K219:K225" si="41">ROUNDDOWN(J219*D219,0)</f>
        <v>0</v>
      </c>
      <c r="L219" s="53">
        <f>단가산출근거목록표!H24</f>
        <v>535090</v>
      </c>
      <c r="M219" s="23">
        <f t="shared" ref="M219:M225" si="42">ROUNDDOWN(L219*D219,0)</f>
        <v>535090</v>
      </c>
      <c r="N219" s="24" t="s">
        <v>907</v>
      </c>
      <c r="O219" s="16" t="s">
        <v>906</v>
      </c>
      <c r="P219" s="6" t="s">
        <v>905</v>
      </c>
      <c r="Q219" s="6" t="s">
        <v>537</v>
      </c>
      <c r="AC219" s="19" t="str">
        <f ca="1">HYPERLINK("#"&amp;단가산출근거목록표!J2&amp;"!A"&amp;ROW(단가산출근거목록표!A24),"산근   21 →")</f>
        <v>산근   21 →</v>
      </c>
    </row>
    <row r="220" spans="1:29" ht="30.6" customHeight="1" x14ac:dyDescent="0.3">
      <c r="A220" s="9"/>
      <c r="B220" s="9" t="s">
        <v>278</v>
      </c>
      <c r="C220" s="44" t="s">
        <v>242</v>
      </c>
      <c r="D220" s="46">
        <v>1</v>
      </c>
      <c r="E220" s="24" t="s">
        <v>243</v>
      </c>
      <c r="F220" s="53">
        <f t="shared" si="39"/>
        <v>55909</v>
      </c>
      <c r="G220" s="55">
        <f t="shared" si="39"/>
        <v>55909</v>
      </c>
      <c r="H220" s="57">
        <f>단가산출근거목록표!F34</f>
        <v>0</v>
      </c>
      <c r="I220" s="12">
        <f t="shared" si="40"/>
        <v>0</v>
      </c>
      <c r="J220" s="60">
        <f>단가산출근거목록표!G34</f>
        <v>0</v>
      </c>
      <c r="K220" s="12">
        <f t="shared" si="41"/>
        <v>0</v>
      </c>
      <c r="L220" s="53">
        <f>단가산출근거목록표!H34</f>
        <v>55909</v>
      </c>
      <c r="M220" s="23">
        <f t="shared" si="42"/>
        <v>55909</v>
      </c>
      <c r="N220" s="24" t="s">
        <v>910</v>
      </c>
      <c r="O220" s="16" t="s">
        <v>909</v>
      </c>
      <c r="P220" s="6" t="s">
        <v>908</v>
      </c>
      <c r="Q220" s="6" t="s">
        <v>537</v>
      </c>
      <c r="AC220" s="19" t="str">
        <f ca="1">HYPERLINK("#"&amp;단가산출근거목록표!J2&amp;"!A"&amp;ROW(단가산출근거목록표!A34),"산근   31 →")</f>
        <v>산근   31 →</v>
      </c>
    </row>
    <row r="221" spans="1:29" ht="30.6" customHeight="1" x14ac:dyDescent="0.3">
      <c r="A221" s="9"/>
      <c r="B221" s="9" t="s">
        <v>246</v>
      </c>
      <c r="C221" s="44" t="s">
        <v>247</v>
      </c>
      <c r="D221" s="46">
        <v>24</v>
      </c>
      <c r="E221" s="24" t="s">
        <v>14</v>
      </c>
      <c r="F221" s="53">
        <f t="shared" si="39"/>
        <v>18383</v>
      </c>
      <c r="G221" s="55">
        <f t="shared" si="39"/>
        <v>441192</v>
      </c>
      <c r="H221" s="57">
        <f>단가산출근거목록표!F25</f>
        <v>0</v>
      </c>
      <c r="I221" s="12">
        <f t="shared" si="40"/>
        <v>0</v>
      </c>
      <c r="J221" s="60">
        <f>단가산출근거목록표!G25</f>
        <v>0</v>
      </c>
      <c r="K221" s="12">
        <f t="shared" si="41"/>
        <v>0</v>
      </c>
      <c r="L221" s="53">
        <f>단가산출근거목록표!H25</f>
        <v>18383</v>
      </c>
      <c r="M221" s="23">
        <f t="shared" si="42"/>
        <v>441192</v>
      </c>
      <c r="N221" s="24" t="s">
        <v>913</v>
      </c>
      <c r="O221" s="16" t="s">
        <v>912</v>
      </c>
      <c r="P221" s="6" t="s">
        <v>911</v>
      </c>
      <c r="Q221" s="6" t="s">
        <v>537</v>
      </c>
      <c r="AC221" s="19" t="str">
        <f ca="1">HYPERLINK("#"&amp;단가산출근거목록표!J2&amp;"!A"&amp;ROW(단가산출근거목록표!A25),"산근   22 →")</f>
        <v>산근   22 →</v>
      </c>
    </row>
    <row r="222" spans="1:29" ht="30.6" customHeight="1" x14ac:dyDescent="0.3">
      <c r="A222" s="9"/>
      <c r="B222" s="9" t="s">
        <v>250</v>
      </c>
      <c r="C222" s="44" t="s">
        <v>247</v>
      </c>
      <c r="D222" s="46">
        <v>28</v>
      </c>
      <c r="E222" s="24" t="s">
        <v>14</v>
      </c>
      <c r="F222" s="53">
        <f t="shared" si="39"/>
        <v>19453</v>
      </c>
      <c r="G222" s="55">
        <f t="shared" si="39"/>
        <v>544684</v>
      </c>
      <c r="H222" s="57">
        <f>단가산출근거목록표!F26</f>
        <v>0</v>
      </c>
      <c r="I222" s="12">
        <f t="shared" si="40"/>
        <v>0</v>
      </c>
      <c r="J222" s="60">
        <f>단가산출근거목록표!G26</f>
        <v>0</v>
      </c>
      <c r="K222" s="12">
        <f t="shared" si="41"/>
        <v>0</v>
      </c>
      <c r="L222" s="53">
        <f>단가산출근거목록표!H26</f>
        <v>19453</v>
      </c>
      <c r="M222" s="23">
        <f t="shared" si="42"/>
        <v>544684</v>
      </c>
      <c r="N222" s="24" t="s">
        <v>916</v>
      </c>
      <c r="O222" s="16" t="s">
        <v>915</v>
      </c>
      <c r="P222" s="6" t="s">
        <v>914</v>
      </c>
      <c r="Q222" s="6" t="s">
        <v>537</v>
      </c>
      <c r="AC222" s="19" t="str">
        <f ca="1">HYPERLINK("#"&amp;단가산출근거목록표!J2&amp;"!A"&amp;ROW(단가산출근거목록표!A26),"산근   23 →")</f>
        <v>산근   23 →</v>
      </c>
    </row>
    <row r="223" spans="1:29" ht="30.6" customHeight="1" x14ac:dyDescent="0.3">
      <c r="A223" s="9"/>
      <c r="B223" s="9" t="s">
        <v>227</v>
      </c>
      <c r="C223" s="44" t="s">
        <v>228</v>
      </c>
      <c r="D223" s="46">
        <v>581</v>
      </c>
      <c r="E223" s="24" t="s">
        <v>229</v>
      </c>
      <c r="F223" s="53">
        <f t="shared" si="39"/>
        <v>35460</v>
      </c>
      <c r="G223" s="55">
        <f t="shared" si="39"/>
        <v>20602260</v>
      </c>
      <c r="H223" s="57">
        <f>단가산출근거목록표!F20</f>
        <v>0</v>
      </c>
      <c r="I223" s="12">
        <f t="shared" si="40"/>
        <v>0</v>
      </c>
      <c r="J223" s="60">
        <f>단가산출근거목록표!G20</f>
        <v>0</v>
      </c>
      <c r="K223" s="12">
        <f t="shared" si="41"/>
        <v>0</v>
      </c>
      <c r="L223" s="53">
        <f>단가산출근거목록표!H20</f>
        <v>35460</v>
      </c>
      <c r="M223" s="23">
        <f t="shared" si="42"/>
        <v>20602260</v>
      </c>
      <c r="N223" s="24" t="s">
        <v>919</v>
      </c>
      <c r="O223" s="16" t="s">
        <v>918</v>
      </c>
      <c r="P223" s="6" t="s">
        <v>917</v>
      </c>
      <c r="Q223" s="6" t="s">
        <v>537</v>
      </c>
      <c r="AC223" s="19" t="str">
        <f ca="1">HYPERLINK("#"&amp;단가산출근거목록표!J2&amp;"!A"&amp;ROW(단가산출근거목록표!A20),"산근   17 →")</f>
        <v>산근   17 →</v>
      </c>
    </row>
    <row r="224" spans="1:29" ht="30.6" customHeight="1" x14ac:dyDescent="0.3">
      <c r="A224" s="9"/>
      <c r="B224" s="9" t="s">
        <v>293</v>
      </c>
      <c r="C224" s="44" t="s">
        <v>242</v>
      </c>
      <c r="D224" s="46">
        <v>8.0000000000000002E-3</v>
      </c>
      <c r="E224" s="24" t="s">
        <v>294</v>
      </c>
      <c r="F224" s="53">
        <f t="shared" si="39"/>
        <v>15227</v>
      </c>
      <c r="G224" s="55">
        <f t="shared" si="39"/>
        <v>121</v>
      </c>
      <c r="H224" s="57">
        <f>단가산출근거목록표!F38</f>
        <v>0</v>
      </c>
      <c r="I224" s="12">
        <f t="shared" si="40"/>
        <v>0</v>
      </c>
      <c r="J224" s="60">
        <f>단가산출근거목록표!G38</f>
        <v>0</v>
      </c>
      <c r="K224" s="12">
        <f t="shared" si="41"/>
        <v>0</v>
      </c>
      <c r="L224" s="53">
        <f>단가산출근거목록표!H38</f>
        <v>15227</v>
      </c>
      <c r="M224" s="23">
        <f t="shared" si="42"/>
        <v>121</v>
      </c>
      <c r="N224" s="24" t="s">
        <v>1004</v>
      </c>
      <c r="O224" s="16" t="s">
        <v>975</v>
      </c>
      <c r="P224" s="6" t="s">
        <v>976</v>
      </c>
      <c r="Q224" s="6" t="s">
        <v>537</v>
      </c>
      <c r="AC224" s="19" t="str">
        <f ca="1">HYPERLINK("#"&amp;단가산출근거목록표!J2&amp;"!A"&amp;ROW(단가산출근거목록표!A38),"산근   35 →")</f>
        <v>산근   35 →</v>
      </c>
    </row>
    <row r="225" spans="1:29" ht="30.6" customHeight="1" x14ac:dyDescent="0.3">
      <c r="A225" s="9"/>
      <c r="B225" s="9" t="s">
        <v>253</v>
      </c>
      <c r="C225" s="44" t="s">
        <v>242</v>
      </c>
      <c r="D225" s="46">
        <v>352</v>
      </c>
      <c r="E225" s="24" t="s">
        <v>243</v>
      </c>
      <c r="F225" s="53">
        <f t="shared" si="39"/>
        <v>2499</v>
      </c>
      <c r="G225" s="55">
        <f t="shared" si="39"/>
        <v>879648</v>
      </c>
      <c r="H225" s="57">
        <f>단가산출근거목록표!F27</f>
        <v>0</v>
      </c>
      <c r="I225" s="12">
        <f t="shared" si="40"/>
        <v>0</v>
      </c>
      <c r="J225" s="60">
        <f>단가산출근거목록표!G27</f>
        <v>0</v>
      </c>
      <c r="K225" s="12">
        <f t="shared" si="41"/>
        <v>0</v>
      </c>
      <c r="L225" s="53">
        <f>단가산출근거목록표!H27</f>
        <v>2499</v>
      </c>
      <c r="M225" s="23">
        <f t="shared" si="42"/>
        <v>879648</v>
      </c>
      <c r="N225" s="24" t="s">
        <v>922</v>
      </c>
      <c r="O225" s="16" t="s">
        <v>921</v>
      </c>
      <c r="P225" s="6" t="s">
        <v>920</v>
      </c>
      <c r="Q225" s="6" t="s">
        <v>537</v>
      </c>
      <c r="AC225" s="19" t="str">
        <f ca="1">HYPERLINK("#"&amp;단가산출근거목록표!J2&amp;"!A"&amp;ROW(단가산출근거목록표!A27),"산근   24 →")</f>
        <v>산근   24 →</v>
      </c>
    </row>
    <row r="226" spans="1:29" ht="30.6" customHeight="1" x14ac:dyDescent="0.3">
      <c r="A226" s="9"/>
      <c r="B226" s="9"/>
      <c r="C226" s="44"/>
      <c r="D226" s="45"/>
      <c r="E226" s="24"/>
      <c r="F226" s="10">
        <v>0</v>
      </c>
      <c r="G226" s="49"/>
      <c r="H226" s="58"/>
      <c r="I226" s="58"/>
      <c r="J226" s="58"/>
      <c r="K226" s="58"/>
      <c r="L226" s="58"/>
      <c r="M226" s="52"/>
      <c r="N226" s="24"/>
      <c r="O226" s="16" t="s">
        <v>793</v>
      </c>
      <c r="P226" s="6" t="s">
        <v>540</v>
      </c>
      <c r="Q226" s="6" t="s">
        <v>554</v>
      </c>
    </row>
    <row r="227" spans="1:29" ht="30.6" customHeight="1" x14ac:dyDescent="0.3">
      <c r="A227" s="41" t="s">
        <v>923</v>
      </c>
      <c r="B227" s="41" t="s">
        <v>924</v>
      </c>
      <c r="C227" s="43"/>
      <c r="D227" s="45"/>
      <c r="E227" s="24"/>
      <c r="F227" s="10">
        <v>0</v>
      </c>
      <c r="G227" s="54">
        <f>SUMIF(Q228:Q233,P227,G228:G233)</f>
        <v>28866646</v>
      </c>
      <c r="H227" s="12">
        <v>0</v>
      </c>
      <c r="I227" s="55">
        <f>SUMIF(Q228:Q233,P227,I228:I233)</f>
        <v>0</v>
      </c>
      <c r="J227" s="12">
        <v>0</v>
      </c>
      <c r="K227" s="61">
        <f>SUMIF(Q228:Q233,P227,K228:K233)</f>
        <v>28866646</v>
      </c>
      <c r="L227" s="23">
        <v>0</v>
      </c>
      <c r="M227" s="61">
        <f>SUMIF(Q228:Q233,P227,M228:M233)</f>
        <v>0</v>
      </c>
      <c r="N227" s="24"/>
      <c r="O227" s="36" t="str">
        <f>"_x0007_`COD|E3_x0005_`QTY1|1_x0005_`EXI|0_x0005_`ITT|0_x0005_`END|"&amp;ROW(M234)&amp;"_x0005_`"</f>
        <v>_x0007_`COD|E3_x0005_`QTY1|1_x0005_`EXI|0_x0005_`ITT|0_x0005_`END|234_x0005_`</v>
      </c>
      <c r="P227" s="6" t="s">
        <v>537</v>
      </c>
      <c r="Q227" s="6" t="s">
        <v>554</v>
      </c>
    </row>
    <row r="228" spans="1:29" ht="30.6" customHeight="1" x14ac:dyDescent="0.3">
      <c r="A228" s="9"/>
      <c r="B228" s="9" t="s">
        <v>543</v>
      </c>
      <c r="C228" s="44" t="s">
        <v>536</v>
      </c>
      <c r="D228" s="46">
        <v>24</v>
      </c>
      <c r="E228" s="24" t="s">
        <v>442</v>
      </c>
      <c r="F228" s="53">
        <f t="shared" ref="F228:G233" si="43">J228+H228+L228</f>
        <v>29000</v>
      </c>
      <c r="G228" s="55">
        <f t="shared" si="43"/>
        <v>696000</v>
      </c>
      <c r="H228" s="59">
        <v>0</v>
      </c>
      <c r="I228" s="23">
        <f t="shared" ref="I228:I233" si="44">ROUNDDOWN(H228*D228,0)</f>
        <v>0</v>
      </c>
      <c r="J228" s="60">
        <f>재료비목록표!E27</f>
        <v>29000</v>
      </c>
      <c r="K228" s="12">
        <f t="shared" ref="K228:K233" si="45">ROUNDDOWN(J228*D228,0)</f>
        <v>696000</v>
      </c>
      <c r="L228" s="62">
        <v>0</v>
      </c>
      <c r="M228" s="23">
        <f t="shared" ref="M228:M233" si="46">ROUNDDOWN(L228*D228,0)</f>
        <v>0</v>
      </c>
      <c r="N228" s="24" t="s">
        <v>927</v>
      </c>
      <c r="O228" s="16" t="s">
        <v>926</v>
      </c>
      <c r="P228" s="6" t="s">
        <v>925</v>
      </c>
      <c r="Q228" s="6" t="s">
        <v>537</v>
      </c>
      <c r="AC228" s="19" t="str">
        <f ca="1">HYPERLINK("#"&amp;재료비목록표!G2&amp;"!A"&amp;ROW(재료비목록표!A27),"자재   24 →")</f>
        <v>자재   24 →</v>
      </c>
    </row>
    <row r="229" spans="1:29" ht="30.6" customHeight="1" x14ac:dyDescent="0.3">
      <c r="A229" s="9"/>
      <c r="B229" s="9" t="s">
        <v>535</v>
      </c>
      <c r="C229" s="44" t="s">
        <v>536</v>
      </c>
      <c r="D229" s="46">
        <v>28</v>
      </c>
      <c r="E229" s="24" t="s">
        <v>442</v>
      </c>
      <c r="F229" s="53">
        <f t="shared" si="43"/>
        <v>21000</v>
      </c>
      <c r="G229" s="55">
        <f t="shared" si="43"/>
        <v>588000</v>
      </c>
      <c r="H229" s="59">
        <v>0</v>
      </c>
      <c r="I229" s="23">
        <f t="shared" si="44"/>
        <v>0</v>
      </c>
      <c r="J229" s="60">
        <f>재료비목록표!E25</f>
        <v>21000</v>
      </c>
      <c r="K229" s="12">
        <f t="shared" si="45"/>
        <v>588000</v>
      </c>
      <c r="L229" s="62">
        <v>0</v>
      </c>
      <c r="M229" s="23">
        <f t="shared" si="46"/>
        <v>0</v>
      </c>
      <c r="N229" s="24" t="s">
        <v>930</v>
      </c>
      <c r="O229" s="16" t="s">
        <v>929</v>
      </c>
      <c r="P229" s="6" t="s">
        <v>928</v>
      </c>
      <c r="Q229" s="6" t="s">
        <v>537</v>
      </c>
      <c r="AC229" s="19" t="str">
        <f ca="1">HYPERLINK("#"&amp;재료비목록표!G2&amp;"!A"&amp;ROW(재료비목록표!A25),"자재   22 →")</f>
        <v>자재   22 →</v>
      </c>
    </row>
    <row r="230" spans="1:29" ht="30.6" customHeight="1" x14ac:dyDescent="0.3">
      <c r="A230" s="9"/>
      <c r="B230" s="9" t="s">
        <v>547</v>
      </c>
      <c r="C230" s="44" t="s">
        <v>567</v>
      </c>
      <c r="D230" s="46">
        <v>581</v>
      </c>
      <c r="E230" s="24" t="s">
        <v>229</v>
      </c>
      <c r="F230" s="53">
        <f t="shared" si="43"/>
        <v>44000</v>
      </c>
      <c r="G230" s="55">
        <f t="shared" si="43"/>
        <v>25564000</v>
      </c>
      <c r="H230" s="59">
        <v>0</v>
      </c>
      <c r="I230" s="23">
        <f t="shared" si="44"/>
        <v>0</v>
      </c>
      <c r="J230" s="60">
        <f>재료비목록표!E32</f>
        <v>44000</v>
      </c>
      <c r="K230" s="12">
        <f t="shared" si="45"/>
        <v>25564000</v>
      </c>
      <c r="L230" s="62">
        <v>0</v>
      </c>
      <c r="M230" s="23">
        <f t="shared" si="46"/>
        <v>0</v>
      </c>
      <c r="N230" s="24" t="s">
        <v>933</v>
      </c>
      <c r="O230" s="16" t="s">
        <v>932</v>
      </c>
      <c r="P230" s="6" t="s">
        <v>931</v>
      </c>
      <c r="Q230" s="6" t="s">
        <v>537</v>
      </c>
      <c r="AC230" s="19" t="str">
        <f ca="1">HYPERLINK("#"&amp;재료비목록표!G2&amp;"!A"&amp;ROW(재료비목록표!A32),"자재   29 →")</f>
        <v>자재   29 →</v>
      </c>
    </row>
    <row r="231" spans="1:29" ht="30.6" customHeight="1" x14ac:dyDescent="0.3">
      <c r="A231" s="9"/>
      <c r="B231" s="9" t="s">
        <v>584</v>
      </c>
      <c r="C231" s="44" t="s">
        <v>585</v>
      </c>
      <c r="D231" s="46">
        <v>56</v>
      </c>
      <c r="E231" s="24" t="s">
        <v>42</v>
      </c>
      <c r="F231" s="53">
        <f t="shared" si="43"/>
        <v>4490</v>
      </c>
      <c r="G231" s="55">
        <f t="shared" si="43"/>
        <v>251440</v>
      </c>
      <c r="H231" s="59">
        <v>0</v>
      </c>
      <c r="I231" s="23">
        <f t="shared" si="44"/>
        <v>0</v>
      </c>
      <c r="J231" s="60">
        <f>재료비목록표!E36</f>
        <v>4490</v>
      </c>
      <c r="K231" s="12">
        <f t="shared" si="45"/>
        <v>251440</v>
      </c>
      <c r="L231" s="62">
        <v>0</v>
      </c>
      <c r="M231" s="23">
        <f t="shared" si="46"/>
        <v>0</v>
      </c>
      <c r="N231" s="24" t="s">
        <v>1007</v>
      </c>
      <c r="O231" s="16" t="s">
        <v>1006</v>
      </c>
      <c r="P231" s="6" t="s">
        <v>1005</v>
      </c>
      <c r="Q231" s="6" t="s">
        <v>537</v>
      </c>
      <c r="AC231" s="19" t="str">
        <f ca="1">HYPERLINK("#"&amp;재료비목록표!G2&amp;"!A"&amp;ROW(재료비목록표!A36),"자재   33 →")</f>
        <v>자재   33 →</v>
      </c>
    </row>
    <row r="232" spans="1:29" ht="30.6" customHeight="1" x14ac:dyDescent="0.3">
      <c r="A232" s="9"/>
      <c r="B232" s="9" t="s">
        <v>598</v>
      </c>
      <c r="C232" s="44" t="s">
        <v>599</v>
      </c>
      <c r="D232" s="46">
        <v>8.0000000000000002E-3</v>
      </c>
      <c r="E232" s="24" t="s">
        <v>600</v>
      </c>
      <c r="F232" s="53">
        <f t="shared" si="43"/>
        <v>900854</v>
      </c>
      <c r="G232" s="55">
        <f t="shared" si="43"/>
        <v>7206</v>
      </c>
      <c r="H232" s="59">
        <v>0</v>
      </c>
      <c r="I232" s="23">
        <f t="shared" si="44"/>
        <v>0</v>
      </c>
      <c r="J232" s="60">
        <f>재료비목록표!E39</f>
        <v>900854</v>
      </c>
      <c r="K232" s="12">
        <f t="shared" si="45"/>
        <v>7206</v>
      </c>
      <c r="L232" s="62">
        <v>0</v>
      </c>
      <c r="M232" s="23">
        <f t="shared" si="46"/>
        <v>0</v>
      </c>
      <c r="N232" s="24" t="s">
        <v>1010</v>
      </c>
      <c r="O232" s="16" t="s">
        <v>1009</v>
      </c>
      <c r="P232" s="6" t="s">
        <v>1008</v>
      </c>
      <c r="Q232" s="6" t="s">
        <v>537</v>
      </c>
      <c r="AC232" s="19" t="str">
        <f ca="1">HYPERLINK("#"&amp;재료비목록표!G2&amp;"!A"&amp;ROW(재료비목록표!A39),"자재   36 →")</f>
        <v>자재   36 →</v>
      </c>
    </row>
    <row r="233" spans="1:29" ht="30.6" customHeight="1" x14ac:dyDescent="0.3">
      <c r="A233" s="9"/>
      <c r="B233" s="9" t="s">
        <v>530</v>
      </c>
      <c r="C233" s="44" t="s">
        <v>531</v>
      </c>
      <c r="D233" s="46">
        <v>352</v>
      </c>
      <c r="E233" s="24" t="s">
        <v>243</v>
      </c>
      <c r="F233" s="53">
        <f t="shared" si="43"/>
        <v>5000</v>
      </c>
      <c r="G233" s="55">
        <f t="shared" si="43"/>
        <v>1760000</v>
      </c>
      <c r="H233" s="59">
        <v>0</v>
      </c>
      <c r="I233" s="23">
        <f t="shared" si="44"/>
        <v>0</v>
      </c>
      <c r="J233" s="60">
        <f>재료비목록표!E24</f>
        <v>5000</v>
      </c>
      <c r="K233" s="12">
        <f t="shared" si="45"/>
        <v>1760000</v>
      </c>
      <c r="L233" s="62">
        <v>0</v>
      </c>
      <c r="M233" s="23">
        <f t="shared" si="46"/>
        <v>0</v>
      </c>
      <c r="N233" s="24" t="s">
        <v>936</v>
      </c>
      <c r="O233" s="16" t="s">
        <v>935</v>
      </c>
      <c r="P233" s="6" t="s">
        <v>934</v>
      </c>
      <c r="Q233" s="6" t="s">
        <v>537</v>
      </c>
      <c r="AC233" s="19" t="str">
        <f ca="1">HYPERLINK("#"&amp;재료비목록표!G2&amp;"!A"&amp;ROW(재료비목록표!A24),"자재   21 →")</f>
        <v>자재   21 →</v>
      </c>
    </row>
    <row r="234" spans="1:29" ht="30.6" customHeight="1" x14ac:dyDescent="0.3">
      <c r="A234" s="9"/>
      <c r="B234" s="9"/>
      <c r="C234" s="44"/>
      <c r="D234" s="45"/>
      <c r="E234" s="24"/>
      <c r="F234" s="10">
        <v>0</v>
      </c>
      <c r="G234" s="49"/>
      <c r="H234" s="58"/>
      <c r="I234" s="58"/>
      <c r="J234" s="58"/>
      <c r="K234" s="58"/>
      <c r="L234" s="58"/>
      <c r="M234" s="52"/>
      <c r="N234" s="24"/>
      <c r="O234" s="16" t="s">
        <v>586</v>
      </c>
      <c r="P234" s="6" t="s">
        <v>540</v>
      </c>
      <c r="Q234" s="6" t="s">
        <v>610</v>
      </c>
    </row>
    <row r="235" spans="1:29" ht="30.6" customHeight="1" x14ac:dyDescent="0.3">
      <c r="A235" s="9"/>
      <c r="B235" s="9"/>
      <c r="C235" s="9"/>
      <c r="D235" s="47"/>
      <c r="E235" s="33"/>
      <c r="F235" s="50"/>
      <c r="G235" s="50"/>
      <c r="H235" s="50"/>
      <c r="I235" s="50"/>
      <c r="J235" s="50"/>
      <c r="K235" s="50"/>
      <c r="L235" s="50"/>
      <c r="M235" s="50"/>
      <c r="N235" s="24"/>
    </row>
    <row r="236" spans="1:29" ht="30.6" customHeight="1" x14ac:dyDescent="0.3">
      <c r="A236" s="9"/>
      <c r="B236" s="9"/>
      <c r="C236" s="9"/>
      <c r="D236" s="47"/>
      <c r="E236" s="33"/>
      <c r="F236" s="50"/>
      <c r="G236" s="50"/>
      <c r="H236" s="50"/>
      <c r="I236" s="50"/>
      <c r="J236" s="50"/>
      <c r="K236" s="50"/>
      <c r="L236" s="50"/>
      <c r="M236" s="50"/>
      <c r="N236" s="24"/>
    </row>
    <row r="237" spans="1:29" ht="30.6" customHeight="1" x14ac:dyDescent="0.3">
      <c r="A237" s="9"/>
      <c r="B237" s="9"/>
      <c r="C237" s="9"/>
      <c r="D237" s="47"/>
      <c r="E237" s="33"/>
      <c r="F237" s="50"/>
      <c r="G237" s="50"/>
      <c r="H237" s="50"/>
      <c r="I237" s="50"/>
      <c r="J237" s="50"/>
      <c r="K237" s="50"/>
      <c r="L237" s="50"/>
      <c r="M237" s="50"/>
      <c r="N237" s="24"/>
    </row>
    <row r="238" spans="1:29" ht="30.6" customHeight="1" x14ac:dyDescent="0.3">
      <c r="A238" s="9"/>
      <c r="B238" s="9"/>
      <c r="C238" s="9"/>
      <c r="D238" s="47"/>
      <c r="E238" s="33"/>
      <c r="F238" s="50"/>
      <c r="G238" s="50"/>
      <c r="H238" s="50"/>
      <c r="I238" s="50"/>
      <c r="J238" s="50"/>
      <c r="K238" s="50"/>
      <c r="L238" s="50"/>
      <c r="M238" s="50"/>
      <c r="N238" s="24"/>
    </row>
    <row r="239" spans="1:29" ht="30.6" customHeight="1" x14ac:dyDescent="0.3">
      <c r="A239" s="9"/>
      <c r="B239" s="9"/>
      <c r="C239" s="9"/>
      <c r="D239" s="47"/>
      <c r="E239" s="33"/>
      <c r="F239" s="50"/>
      <c r="G239" s="50"/>
      <c r="H239" s="50"/>
      <c r="I239" s="50"/>
      <c r="J239" s="50"/>
      <c r="K239" s="50"/>
      <c r="L239" s="50"/>
      <c r="M239" s="50"/>
      <c r="N239" s="24"/>
    </row>
    <row r="240" spans="1:29" ht="30.6" customHeight="1" x14ac:dyDescent="0.3">
      <c r="A240" s="9"/>
      <c r="B240" s="9"/>
      <c r="C240" s="9"/>
      <c r="D240" s="47"/>
      <c r="E240" s="33"/>
      <c r="F240" s="50"/>
      <c r="G240" s="50"/>
      <c r="H240" s="50"/>
      <c r="I240" s="50"/>
      <c r="J240" s="50"/>
      <c r="K240" s="50"/>
      <c r="L240" s="50"/>
      <c r="M240" s="50"/>
      <c r="N240" s="24"/>
    </row>
    <row r="241" spans="1:29" ht="30.6" customHeight="1" x14ac:dyDescent="0.3">
      <c r="A241" s="9"/>
      <c r="B241" s="9"/>
      <c r="C241" s="9"/>
      <c r="D241" s="47"/>
      <c r="E241" s="33"/>
      <c r="F241" s="50"/>
      <c r="G241" s="50"/>
      <c r="H241" s="50"/>
      <c r="I241" s="50"/>
      <c r="J241" s="50"/>
      <c r="K241" s="50"/>
      <c r="L241" s="50"/>
      <c r="M241" s="50"/>
      <c r="N241" s="24"/>
    </row>
    <row r="242" spans="1:29" ht="30.6" customHeight="1" x14ac:dyDescent="0.3">
      <c r="A242" s="9"/>
      <c r="B242" s="9"/>
      <c r="C242" s="9"/>
      <c r="D242" s="47"/>
      <c r="E242" s="33"/>
      <c r="F242" s="50"/>
      <c r="G242" s="50"/>
      <c r="H242" s="50"/>
      <c r="I242" s="50"/>
      <c r="J242" s="50"/>
      <c r="K242" s="50"/>
      <c r="L242" s="50"/>
      <c r="M242" s="50"/>
      <c r="N242" s="24"/>
    </row>
    <row r="243" spans="1:29" ht="30.6" customHeight="1" x14ac:dyDescent="0.3">
      <c r="A243" s="9"/>
      <c r="B243" s="9"/>
      <c r="C243" s="9"/>
      <c r="D243" s="47"/>
      <c r="E243" s="33"/>
      <c r="F243" s="50"/>
      <c r="G243" s="50"/>
      <c r="H243" s="50"/>
      <c r="I243" s="50"/>
      <c r="J243" s="50"/>
      <c r="K243" s="50"/>
      <c r="L243" s="50"/>
      <c r="M243" s="50"/>
      <c r="N243" s="24"/>
    </row>
    <row r="244" spans="1:29" ht="30.6" customHeight="1" x14ac:dyDescent="0.3">
      <c r="A244" s="9"/>
      <c r="B244" s="9"/>
      <c r="C244" s="9"/>
      <c r="D244" s="47"/>
      <c r="E244" s="33"/>
      <c r="F244" s="50"/>
      <c r="G244" s="50"/>
      <c r="H244" s="50"/>
      <c r="I244" s="50"/>
      <c r="J244" s="50"/>
      <c r="K244" s="50"/>
      <c r="L244" s="50"/>
      <c r="M244" s="50"/>
      <c r="N244" s="24"/>
    </row>
    <row r="245" spans="1:29" ht="30.6" customHeight="1" x14ac:dyDescent="0.3">
      <c r="A245" s="41" t="s">
        <v>577</v>
      </c>
      <c r="B245" s="41" t="s">
        <v>559</v>
      </c>
      <c r="C245" s="43"/>
      <c r="D245" s="45"/>
      <c r="E245" s="24"/>
      <c r="F245" s="10">
        <v>0</v>
      </c>
      <c r="G245" s="54">
        <f>SUMIF(Q246:Q253,P245,G246:G253)</f>
        <v>69849380</v>
      </c>
      <c r="H245" s="12">
        <v>0</v>
      </c>
      <c r="I245" s="55">
        <f>SUMIF(Q246:Q253,P245,I246:I253)</f>
        <v>0</v>
      </c>
      <c r="J245" s="12">
        <v>0</v>
      </c>
      <c r="K245" s="61">
        <f>SUMIF(Q246:Q253,P245,K246:K253)</f>
        <v>69849380</v>
      </c>
      <c r="L245" s="23">
        <v>0</v>
      </c>
      <c r="M245" s="61">
        <f>SUMIF(Q246:Q253,P245,M246:M253)</f>
        <v>0</v>
      </c>
      <c r="N245" s="24" t="s">
        <v>941</v>
      </c>
      <c r="O245" s="36" t="str">
        <f>"_x0007_`COD|C4_x0005_`QTY1|1_x0005_`EXI|1_x0005_`ITT|0_x0005_`END|"&amp;ROW(M254)&amp;"_x0005_`"</f>
        <v>_x0007_`COD|C4_x0005_`QTY1|1_x0005_`EXI|1_x0005_`ITT|0_x0005_`END|254_x0005_`</v>
      </c>
      <c r="P245" s="6" t="s">
        <v>1034</v>
      </c>
    </row>
    <row r="246" spans="1:29" ht="30.6" customHeight="1" x14ac:dyDescent="0.3">
      <c r="A246" s="9"/>
      <c r="B246" s="9" t="s">
        <v>633</v>
      </c>
      <c r="C246" s="44" t="s">
        <v>634</v>
      </c>
      <c r="D246" s="46">
        <v>32</v>
      </c>
      <c r="E246" s="24" t="s">
        <v>442</v>
      </c>
      <c r="F246" s="53">
        <f t="shared" ref="F246:G253" si="47">J246+H246+L246</f>
        <v>102970</v>
      </c>
      <c r="G246" s="55">
        <f t="shared" si="47"/>
        <v>3295040</v>
      </c>
      <c r="H246" s="59">
        <v>0</v>
      </c>
      <c r="I246" s="23">
        <f t="shared" ref="I246:I252" si="48">ROUNDDOWN(H246*D246,0)</f>
        <v>0</v>
      </c>
      <c r="J246" s="60">
        <f>재료비목록표!E47</f>
        <v>102970</v>
      </c>
      <c r="K246" s="12">
        <f t="shared" ref="K246:K252" si="49">ROUNDDOWN(J246*D246,0)</f>
        <v>3295040</v>
      </c>
      <c r="L246" s="62">
        <v>0</v>
      </c>
      <c r="M246" s="23">
        <f t="shared" ref="M246:M252" si="50">ROUNDDOWN(L246*D246,0)</f>
        <v>0</v>
      </c>
      <c r="N246" s="24" t="s">
        <v>1012</v>
      </c>
      <c r="O246" s="16" t="s">
        <v>1011</v>
      </c>
      <c r="P246" s="6" t="s">
        <v>940</v>
      </c>
      <c r="Q246" s="6" t="s">
        <v>1034</v>
      </c>
      <c r="AC246" s="19" t="str">
        <f ca="1">HYPERLINK("#"&amp;재료비목록표!G2&amp;"!A"&amp;ROW(재료비목록표!A47),"자재   44 →")</f>
        <v>자재   44 →</v>
      </c>
    </row>
    <row r="247" spans="1:29" ht="30.6" customHeight="1" x14ac:dyDescent="0.3">
      <c r="A247" s="9"/>
      <c r="B247" s="9" t="s">
        <v>552</v>
      </c>
      <c r="C247" s="44" t="s">
        <v>553</v>
      </c>
      <c r="D247" s="46">
        <v>212</v>
      </c>
      <c r="E247" s="24" t="s">
        <v>474</v>
      </c>
      <c r="F247" s="53">
        <f t="shared" si="47"/>
        <v>157000</v>
      </c>
      <c r="G247" s="55">
        <f t="shared" si="47"/>
        <v>33284000</v>
      </c>
      <c r="H247" s="59">
        <v>0</v>
      </c>
      <c r="I247" s="23">
        <f t="shared" si="48"/>
        <v>0</v>
      </c>
      <c r="J247" s="60">
        <f>재료비목록표!E29</f>
        <v>157000</v>
      </c>
      <c r="K247" s="12">
        <f t="shared" si="49"/>
        <v>33284000</v>
      </c>
      <c r="L247" s="62">
        <v>0</v>
      </c>
      <c r="M247" s="23">
        <f t="shared" si="50"/>
        <v>0</v>
      </c>
      <c r="N247" s="24" t="s">
        <v>1015</v>
      </c>
      <c r="O247" s="16" t="s">
        <v>1014</v>
      </c>
      <c r="P247" s="6" t="s">
        <v>1013</v>
      </c>
      <c r="Q247" s="6" t="s">
        <v>1034</v>
      </c>
      <c r="AC247" s="19" t="str">
        <f ca="1">HYPERLINK("#"&amp;재료비목록표!G2&amp;"!A"&amp;ROW(재료비목록표!A29),"자재   26 →")</f>
        <v>자재   26 →</v>
      </c>
    </row>
    <row r="248" spans="1:29" ht="30.6" customHeight="1" x14ac:dyDescent="0.3">
      <c r="A248" s="9"/>
      <c r="B248" s="9" t="s">
        <v>552</v>
      </c>
      <c r="C248" s="44" t="s">
        <v>571</v>
      </c>
      <c r="D248" s="46">
        <v>132</v>
      </c>
      <c r="E248" s="24" t="s">
        <v>474</v>
      </c>
      <c r="F248" s="53">
        <f t="shared" si="47"/>
        <v>196270</v>
      </c>
      <c r="G248" s="55">
        <f t="shared" si="47"/>
        <v>25907640</v>
      </c>
      <c r="H248" s="59">
        <v>0</v>
      </c>
      <c r="I248" s="23">
        <f t="shared" si="48"/>
        <v>0</v>
      </c>
      <c r="J248" s="60">
        <f>재료비목록표!E33</f>
        <v>196270</v>
      </c>
      <c r="K248" s="12">
        <f t="shared" si="49"/>
        <v>25907640</v>
      </c>
      <c r="L248" s="62">
        <v>0</v>
      </c>
      <c r="M248" s="23">
        <f t="shared" si="50"/>
        <v>0</v>
      </c>
      <c r="N248" s="24" t="s">
        <v>1018</v>
      </c>
      <c r="O248" s="16" t="s">
        <v>1017</v>
      </c>
      <c r="P248" s="6" t="s">
        <v>1016</v>
      </c>
      <c r="Q248" s="6" t="s">
        <v>1034</v>
      </c>
      <c r="AC248" s="19" t="str">
        <f ca="1">HYPERLINK("#"&amp;재료비목록표!G2&amp;"!A"&amp;ROW(재료비목록표!A33),"자재   30 →")</f>
        <v>자재   30 →</v>
      </c>
    </row>
    <row r="249" spans="1:29" ht="30.6" customHeight="1" x14ac:dyDescent="0.3">
      <c r="A249" s="9"/>
      <c r="B249" s="9" t="s">
        <v>552</v>
      </c>
      <c r="C249" s="44" t="s">
        <v>638</v>
      </c>
      <c r="D249" s="46">
        <v>22</v>
      </c>
      <c r="E249" s="24" t="s">
        <v>474</v>
      </c>
      <c r="F249" s="53">
        <f t="shared" si="47"/>
        <v>273370</v>
      </c>
      <c r="G249" s="55">
        <f t="shared" si="47"/>
        <v>6014140</v>
      </c>
      <c r="H249" s="59">
        <v>0</v>
      </c>
      <c r="I249" s="23">
        <f t="shared" si="48"/>
        <v>0</v>
      </c>
      <c r="J249" s="60">
        <f>재료비목록표!E48</f>
        <v>273370</v>
      </c>
      <c r="K249" s="12">
        <f t="shared" si="49"/>
        <v>6014140</v>
      </c>
      <c r="L249" s="62">
        <v>0</v>
      </c>
      <c r="M249" s="23">
        <f t="shared" si="50"/>
        <v>0</v>
      </c>
      <c r="N249" s="24" t="s">
        <v>1021</v>
      </c>
      <c r="O249" s="16" t="s">
        <v>1020</v>
      </c>
      <c r="P249" s="6" t="s">
        <v>1019</v>
      </c>
      <c r="Q249" s="6" t="s">
        <v>1034</v>
      </c>
      <c r="AC249" s="19" t="str">
        <f ca="1">HYPERLINK("#"&amp;재료비목록표!G2&amp;"!A"&amp;ROW(재료비목록표!A48),"자재   45 →")</f>
        <v>자재   45 →</v>
      </c>
    </row>
    <row r="250" spans="1:29" ht="30.6" customHeight="1" x14ac:dyDescent="0.3">
      <c r="A250" s="9"/>
      <c r="B250" s="9" t="s">
        <v>604</v>
      </c>
      <c r="C250" s="44" t="s">
        <v>605</v>
      </c>
      <c r="D250" s="46">
        <v>22</v>
      </c>
      <c r="E250" s="24" t="s">
        <v>458</v>
      </c>
      <c r="F250" s="53">
        <f t="shared" si="47"/>
        <v>21200</v>
      </c>
      <c r="G250" s="55">
        <f t="shared" si="47"/>
        <v>466400</v>
      </c>
      <c r="H250" s="59">
        <v>0</v>
      </c>
      <c r="I250" s="23">
        <f t="shared" si="48"/>
        <v>0</v>
      </c>
      <c r="J250" s="60">
        <f>재료비목록표!E40</f>
        <v>21200</v>
      </c>
      <c r="K250" s="12">
        <f t="shared" si="49"/>
        <v>466400</v>
      </c>
      <c r="L250" s="62">
        <v>0</v>
      </c>
      <c r="M250" s="23">
        <f t="shared" si="50"/>
        <v>0</v>
      </c>
      <c r="N250" s="24" t="s">
        <v>1024</v>
      </c>
      <c r="O250" s="16" t="s">
        <v>1023</v>
      </c>
      <c r="P250" s="6" t="s">
        <v>1022</v>
      </c>
      <c r="Q250" s="6" t="s">
        <v>1034</v>
      </c>
      <c r="AC250" s="19" t="str">
        <f ca="1">HYPERLINK("#"&amp;재료비목록표!G2&amp;"!A"&amp;ROW(재료비목록표!A40),"자재   37 →")</f>
        <v>자재   37 →</v>
      </c>
    </row>
    <row r="251" spans="1:29" ht="30.6" customHeight="1" x14ac:dyDescent="0.3">
      <c r="A251" s="9"/>
      <c r="B251" s="9" t="s">
        <v>604</v>
      </c>
      <c r="C251" s="44" t="s">
        <v>609</v>
      </c>
      <c r="D251" s="46">
        <v>12</v>
      </c>
      <c r="E251" s="24" t="s">
        <v>458</v>
      </c>
      <c r="F251" s="53">
        <f t="shared" si="47"/>
        <v>32200</v>
      </c>
      <c r="G251" s="55">
        <f t="shared" si="47"/>
        <v>386400</v>
      </c>
      <c r="H251" s="59">
        <v>0</v>
      </c>
      <c r="I251" s="23">
        <f t="shared" si="48"/>
        <v>0</v>
      </c>
      <c r="J251" s="60">
        <f>재료비목록표!E41</f>
        <v>32200</v>
      </c>
      <c r="K251" s="12">
        <f t="shared" si="49"/>
        <v>386400</v>
      </c>
      <c r="L251" s="62">
        <v>0</v>
      </c>
      <c r="M251" s="23">
        <f t="shared" si="50"/>
        <v>0</v>
      </c>
      <c r="N251" s="24" t="s">
        <v>1027</v>
      </c>
      <c r="O251" s="16" t="s">
        <v>1026</v>
      </c>
      <c r="P251" s="6" t="s">
        <v>1025</v>
      </c>
      <c r="Q251" s="6" t="s">
        <v>1034</v>
      </c>
      <c r="AC251" s="19" t="str">
        <f ca="1">HYPERLINK("#"&amp;재료비목록표!G2&amp;"!A"&amp;ROW(재료비목록표!A41),"자재   38 →")</f>
        <v>자재   38 →</v>
      </c>
    </row>
    <row r="252" spans="1:29" ht="30.6" customHeight="1" x14ac:dyDescent="0.3">
      <c r="A252" s="9"/>
      <c r="B252" s="9" t="s">
        <v>604</v>
      </c>
      <c r="C252" s="44" t="s">
        <v>642</v>
      </c>
      <c r="D252" s="46">
        <v>3</v>
      </c>
      <c r="E252" s="24" t="s">
        <v>458</v>
      </c>
      <c r="F252" s="53">
        <f t="shared" si="47"/>
        <v>40200</v>
      </c>
      <c r="G252" s="55">
        <f t="shared" si="47"/>
        <v>120600</v>
      </c>
      <c r="H252" s="59">
        <v>0</v>
      </c>
      <c r="I252" s="23">
        <f t="shared" si="48"/>
        <v>0</v>
      </c>
      <c r="J252" s="60">
        <f>재료비목록표!E49</f>
        <v>40200</v>
      </c>
      <c r="K252" s="12">
        <f t="shared" si="49"/>
        <v>120600</v>
      </c>
      <c r="L252" s="62">
        <v>0</v>
      </c>
      <c r="M252" s="23">
        <f t="shared" si="50"/>
        <v>0</v>
      </c>
      <c r="N252" s="24" t="s">
        <v>1030</v>
      </c>
      <c r="O252" s="16" t="s">
        <v>1029</v>
      </c>
      <c r="P252" s="6" t="s">
        <v>1028</v>
      </c>
      <c r="Q252" s="6" t="s">
        <v>1034</v>
      </c>
      <c r="AC252" s="19" t="str">
        <f ca="1">HYPERLINK("#"&amp;재료비목록표!G2&amp;"!A"&amp;ROW(재료비목록표!A49),"자재   46 →")</f>
        <v>자재   46 →</v>
      </c>
    </row>
    <row r="253" spans="1:29" ht="30.6" customHeight="1" x14ac:dyDescent="0.3">
      <c r="A253" s="9"/>
      <c r="B253" s="9" t="s">
        <v>489</v>
      </c>
      <c r="C253" s="44" t="s">
        <v>490</v>
      </c>
      <c r="D253" s="46">
        <v>0.54</v>
      </c>
      <c r="E253" s="24" t="s">
        <v>480</v>
      </c>
      <c r="F253" s="53">
        <f t="shared" si="47"/>
        <v>69474220</v>
      </c>
      <c r="G253" s="55">
        <f t="shared" si="47"/>
        <v>375160</v>
      </c>
      <c r="H253" s="59">
        <v>0</v>
      </c>
      <c r="I253" s="10">
        <f>ROUNDDOWN(H253*D253/100,0)</f>
        <v>0</v>
      </c>
      <c r="J253" s="59">
        <v>69474220</v>
      </c>
      <c r="K253" s="23">
        <f>ROUNDDOWN(J253*D253/100,0)</f>
        <v>375160</v>
      </c>
      <c r="L253" s="62">
        <v>0</v>
      </c>
      <c r="M253" s="23">
        <f>ROUNDDOWN(L253*D253/100,0)</f>
        <v>0</v>
      </c>
      <c r="N253" s="24" t="s">
        <v>1033</v>
      </c>
      <c r="O253" s="16" t="s">
        <v>1032</v>
      </c>
      <c r="P253" s="6" t="s">
        <v>1031</v>
      </c>
      <c r="Q253" s="6" t="s">
        <v>1034</v>
      </c>
      <c r="AC253" s="19" t="str">
        <f ca="1">HYPERLINK("#"&amp;재료비목록표!G2&amp;"!A"&amp;ROW(재료비목록표!A15),"자재   12 →")</f>
        <v>자재   12 →</v>
      </c>
    </row>
    <row r="254" spans="1:29" hidden="1" x14ac:dyDescent="0.3">
      <c r="G254" s="56">
        <f>SUMIF(Q5:Q253,"E10_1",G5:G253)</f>
        <v>710359136</v>
      </c>
      <c r="I254" s="56">
        <f>SUMIF(Q5:Q253,"E10_1",I5:I253)</f>
        <v>346800554</v>
      </c>
      <c r="K254" s="56">
        <f>SUMIF(Q5:Q253,"E10_1",K5:K253)</f>
        <v>194234417</v>
      </c>
      <c r="M254" s="56">
        <f>SUMIF(Q5:Q253,"E10_1",M5:M253)</f>
        <v>169324165</v>
      </c>
    </row>
    <row r="255" spans="1:29" ht="30.6" customHeight="1" x14ac:dyDescent="0.3">
      <c r="A255" s="42"/>
      <c r="B255" s="42"/>
      <c r="C255" s="42"/>
      <c r="D255" s="48"/>
      <c r="E255" s="26"/>
      <c r="F255" s="51"/>
      <c r="G255" s="51"/>
      <c r="H255" s="51"/>
      <c r="I255" s="51"/>
      <c r="J255" s="51"/>
      <c r="K255" s="51"/>
      <c r="L255" s="51"/>
      <c r="M255" s="51"/>
      <c r="N255" s="13"/>
    </row>
    <row r="256" spans="1:29" ht="30.6" customHeight="1" x14ac:dyDescent="0.3">
      <c r="A256" s="9"/>
      <c r="B256" s="9"/>
      <c r="C256" s="9"/>
      <c r="D256" s="47"/>
      <c r="E256" s="33"/>
      <c r="F256" s="50"/>
      <c r="G256" s="50"/>
      <c r="H256" s="50"/>
      <c r="I256" s="50"/>
      <c r="J256" s="50"/>
      <c r="K256" s="50"/>
      <c r="L256" s="50"/>
      <c r="M256" s="50"/>
      <c r="N256" s="24"/>
    </row>
    <row r="257" spans="1:14" ht="30.6" customHeight="1" x14ac:dyDescent="0.3">
      <c r="A257" s="9"/>
      <c r="B257" s="9"/>
      <c r="C257" s="9"/>
      <c r="D257" s="47"/>
      <c r="E257" s="33"/>
      <c r="F257" s="50"/>
      <c r="G257" s="50"/>
      <c r="H257" s="50"/>
      <c r="I257" s="50"/>
      <c r="J257" s="50"/>
      <c r="K257" s="50"/>
      <c r="L257" s="50"/>
      <c r="M257" s="50"/>
      <c r="N257" s="24"/>
    </row>
    <row r="258" spans="1:14" ht="30.6" customHeight="1" x14ac:dyDescent="0.3">
      <c r="A258" s="9"/>
      <c r="B258" s="9"/>
      <c r="C258" s="9"/>
      <c r="D258" s="47"/>
      <c r="E258" s="33"/>
      <c r="F258" s="50"/>
      <c r="G258" s="50"/>
      <c r="H258" s="50"/>
      <c r="I258" s="50"/>
      <c r="J258" s="50"/>
      <c r="K258" s="50"/>
      <c r="L258" s="50"/>
      <c r="M258" s="50"/>
      <c r="N258" s="24"/>
    </row>
    <row r="259" spans="1:14" ht="30.6" customHeight="1" x14ac:dyDescent="0.3">
      <c r="A259" s="9"/>
      <c r="B259" s="9"/>
      <c r="C259" s="9"/>
      <c r="D259" s="47"/>
      <c r="E259" s="33"/>
      <c r="F259" s="50"/>
      <c r="G259" s="50"/>
      <c r="H259" s="50"/>
      <c r="I259" s="50"/>
      <c r="J259" s="50"/>
      <c r="K259" s="50"/>
      <c r="L259" s="50"/>
      <c r="M259" s="50"/>
      <c r="N259" s="24"/>
    </row>
    <row r="260" spans="1:14" ht="30.6" customHeight="1" x14ac:dyDescent="0.3">
      <c r="A260" s="9"/>
      <c r="B260" s="9"/>
      <c r="C260" s="9"/>
      <c r="D260" s="47"/>
      <c r="E260" s="33"/>
      <c r="F260" s="50"/>
      <c r="G260" s="50"/>
      <c r="H260" s="50"/>
      <c r="I260" s="50"/>
      <c r="J260" s="50"/>
      <c r="K260" s="50"/>
      <c r="L260" s="50"/>
      <c r="M260" s="50"/>
      <c r="N260" s="24"/>
    </row>
    <row r="261" spans="1:14" ht="30.6" customHeight="1" x14ac:dyDescent="0.3">
      <c r="A261" s="9"/>
      <c r="B261" s="9"/>
      <c r="C261" s="9"/>
      <c r="D261" s="47"/>
      <c r="E261" s="33"/>
      <c r="F261" s="50"/>
      <c r="G261" s="50"/>
      <c r="H261" s="50"/>
      <c r="I261" s="50"/>
      <c r="J261" s="50"/>
      <c r="K261" s="50"/>
      <c r="L261" s="50"/>
      <c r="M261" s="50"/>
      <c r="N261" s="24"/>
    </row>
    <row r="262" spans="1:14" ht="30.6" customHeight="1" x14ac:dyDescent="0.3">
      <c r="A262" s="9"/>
      <c r="B262" s="9"/>
      <c r="C262" s="9"/>
      <c r="D262" s="47"/>
      <c r="E262" s="33"/>
      <c r="F262" s="50"/>
      <c r="G262" s="50"/>
      <c r="H262" s="50"/>
      <c r="I262" s="50"/>
      <c r="J262" s="50"/>
      <c r="K262" s="50"/>
      <c r="L262" s="50"/>
      <c r="M262" s="50"/>
      <c r="N262" s="24"/>
    </row>
    <row r="263" spans="1:14" ht="30.6" customHeight="1" x14ac:dyDescent="0.3">
      <c r="A263" s="9"/>
      <c r="B263" s="9"/>
      <c r="C263" s="9"/>
      <c r="D263" s="47"/>
      <c r="E263" s="33"/>
      <c r="F263" s="50"/>
      <c r="G263" s="50"/>
      <c r="H263" s="50"/>
      <c r="I263" s="50"/>
      <c r="J263" s="50"/>
      <c r="K263" s="50"/>
      <c r="L263" s="50"/>
      <c r="M263" s="50"/>
      <c r="N263" s="24"/>
    </row>
    <row r="264" spans="1:14" ht="30.6" customHeight="1" x14ac:dyDescent="0.3">
      <c r="A264" s="9"/>
      <c r="B264" s="9"/>
      <c r="C264" s="9"/>
      <c r="D264" s="47"/>
      <c r="E264" s="33"/>
      <c r="F264" s="50"/>
      <c r="G264" s="50"/>
      <c r="H264" s="50"/>
      <c r="I264" s="50"/>
      <c r="J264" s="50"/>
      <c r="K264" s="50"/>
      <c r="L264" s="50"/>
      <c r="M264" s="50"/>
      <c r="N264" s="24"/>
    </row>
    <row r="265" spans="1:14" ht="30.6" customHeight="1" x14ac:dyDescent="0.3">
      <c r="A265" s="9"/>
      <c r="B265" s="9"/>
      <c r="C265" s="9"/>
      <c r="D265" s="47"/>
      <c r="E265" s="33"/>
      <c r="F265" s="50"/>
      <c r="G265" s="50"/>
      <c r="H265" s="50"/>
      <c r="I265" s="50"/>
      <c r="J265" s="50"/>
      <c r="K265" s="50"/>
      <c r="L265" s="50"/>
      <c r="M265" s="50"/>
      <c r="N265" s="24"/>
    </row>
  </sheetData>
  <mergeCells count="11">
    <mergeCell ref="L3:M3"/>
    <mergeCell ref="N3:N4"/>
    <mergeCell ref="A1:N1"/>
    <mergeCell ref="A3:A4"/>
    <mergeCell ref="B3:B4"/>
    <mergeCell ref="C3:C4"/>
    <mergeCell ref="D3:D4"/>
    <mergeCell ref="E3:E4"/>
    <mergeCell ref="F3:G3"/>
    <mergeCell ref="H3:I3"/>
    <mergeCell ref="J3:K3"/>
  </mergeCells>
  <phoneticPr fontId="26" type="noConversion"/>
  <conditionalFormatting sqref="D5:D265">
    <cfRule type="expression" dxfId="5" priority="1" stopIfTrue="1">
      <formula>AND(D5&lt;&gt;0,INT(D5)=D5)</formula>
    </cfRule>
  </conditionalFormatting>
  <conditionalFormatting sqref="F5:N265">
    <cfRule type="expression" dxfId="4" priority="2" stopIfTrue="1">
      <formula>AND(F5&lt;&gt;0,INT(F5)=F5)</formula>
    </cfRule>
  </conditionalFormatting>
  <hyperlinks>
    <hyperlink ref="AC1" r:id="rId1" tooltip="설계예산시스템(STmate w24.04)으로 작성 하였으며,_x000a_엑셀 인쇄품질 600 dpi에 최적화 되어 있습니다._x000a_경영정보(주) http://www.stma.co.kr_x000a_Tel) 070-4350-0040_x000a_Fax) 0505-300-3948"/>
    <hyperlink ref="O1" r:id="rId2" tooltip="설계예산시스템(STmate w24.04)으로 작성 하였으며,_x000a_엑셀 인쇄품질 600 dpi에 최적화 되어 있습니다._x000a_경영정보(주) http://www.stma.co.kr_x000a_Tel) 070-4350-0040_x000a_Fax) 0505-300-3948"/>
  </hyperlinks>
  <printOptions horizontalCentered="1"/>
  <pageMargins left="0.78740157480314965" right="0.78740157480314965" top="0.59055118110236215" bottom="0.59055118110236215" header="0" footer="0.39370078740157477"/>
  <pageSetup paperSize="9" scale="69" fitToWidth="0" fitToHeight="0" orientation="landscape" r:id="rId3"/>
  <headerFooter alignWithMargins="0">
    <oddFooter xml:space="preserve">&amp;R&amp;"굴림체,"&amp;9 </oddFooter>
  </headerFooter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7"/>
  <sheetViews>
    <sheetView workbookViewId="0">
      <pane ySplit="3" topLeftCell="A4" activePane="bottomLeft" state="frozenSplit"/>
      <selection pane="bottomLeft" activeCell="A4" sqref="A4"/>
    </sheetView>
  </sheetViews>
  <sheetFormatPr defaultColWidth="9.125" defaultRowHeight="16.5" x14ac:dyDescent="0.3"/>
  <cols>
    <col min="1" max="1" width="10" style="5" customWidth="1"/>
    <col min="2" max="3" width="24.25" style="5" customWidth="1"/>
    <col min="4" max="4" width="5.5" style="5" customWidth="1"/>
    <col min="5" max="8" width="11.5" style="5" customWidth="1"/>
    <col min="9" max="9" width="10" style="5" customWidth="1"/>
    <col min="10" max="10" width="9.125" style="15" hidden="1" customWidth="1"/>
    <col min="11" max="11" width="9.125" style="17" customWidth="1"/>
    <col min="12" max="16384" width="9.125" style="5"/>
  </cols>
  <sheetData>
    <row r="1" spans="1:11" ht="24.95" customHeight="1" x14ac:dyDescent="0.3">
      <c r="A1" s="145" t="s">
        <v>0</v>
      </c>
      <c r="B1" s="135"/>
      <c r="C1" s="135"/>
      <c r="D1" s="135"/>
      <c r="E1" s="135"/>
      <c r="F1" s="135"/>
      <c r="G1" s="135"/>
      <c r="H1" s="135"/>
      <c r="I1" s="135"/>
      <c r="J1" s="4" t="s">
        <v>166</v>
      </c>
      <c r="K1" s="18" t="s">
        <v>166</v>
      </c>
    </row>
    <row r="2" spans="1:11" ht="22.35" customHeight="1" x14ac:dyDescent="0.3">
      <c r="A2" s="1" t="s">
        <v>1</v>
      </c>
      <c r="J2" s="21" t="str">
        <f ca="1">MID(CELL("filename",$A$1),FIND("]",CELL("filename",$A$1))+1,LEN(CELL("filename",$A$1)))</f>
        <v>일위대가목록표</v>
      </c>
    </row>
    <row r="3" spans="1:11" ht="22.35" customHeight="1" x14ac:dyDescent="0.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13" t="s">
        <v>10</v>
      </c>
      <c r="K3" s="19" t="str">
        <f>HYPERLINK("#'〓 목 차 〓'!B2","목차 →")</f>
        <v>목차 →</v>
      </c>
    </row>
    <row r="4" spans="1:11" ht="22.35" customHeight="1" x14ac:dyDescent="0.3">
      <c r="A4" s="8" t="s">
        <v>11</v>
      </c>
      <c r="B4" s="9" t="s">
        <v>12</v>
      </c>
      <c r="C4" s="9" t="s">
        <v>13</v>
      </c>
      <c r="D4" s="8" t="s">
        <v>14</v>
      </c>
      <c r="E4" s="55">
        <f>일위대가표!F11</f>
        <v>109259</v>
      </c>
      <c r="F4" s="54">
        <f>일위대가표!H11</f>
        <v>109259</v>
      </c>
      <c r="G4" s="63">
        <f>일위대가표!J11</f>
        <v>0</v>
      </c>
      <c r="H4" s="55">
        <f>일위대가표!L11</f>
        <v>0</v>
      </c>
      <c r="I4" s="14" t="s">
        <v>11</v>
      </c>
      <c r="J4" s="36" t="str">
        <f>"_x0007_`COD|B00049_x0005_`QTY1|1_x0005_`BQC|_x0005_`EQC|_x0005_`JDC|_x0005_`WQC|_x0005_`EDT|_x0005_`ADJ|F_x0005_`DET|"&amp;ROW(일위대가표!A5)&amp;"_x0005_`"</f>
        <v>_x0007_`COD|B00049_x0005_`QTY1|1_x0005_`BQC|_x0005_`EQC|_x0005_`JDC|_x0005_`WQC|_x0005_`EDT|_x0005_`ADJ|F_x0005_`DET|5_x0005_`</v>
      </c>
      <c r="K4" s="19" t="str">
        <f ca="1">HYPERLINK("#"&amp;일위대가표!N2&amp;"!A"&amp;ROW(일위대가표!A5),"대가    1 →")</f>
        <v>대가    1 →</v>
      </c>
    </row>
    <row r="5" spans="1:11" ht="22.35" customHeight="1" x14ac:dyDescent="0.3">
      <c r="A5" s="8" t="s">
        <v>17</v>
      </c>
      <c r="B5" s="9" t="s">
        <v>18</v>
      </c>
      <c r="C5" s="9" t="s">
        <v>19</v>
      </c>
      <c r="D5" s="8" t="s">
        <v>20</v>
      </c>
      <c r="E5" s="55">
        <f>일위대가표!F20</f>
        <v>16001</v>
      </c>
      <c r="F5" s="54">
        <f>일위대가표!H20</f>
        <v>15002</v>
      </c>
      <c r="G5" s="63">
        <f>일위대가표!J20</f>
        <v>584</v>
      </c>
      <c r="H5" s="55">
        <f>일위대가표!L20</f>
        <v>415</v>
      </c>
      <c r="I5" s="14" t="s">
        <v>17</v>
      </c>
      <c r="J5" s="36" t="str">
        <f>"_x0007_`COD|B00064_x0005_`QTY1|1_x0005_`BQC|_x0005_`EQC|_x0005_`JDC|_x0005_`WQC|_x0005_`EDT|_x0005_`ADJ|F_x0005_`DET|"&amp;ROW(일위대가표!A12)&amp;"_x0005_`"</f>
        <v>_x0007_`COD|B00064_x0005_`QTY1|1_x0005_`BQC|_x0005_`EQC|_x0005_`JDC|_x0005_`WQC|_x0005_`EDT|_x0005_`ADJ|F_x0005_`DET|12_x0005_`</v>
      </c>
      <c r="K5" s="19" t="str">
        <f ca="1">HYPERLINK("#"&amp;일위대가표!N2&amp;"!A"&amp;ROW(일위대가표!A12),"대가    2 →")</f>
        <v>대가    2 →</v>
      </c>
    </row>
    <row r="6" spans="1:11" ht="22.35" customHeight="1" x14ac:dyDescent="0.3">
      <c r="A6" s="8" t="s">
        <v>23</v>
      </c>
      <c r="B6" s="9" t="s">
        <v>18</v>
      </c>
      <c r="C6" s="9" t="s">
        <v>24</v>
      </c>
      <c r="D6" s="8" t="s">
        <v>20</v>
      </c>
      <c r="E6" s="55">
        <f>일위대가표!F29</f>
        <v>20785</v>
      </c>
      <c r="F6" s="54">
        <f>일위대가표!H29</f>
        <v>19553</v>
      </c>
      <c r="G6" s="63">
        <f>일위대가표!J29</f>
        <v>733</v>
      </c>
      <c r="H6" s="55">
        <f>일위대가표!L29</f>
        <v>499</v>
      </c>
      <c r="I6" s="14" t="s">
        <v>23</v>
      </c>
      <c r="J6" s="36" t="str">
        <f>"_x0007_`COD|B00065_x0005_`QTY1|1_x0005_`BQC|_x0005_`EQC|_x0005_`JDC|_x0005_`WQC|_x0005_`EDT|_x0005_`ADJ|F_x0005_`DET|"&amp;ROW(일위대가표!A21)&amp;"_x0005_`"</f>
        <v>_x0007_`COD|B00065_x0005_`QTY1|1_x0005_`BQC|_x0005_`EQC|_x0005_`JDC|_x0005_`WQC|_x0005_`EDT|_x0005_`ADJ|F_x0005_`DET|21_x0005_`</v>
      </c>
      <c r="K6" s="19" t="str">
        <f ca="1">HYPERLINK("#"&amp;일위대가표!N2&amp;"!A"&amp;ROW(일위대가표!A21),"대가    3 →")</f>
        <v>대가    3 →</v>
      </c>
    </row>
    <row r="7" spans="1:11" ht="22.35" customHeight="1" x14ac:dyDescent="0.3">
      <c r="A7" s="8" t="s">
        <v>27</v>
      </c>
      <c r="B7" s="9" t="s">
        <v>28</v>
      </c>
      <c r="C7" s="9" t="s">
        <v>29</v>
      </c>
      <c r="D7" s="8" t="s">
        <v>30</v>
      </c>
      <c r="E7" s="55">
        <f>일위대가표!F33</f>
        <v>20714</v>
      </c>
      <c r="F7" s="54">
        <f>일위대가표!H33</f>
        <v>20714</v>
      </c>
      <c r="G7" s="63">
        <f>일위대가표!J33</f>
        <v>0</v>
      </c>
      <c r="H7" s="55">
        <f>일위대가표!L33</f>
        <v>0</v>
      </c>
      <c r="I7" s="14" t="s">
        <v>27</v>
      </c>
      <c r="J7" s="36" t="str">
        <f>"_x0007_`COD|B00135_x0005_`QTY1|1_x0005_`BQC|_x0005_`EQC|_x0005_`JDC|_x0005_`WQC|_x0005_`EDT|_x0005_`ADJ|F_x0005_`DET|"&amp;ROW(일위대가표!A30)&amp;"_x0005_`"</f>
        <v>_x0007_`COD|B00135_x0005_`QTY1|1_x0005_`BQC|_x0005_`EQC|_x0005_`JDC|_x0005_`WQC|_x0005_`EDT|_x0005_`ADJ|F_x0005_`DET|30_x0005_`</v>
      </c>
      <c r="K7" s="19" t="str">
        <f ca="1">HYPERLINK("#"&amp;일위대가표!N2&amp;"!A"&amp;ROW(일위대가표!A30),"대가    4 →")</f>
        <v>대가    4 →</v>
      </c>
    </row>
    <row r="8" spans="1:11" ht="22.35" customHeight="1" x14ac:dyDescent="0.3">
      <c r="A8" s="8" t="s">
        <v>33</v>
      </c>
      <c r="B8" s="9" t="s">
        <v>34</v>
      </c>
      <c r="C8" s="9" t="s">
        <v>35</v>
      </c>
      <c r="D8" s="8" t="s">
        <v>36</v>
      </c>
      <c r="E8" s="55">
        <f>일위대가표!F41</f>
        <v>25821</v>
      </c>
      <c r="F8" s="54">
        <f>일위대가표!H41</f>
        <v>21936</v>
      </c>
      <c r="G8" s="63">
        <f>일위대가표!J41</f>
        <v>3885</v>
      </c>
      <c r="H8" s="55">
        <f>일위대가표!L41</f>
        <v>0</v>
      </c>
      <c r="I8" s="14" t="s">
        <v>33</v>
      </c>
      <c r="J8" s="36" t="str">
        <f>"_x0007_`COD|B00194_x0005_`QTY1|1_x0005_`BQC|_x0005_`EQC|_x0005_`JDC|_x0005_`WQC|_x0005_`EDT|_x0005_`ADJ|F_x0005_`DET|"&amp;ROW(일위대가표!A34)&amp;"_x0005_`"</f>
        <v>_x0007_`COD|B00194_x0005_`QTY1|1_x0005_`BQC|_x0005_`EQC|_x0005_`JDC|_x0005_`WQC|_x0005_`EDT|_x0005_`ADJ|F_x0005_`DET|34_x0005_`</v>
      </c>
      <c r="K8" s="19" t="str">
        <f ca="1">HYPERLINK("#"&amp;일위대가표!N2&amp;"!A"&amp;ROW(일위대가표!A34),"대가    5 →")</f>
        <v>대가    5 →</v>
      </c>
    </row>
    <row r="9" spans="1:11" ht="22.35" customHeight="1" x14ac:dyDescent="0.3">
      <c r="A9" s="8" t="s">
        <v>39</v>
      </c>
      <c r="B9" s="9" t="s">
        <v>40</v>
      </c>
      <c r="C9" s="9" t="s">
        <v>41</v>
      </c>
      <c r="D9" s="8" t="s">
        <v>42</v>
      </c>
      <c r="E9" s="55">
        <f>일위대가표!F48</f>
        <v>52995</v>
      </c>
      <c r="F9" s="54">
        <f>일위대가표!H48</f>
        <v>39641</v>
      </c>
      <c r="G9" s="63">
        <f>일위대가표!J48</f>
        <v>4939</v>
      </c>
      <c r="H9" s="55">
        <f>일위대가표!L48</f>
        <v>8415</v>
      </c>
      <c r="I9" s="14" t="s">
        <v>39</v>
      </c>
      <c r="J9" s="36" t="str">
        <f>"_x0007_`COD|B00353_x0005_`QTY1|1_x0005_`BQC|품_x0005_`EQC|_x0005_`JDC|_x0005_`WQC|_x0005_`EDT|_x0005_`ADJ|F_x0005_`DET|"&amp;ROW(일위대가표!A42)&amp;"_x0005_`"</f>
        <v>_x0007_`COD|B00353_x0005_`QTY1|1_x0005_`BQC|품_x0005_`EQC|_x0005_`JDC|_x0005_`WQC|_x0005_`EDT|_x0005_`ADJ|F_x0005_`DET|42_x0005_`</v>
      </c>
      <c r="K9" s="19" t="str">
        <f ca="1">HYPERLINK("#"&amp;일위대가표!N2&amp;"!A"&amp;ROW(일위대가표!A42),"대가    6 →")</f>
        <v>대가    6 →</v>
      </c>
    </row>
    <row r="10" spans="1:11" ht="22.35" customHeight="1" x14ac:dyDescent="0.3">
      <c r="A10" s="8" t="s">
        <v>45</v>
      </c>
      <c r="B10" s="9" t="s">
        <v>46</v>
      </c>
      <c r="C10" s="9" t="s">
        <v>47</v>
      </c>
      <c r="D10" s="8" t="s">
        <v>36</v>
      </c>
      <c r="E10" s="55">
        <f>일위대가표!F55</f>
        <v>434146</v>
      </c>
      <c r="F10" s="54">
        <f>일위대가표!H55</f>
        <v>422134</v>
      </c>
      <c r="G10" s="63">
        <f>일위대가표!J55</f>
        <v>11676</v>
      </c>
      <c r="H10" s="55">
        <f>일위대가표!L55</f>
        <v>336</v>
      </c>
      <c r="I10" s="14" t="s">
        <v>45</v>
      </c>
      <c r="J10" s="36" t="str">
        <f>"_x0007_`COD|B00363_x0005_`QTY1|1_x0005_`BQC|_x0005_`EQC|_x0005_`JDC|_x0005_`WQC|_x0005_`EDT|_x0005_`ADJ|F_x0005_`DET|"&amp;ROW(일위대가표!A49)&amp;"_x0005_`"</f>
        <v>_x0007_`COD|B00363_x0005_`QTY1|1_x0005_`BQC|_x0005_`EQC|_x0005_`JDC|_x0005_`WQC|_x0005_`EDT|_x0005_`ADJ|F_x0005_`DET|49_x0005_`</v>
      </c>
      <c r="K10" s="19" t="str">
        <f ca="1">HYPERLINK("#"&amp;일위대가표!N2&amp;"!A"&amp;ROW(일위대가표!A49),"대가    7 →")</f>
        <v>대가    7 →</v>
      </c>
    </row>
    <row r="11" spans="1:11" ht="22.35" customHeight="1" x14ac:dyDescent="0.3">
      <c r="A11" s="8" t="s">
        <v>50</v>
      </c>
      <c r="B11" s="9" t="s">
        <v>34</v>
      </c>
      <c r="C11" s="9" t="s">
        <v>51</v>
      </c>
      <c r="D11" s="8" t="s">
        <v>36</v>
      </c>
      <c r="E11" s="55">
        <f>일위대가표!F63</f>
        <v>39974</v>
      </c>
      <c r="F11" s="54">
        <f>일위대가표!H63</f>
        <v>33032</v>
      </c>
      <c r="G11" s="63">
        <f>일위대가표!J63</f>
        <v>6942</v>
      </c>
      <c r="H11" s="55">
        <f>일위대가표!L63</f>
        <v>0</v>
      </c>
      <c r="I11" s="14" t="s">
        <v>50</v>
      </c>
      <c r="J11" s="36" t="str">
        <f>"_x0007_`COD|B00467_x0005_`QTY1|1_x0005_`BQC|_x0005_`EQC|_x0005_`JDC|_x0005_`WQC|_x0005_`EDT|_x0005_`ADJ|F_x0005_`DET|"&amp;ROW(일위대가표!A56)&amp;"_x0005_`"</f>
        <v>_x0007_`COD|B00467_x0005_`QTY1|1_x0005_`BQC|_x0005_`EQC|_x0005_`JDC|_x0005_`WQC|_x0005_`EDT|_x0005_`ADJ|F_x0005_`DET|56_x0005_`</v>
      </c>
      <c r="K11" s="19" t="str">
        <f ca="1">HYPERLINK("#"&amp;일위대가표!N2&amp;"!A"&amp;ROW(일위대가표!A56),"대가    8 →")</f>
        <v>대가    8 →</v>
      </c>
    </row>
    <row r="12" spans="1:11" ht="22.35" customHeight="1" x14ac:dyDescent="0.3">
      <c r="A12" s="8" t="s">
        <v>54</v>
      </c>
      <c r="B12" s="9" t="s">
        <v>55</v>
      </c>
      <c r="C12" s="9" t="s">
        <v>41</v>
      </c>
      <c r="D12" s="8" t="s">
        <v>42</v>
      </c>
      <c r="E12" s="55">
        <f>일위대가표!F70</f>
        <v>52943</v>
      </c>
      <c r="F12" s="54">
        <f>일위대가표!H70</f>
        <v>42556</v>
      </c>
      <c r="G12" s="63">
        <f>일위대가표!J70</f>
        <v>3842</v>
      </c>
      <c r="H12" s="55">
        <f>일위대가표!L70</f>
        <v>6545</v>
      </c>
      <c r="I12" s="14" t="s">
        <v>54</v>
      </c>
      <c r="J12" s="36" t="str">
        <f>"_x0007_`COD|B00839_x0005_`QTY1|1_x0005_`BQC|품_x0005_`EQC|_x0005_`JDC|_x0005_`WQC|_x0005_`EDT|_x0005_`ADJ|F_x0005_`DET|"&amp;ROW(일위대가표!A64)&amp;"_x0005_`"</f>
        <v>_x0007_`COD|B00839_x0005_`QTY1|1_x0005_`BQC|품_x0005_`EQC|_x0005_`JDC|_x0005_`WQC|_x0005_`EDT|_x0005_`ADJ|F_x0005_`DET|64_x0005_`</v>
      </c>
      <c r="K12" s="19" t="str">
        <f ca="1">HYPERLINK("#"&amp;일위대가표!N2&amp;"!A"&amp;ROW(일위대가표!A64),"대가    9 →")</f>
        <v>대가    9 →</v>
      </c>
    </row>
    <row r="13" spans="1:11" ht="22.35" customHeight="1" x14ac:dyDescent="0.3">
      <c r="A13" s="8" t="s">
        <v>58</v>
      </c>
      <c r="B13" s="9" t="s">
        <v>55</v>
      </c>
      <c r="C13" s="9" t="s">
        <v>59</v>
      </c>
      <c r="D13" s="8" t="s">
        <v>42</v>
      </c>
      <c r="E13" s="55">
        <f>일위대가표!F77</f>
        <v>58239</v>
      </c>
      <c r="F13" s="54">
        <f>일위대가표!H77</f>
        <v>47358</v>
      </c>
      <c r="G13" s="63">
        <f>일위대가표!J77</f>
        <v>4025</v>
      </c>
      <c r="H13" s="55">
        <f>일위대가표!L77</f>
        <v>6856</v>
      </c>
      <c r="I13" s="14" t="s">
        <v>58</v>
      </c>
      <c r="J13" s="36" t="str">
        <f>"_x0007_`COD|B00866_x0005_`QTY1|1_x0005_`BQC|품_x0005_`EQC|_x0005_`JDC|_x0005_`WQC|_x0005_`EDT|_x0005_`ADJ|F_x0005_`DET|"&amp;ROW(일위대가표!A71)&amp;"_x0005_`"</f>
        <v>_x0007_`COD|B00866_x0005_`QTY1|1_x0005_`BQC|품_x0005_`EQC|_x0005_`JDC|_x0005_`WQC|_x0005_`EDT|_x0005_`ADJ|F_x0005_`DET|71_x0005_`</v>
      </c>
      <c r="K13" s="19" t="str">
        <f ca="1">HYPERLINK("#"&amp;일위대가표!N2&amp;"!A"&amp;ROW(일위대가표!A71),"대가   10 →")</f>
        <v>대가   10 →</v>
      </c>
    </row>
    <row r="14" spans="1:11" ht="22.35" customHeight="1" x14ac:dyDescent="0.3">
      <c r="A14" s="8" t="s">
        <v>62</v>
      </c>
      <c r="B14" s="9" t="s">
        <v>63</v>
      </c>
      <c r="C14" s="9" t="s">
        <v>41</v>
      </c>
      <c r="D14" s="8" t="s">
        <v>42</v>
      </c>
      <c r="E14" s="55">
        <f>일위대가표!F84</f>
        <v>68835</v>
      </c>
      <c r="F14" s="54">
        <f>일위대가표!H84</f>
        <v>50534</v>
      </c>
      <c r="G14" s="63">
        <f>일위대가표!J84</f>
        <v>6769</v>
      </c>
      <c r="H14" s="55">
        <f>일위대가표!L84</f>
        <v>11532</v>
      </c>
      <c r="I14" s="14" t="s">
        <v>62</v>
      </c>
      <c r="J14" s="36" t="str">
        <f>"_x0007_`COD|B00884_x0005_`QTY1|1_x0005_`BQC|품_x0005_`EQC|_x0005_`JDC|_x0005_`WQC|_x0005_`EDT|_x0005_`ADJ|F_x0005_`DET|"&amp;ROW(일위대가표!A78)&amp;"_x0005_`"</f>
        <v>_x0007_`COD|B00884_x0005_`QTY1|1_x0005_`BQC|품_x0005_`EQC|_x0005_`JDC|_x0005_`WQC|_x0005_`EDT|_x0005_`ADJ|F_x0005_`DET|78_x0005_`</v>
      </c>
      <c r="K14" s="19" t="str">
        <f ca="1">HYPERLINK("#"&amp;일위대가표!N2&amp;"!A"&amp;ROW(일위대가표!A78),"대가   11 →")</f>
        <v>대가   11 →</v>
      </c>
    </row>
    <row r="15" spans="1:11" ht="22.35" customHeight="1" x14ac:dyDescent="0.3">
      <c r="A15" s="8" t="s">
        <v>66</v>
      </c>
      <c r="B15" s="9" t="s">
        <v>67</v>
      </c>
      <c r="C15" s="9" t="s">
        <v>68</v>
      </c>
      <c r="D15" s="8" t="s">
        <v>42</v>
      </c>
      <c r="E15" s="55">
        <f>일위대가표!F90</f>
        <v>759</v>
      </c>
      <c r="F15" s="54">
        <f>일위대가표!H90</f>
        <v>472</v>
      </c>
      <c r="G15" s="63">
        <f>일위대가표!J90</f>
        <v>126</v>
      </c>
      <c r="H15" s="55">
        <f>일위대가표!L90</f>
        <v>161</v>
      </c>
      <c r="I15" s="14" t="s">
        <v>66</v>
      </c>
      <c r="J15" s="36" t="str">
        <f>"_x0007_`COD|B01143_x0005_`QTY1|1_x0005_`BQC|_x0005_`EQC|_x0005_`JDC|_x0005_`WQC|_x0005_`EDT|_x0005_`ADJ|F_x0005_`DET|"&amp;ROW(일위대가표!A85)&amp;"_x0005_`"</f>
        <v>_x0007_`COD|B01143_x0005_`QTY1|1_x0005_`BQC|_x0005_`EQC|_x0005_`JDC|_x0005_`WQC|_x0005_`EDT|_x0005_`ADJ|F_x0005_`DET|85_x0005_`</v>
      </c>
      <c r="K15" s="19" t="str">
        <f ca="1">HYPERLINK("#"&amp;일위대가표!N2&amp;"!A"&amp;ROW(일위대가표!A85),"대가   12 →")</f>
        <v>대가   12 →</v>
      </c>
    </row>
    <row r="16" spans="1:11" ht="22.35" customHeight="1" x14ac:dyDescent="0.3">
      <c r="A16" s="8" t="s">
        <v>71</v>
      </c>
      <c r="B16" s="9" t="s">
        <v>72</v>
      </c>
      <c r="C16" s="9"/>
      <c r="D16" s="8" t="s">
        <v>36</v>
      </c>
      <c r="E16" s="55">
        <f>일위대가표!F95</f>
        <v>3969</v>
      </c>
      <c r="F16" s="54">
        <f>일위대가표!H95</f>
        <v>2284</v>
      </c>
      <c r="G16" s="63">
        <f>일위대가표!J95</f>
        <v>738</v>
      </c>
      <c r="H16" s="55">
        <f>일위대가표!L95</f>
        <v>947</v>
      </c>
      <c r="I16" s="14" t="s">
        <v>71</v>
      </c>
      <c r="J16" s="36" t="str">
        <f>"_x0007_`COD|B01146_x0005_`QTY1|1_x0005_`BQC|_x0005_`EQC|_x0005_`JDC|_x0005_`WQC|_x0005_`EDT|_x0005_`ADJ|F_x0005_`DET|"&amp;ROW(일위대가표!A91)&amp;"_x0005_`"</f>
        <v>_x0007_`COD|B01146_x0005_`QTY1|1_x0005_`BQC|_x0005_`EQC|_x0005_`JDC|_x0005_`WQC|_x0005_`EDT|_x0005_`ADJ|F_x0005_`DET|91_x0005_`</v>
      </c>
      <c r="K16" s="19" t="str">
        <f ca="1">HYPERLINK("#"&amp;일위대가표!N2&amp;"!A"&amp;ROW(일위대가표!A91),"대가   13 →")</f>
        <v>대가   13 →</v>
      </c>
    </row>
    <row r="17" spans="1:11" ht="22.35" customHeight="1" x14ac:dyDescent="0.3">
      <c r="A17" s="8" t="s">
        <v>75</v>
      </c>
      <c r="B17" s="9" t="s">
        <v>76</v>
      </c>
      <c r="C17" s="9" t="s">
        <v>77</v>
      </c>
      <c r="D17" s="8" t="s">
        <v>42</v>
      </c>
      <c r="E17" s="55">
        <f>일위대가표!F103</f>
        <v>101522</v>
      </c>
      <c r="F17" s="54">
        <f>일위대가표!H103</f>
        <v>77755</v>
      </c>
      <c r="G17" s="63">
        <f>일위대가표!J103</f>
        <v>9519</v>
      </c>
      <c r="H17" s="55">
        <f>일위대가표!L103</f>
        <v>14248</v>
      </c>
      <c r="I17" s="14" t="s">
        <v>75</v>
      </c>
      <c r="J17" s="36" t="str">
        <f>"_x0007_`COD|B01147_x0005_`QTY1|1_x0005_`BQC|_x0005_`EQC|_x0005_`JDC|_x0005_`WQC|_x0005_`EDT|_x0005_`ADJ|F_x0005_`DET|"&amp;ROW(일위대가표!A96)&amp;"_x0005_`"</f>
        <v>_x0007_`COD|B01147_x0005_`QTY1|1_x0005_`BQC|_x0005_`EQC|_x0005_`JDC|_x0005_`WQC|_x0005_`EDT|_x0005_`ADJ|F_x0005_`DET|96_x0005_`</v>
      </c>
      <c r="K17" s="19" t="str">
        <f ca="1">HYPERLINK("#"&amp;일위대가표!N2&amp;"!A"&amp;ROW(일위대가표!A96),"대가   14 →")</f>
        <v>대가   14 →</v>
      </c>
    </row>
    <row r="18" spans="1:11" ht="22.35" customHeight="1" x14ac:dyDescent="0.3">
      <c r="A18" s="8" t="s">
        <v>80</v>
      </c>
      <c r="B18" s="9" t="s">
        <v>81</v>
      </c>
      <c r="C18" s="9" t="s">
        <v>82</v>
      </c>
      <c r="D18" s="8" t="s">
        <v>36</v>
      </c>
      <c r="E18" s="55">
        <f>일위대가표!F117</f>
        <v>1216838</v>
      </c>
      <c r="F18" s="54">
        <f>일위대가표!H117</f>
        <v>919291</v>
      </c>
      <c r="G18" s="63">
        <f>일위대가표!J117</f>
        <v>121969</v>
      </c>
      <c r="H18" s="55">
        <f>일위대가표!L117</f>
        <v>175578</v>
      </c>
      <c r="I18" s="14" t="s">
        <v>80</v>
      </c>
      <c r="J18" s="36" t="str">
        <f>"_x0007_`COD|B01155_x0005_`QTY1|1_x0005_`BQC|_x0005_`EQC|_x0005_`JDC|_x0005_`WQC|_x0005_`EDT|_x0005_`ADJ|F_x0005_`DET|"&amp;ROW(일위대가표!A104)&amp;"_x0005_`"</f>
        <v>_x0007_`COD|B01155_x0005_`QTY1|1_x0005_`BQC|_x0005_`EQC|_x0005_`JDC|_x0005_`WQC|_x0005_`EDT|_x0005_`ADJ|F_x0005_`DET|104_x0005_`</v>
      </c>
      <c r="K18" s="19" t="str">
        <f ca="1">HYPERLINK("#"&amp;일위대가표!N2&amp;"!A"&amp;ROW(일위대가표!A104),"대가   15 →")</f>
        <v>대가   15 →</v>
      </c>
    </row>
    <row r="19" spans="1:11" ht="22.35" customHeight="1" x14ac:dyDescent="0.3">
      <c r="A19" s="8" t="s">
        <v>85</v>
      </c>
      <c r="B19" s="9" t="s">
        <v>81</v>
      </c>
      <c r="C19" s="9" t="s">
        <v>86</v>
      </c>
      <c r="D19" s="8" t="s">
        <v>36</v>
      </c>
      <c r="E19" s="55">
        <f>일위대가표!F131</f>
        <v>1937206</v>
      </c>
      <c r="F19" s="54">
        <f>일위대가표!H131</f>
        <v>1445580</v>
      </c>
      <c r="G19" s="63">
        <f>일위대가표!J131</f>
        <v>201781</v>
      </c>
      <c r="H19" s="55">
        <f>일위대가표!L131</f>
        <v>289845</v>
      </c>
      <c r="I19" s="14" t="s">
        <v>85</v>
      </c>
      <c r="J19" s="36" t="str">
        <f>"_x0007_`COD|B01156_x0005_`QTY1|1_x0005_`BQC|_x0005_`EQC|_x0005_`JDC|_x0005_`WQC|_x0005_`EDT|_x0005_`ADJ|F_x0005_`DET|"&amp;ROW(일위대가표!A118)&amp;"_x0005_`"</f>
        <v>_x0007_`COD|B01156_x0005_`QTY1|1_x0005_`BQC|_x0005_`EQC|_x0005_`JDC|_x0005_`WQC|_x0005_`EDT|_x0005_`ADJ|F_x0005_`DET|118_x0005_`</v>
      </c>
      <c r="K19" s="19" t="str">
        <f ca="1">HYPERLINK("#"&amp;일위대가표!N2&amp;"!A"&amp;ROW(일위대가표!A118),"대가   16 →")</f>
        <v>대가   16 →</v>
      </c>
    </row>
    <row r="20" spans="1:11" ht="22.35" customHeight="1" x14ac:dyDescent="0.3">
      <c r="A20" s="8" t="s">
        <v>89</v>
      </c>
      <c r="B20" s="9" t="s">
        <v>90</v>
      </c>
      <c r="C20" s="9" t="s">
        <v>91</v>
      </c>
      <c r="D20" s="8" t="s">
        <v>20</v>
      </c>
      <c r="E20" s="55">
        <f>일위대가표!F142</f>
        <v>124594</v>
      </c>
      <c r="F20" s="54">
        <f>일위대가표!H142</f>
        <v>96868</v>
      </c>
      <c r="G20" s="63">
        <f>일위대가표!J142</f>
        <v>11309</v>
      </c>
      <c r="H20" s="55">
        <f>일위대가표!L142</f>
        <v>16417</v>
      </c>
      <c r="I20" s="14" t="s">
        <v>89</v>
      </c>
      <c r="J20" s="36" t="str">
        <f>"_x0007_`COD|B01180_x0005_`QTY1|1_x0005_`BQC|_x0005_`EQC|_x0005_`JDC|_x0005_`WQC|_x0005_`EDT|_x0005_`ADJ|F_x0005_`DET|"&amp;ROW(일위대가표!A132)&amp;"_x0005_`"</f>
        <v>_x0007_`COD|B01180_x0005_`QTY1|1_x0005_`BQC|_x0005_`EQC|_x0005_`JDC|_x0005_`WQC|_x0005_`EDT|_x0005_`ADJ|F_x0005_`DET|132_x0005_`</v>
      </c>
      <c r="K20" s="19" t="str">
        <f ca="1">HYPERLINK("#"&amp;일위대가표!N2&amp;"!A"&amp;ROW(일위대가표!A132),"대가   17 →")</f>
        <v>대가   17 →</v>
      </c>
    </row>
    <row r="21" spans="1:11" ht="22.35" customHeight="1" x14ac:dyDescent="0.3">
      <c r="A21" s="8" t="s">
        <v>94</v>
      </c>
      <c r="B21" s="9" t="s">
        <v>95</v>
      </c>
      <c r="C21" s="9" t="s">
        <v>96</v>
      </c>
      <c r="D21" s="8" t="s">
        <v>20</v>
      </c>
      <c r="E21" s="55">
        <f>일위대가표!F150</f>
        <v>167328</v>
      </c>
      <c r="F21" s="54">
        <f>일위대가표!H150</f>
        <v>122311</v>
      </c>
      <c r="G21" s="63">
        <f>일위대가표!J150</f>
        <v>16797</v>
      </c>
      <c r="H21" s="55">
        <f>일위대가표!L150</f>
        <v>28220</v>
      </c>
      <c r="I21" s="14" t="s">
        <v>94</v>
      </c>
      <c r="J21" s="36" t="str">
        <f>"_x0007_`COD|B01183_x0005_`QTY1|1_x0005_`BQC|_x0005_`EQC|_x0005_`JDC|_x0005_`WQC|_x0005_`EDT|_x0005_`ADJ|F_x0005_`DET|"&amp;ROW(일위대가표!A143)&amp;"_x0005_`"</f>
        <v>_x0007_`COD|B01183_x0005_`QTY1|1_x0005_`BQC|_x0005_`EQC|_x0005_`JDC|_x0005_`WQC|_x0005_`EDT|_x0005_`ADJ|F_x0005_`DET|143_x0005_`</v>
      </c>
      <c r="K21" s="19" t="str">
        <f ca="1">HYPERLINK("#"&amp;일위대가표!N2&amp;"!A"&amp;ROW(일위대가표!A143),"대가   18 →")</f>
        <v>대가   18 →</v>
      </c>
    </row>
    <row r="22" spans="1:11" ht="22.35" customHeight="1" x14ac:dyDescent="0.3">
      <c r="A22" s="8" t="s">
        <v>99</v>
      </c>
      <c r="B22" s="9" t="s">
        <v>95</v>
      </c>
      <c r="C22" s="9" t="s">
        <v>100</v>
      </c>
      <c r="D22" s="8" t="s">
        <v>20</v>
      </c>
      <c r="E22" s="55">
        <f>일위대가표!F158</f>
        <v>209104</v>
      </c>
      <c r="F22" s="54">
        <f>일위대가표!H158</f>
        <v>152845</v>
      </c>
      <c r="G22" s="63">
        <f>일위대가표!J158</f>
        <v>20992</v>
      </c>
      <c r="H22" s="55">
        <f>일위대가표!L158</f>
        <v>35267</v>
      </c>
      <c r="I22" s="14" t="s">
        <v>99</v>
      </c>
      <c r="J22" s="36" t="str">
        <f>"_x0007_`COD|B01184_x0005_`QTY1|1_x0005_`BQC|_x0005_`EQC|_x0005_`JDC|_x0005_`WQC|_x0005_`EDT|_x0005_`ADJ|F_x0005_`DET|"&amp;ROW(일위대가표!A151)&amp;"_x0005_`"</f>
        <v>_x0007_`COD|B01184_x0005_`QTY1|1_x0005_`BQC|_x0005_`EQC|_x0005_`JDC|_x0005_`WQC|_x0005_`EDT|_x0005_`ADJ|F_x0005_`DET|151_x0005_`</v>
      </c>
      <c r="K22" s="19" t="str">
        <f ca="1">HYPERLINK("#"&amp;일위대가표!N2&amp;"!A"&amp;ROW(일위대가표!A151),"대가   19 →")</f>
        <v>대가   19 →</v>
      </c>
    </row>
    <row r="23" spans="1:11" ht="22.35" customHeight="1" x14ac:dyDescent="0.3">
      <c r="A23" s="8" t="s">
        <v>103</v>
      </c>
      <c r="B23" s="9" t="s">
        <v>104</v>
      </c>
      <c r="C23" s="9"/>
      <c r="D23" s="8" t="s">
        <v>36</v>
      </c>
      <c r="E23" s="55">
        <f>일위대가표!F165</f>
        <v>183054</v>
      </c>
      <c r="F23" s="54">
        <f>일위대가표!H165</f>
        <v>161788</v>
      </c>
      <c r="G23" s="63">
        <f>일위대가표!J165</f>
        <v>17427</v>
      </c>
      <c r="H23" s="55">
        <f>일위대가표!L165</f>
        <v>3839</v>
      </c>
      <c r="I23" s="14" t="s">
        <v>103</v>
      </c>
      <c r="J23" s="36" t="str">
        <f>"_x0007_`COD|B01189_x0005_`QTY1|1_x0005_`BQC|_x0005_`EQC|_x0005_`JDC|_x0005_`WQC|_x0005_`EDT|_x0005_`ADJ|F_x0005_`DET|"&amp;ROW(일위대가표!A159)&amp;"_x0005_`"</f>
        <v>_x0007_`COD|B01189_x0005_`QTY1|1_x0005_`BQC|_x0005_`EQC|_x0005_`JDC|_x0005_`WQC|_x0005_`EDT|_x0005_`ADJ|F_x0005_`DET|159_x0005_`</v>
      </c>
      <c r="K23" s="19" t="str">
        <f ca="1">HYPERLINK("#"&amp;일위대가표!N2&amp;"!A"&amp;ROW(일위대가표!A159),"대가   20 →")</f>
        <v>대가   20 →</v>
      </c>
    </row>
    <row r="24" spans="1:11" ht="22.35" customHeight="1" x14ac:dyDescent="0.3">
      <c r="A24" s="8" t="s">
        <v>107</v>
      </c>
      <c r="B24" s="9" t="s">
        <v>108</v>
      </c>
      <c r="C24" s="9" t="s">
        <v>109</v>
      </c>
      <c r="D24" s="8" t="s">
        <v>14</v>
      </c>
      <c r="E24" s="55">
        <f>일위대가표!F175</f>
        <v>122871</v>
      </c>
      <c r="F24" s="54">
        <f>일위대가표!H175</f>
        <v>121559</v>
      </c>
      <c r="G24" s="63">
        <f>일위대가표!J175</f>
        <v>1008</v>
      </c>
      <c r="H24" s="55">
        <f>일위대가표!L175</f>
        <v>304</v>
      </c>
      <c r="I24" s="14" t="s">
        <v>107</v>
      </c>
      <c r="J24" s="36" t="str">
        <f>"_x0007_`COD|B01190_x0005_`QTY1|1_x0005_`BQC|_x0005_`EQC|_x0005_`JDC|_x0005_`WQC|_x0005_`EDT|_x0005_`ADJ|F_x0005_`DET|"&amp;ROW(일위대가표!A166)&amp;"_x0005_`"</f>
        <v>_x0007_`COD|B01190_x0005_`QTY1|1_x0005_`BQC|_x0005_`EQC|_x0005_`JDC|_x0005_`WQC|_x0005_`EDT|_x0005_`ADJ|F_x0005_`DET|166_x0005_`</v>
      </c>
      <c r="K24" s="19" t="str">
        <f ca="1">HYPERLINK("#"&amp;일위대가표!N2&amp;"!A"&amp;ROW(일위대가표!A166),"대가   21 →")</f>
        <v>대가   21 →</v>
      </c>
    </row>
    <row r="25" spans="1:11" ht="22.35" customHeight="1" x14ac:dyDescent="0.3">
      <c r="A25" s="8" t="s">
        <v>112</v>
      </c>
      <c r="B25" s="9" t="s">
        <v>113</v>
      </c>
      <c r="C25" s="9" t="s">
        <v>114</v>
      </c>
      <c r="D25" s="8" t="s">
        <v>42</v>
      </c>
      <c r="E25" s="55">
        <f>일위대가표!F180</f>
        <v>30193</v>
      </c>
      <c r="F25" s="54">
        <f>일위대가표!H180</f>
        <v>29769</v>
      </c>
      <c r="G25" s="63">
        <f>일위대가표!J180</f>
        <v>201</v>
      </c>
      <c r="H25" s="55">
        <f>일위대가표!L180</f>
        <v>223</v>
      </c>
      <c r="I25" s="14" t="s">
        <v>112</v>
      </c>
      <c r="J25" s="36" t="str">
        <f>"_x0007_`COD|B01191_x0005_`QTY1|1_x0005_`BQC|_x0005_`EQC|_x0005_`JDC|_x0005_`WQC|_x0005_`EDT|_x0005_`ADJ|F_x0005_`DET|"&amp;ROW(일위대가표!A176)&amp;"_x0005_`"</f>
        <v>_x0007_`COD|B01191_x0005_`QTY1|1_x0005_`BQC|_x0005_`EQC|_x0005_`JDC|_x0005_`WQC|_x0005_`EDT|_x0005_`ADJ|F_x0005_`DET|176_x0005_`</v>
      </c>
      <c r="K25" s="19" t="str">
        <f ca="1">HYPERLINK("#"&amp;일위대가표!N2&amp;"!A"&amp;ROW(일위대가표!A176),"대가   22 →")</f>
        <v>대가   22 →</v>
      </c>
    </row>
    <row r="26" spans="1:11" ht="22.35" customHeight="1" x14ac:dyDescent="0.3">
      <c r="A26" s="8" t="s">
        <v>117</v>
      </c>
      <c r="B26" s="9" t="s">
        <v>118</v>
      </c>
      <c r="C26" s="9" t="s">
        <v>119</v>
      </c>
      <c r="D26" s="8" t="s">
        <v>20</v>
      </c>
      <c r="E26" s="55">
        <f>일위대가표!F186</f>
        <v>14653</v>
      </c>
      <c r="F26" s="54">
        <f>일위대가표!H186</f>
        <v>12654</v>
      </c>
      <c r="G26" s="63">
        <f>일위대가표!J186</f>
        <v>1620</v>
      </c>
      <c r="H26" s="55">
        <f>일위대가표!L186</f>
        <v>379</v>
      </c>
      <c r="I26" s="14" t="s">
        <v>117</v>
      </c>
      <c r="J26" s="36" t="str">
        <f>"_x0007_`COD|B01192_x0005_`QTY1|1_x0005_`BQC|_x0005_`EQC|_x0005_`JDC|_x0005_`WQC|_x0005_`EDT|_x0005_`ADJ|F_x0005_`DET|"&amp;ROW(일위대가표!A181)&amp;"_x0005_`"</f>
        <v>_x0007_`COD|B01192_x0005_`QTY1|1_x0005_`BQC|_x0005_`EQC|_x0005_`JDC|_x0005_`WQC|_x0005_`EDT|_x0005_`ADJ|F_x0005_`DET|181_x0005_`</v>
      </c>
      <c r="K26" s="19" t="str">
        <f ca="1">HYPERLINK("#"&amp;일위대가표!N2&amp;"!A"&amp;ROW(일위대가표!A181),"대가   23 →")</f>
        <v>대가   23 →</v>
      </c>
    </row>
    <row r="27" spans="1:11" ht="22.35" customHeight="1" x14ac:dyDescent="0.3">
      <c r="A27" s="8" t="s">
        <v>122</v>
      </c>
      <c r="B27" s="9" t="s">
        <v>90</v>
      </c>
      <c r="C27" s="9" t="s">
        <v>96</v>
      </c>
      <c r="D27" s="8" t="s">
        <v>20</v>
      </c>
      <c r="E27" s="55">
        <f>일위대가표!F197</f>
        <v>166262</v>
      </c>
      <c r="F27" s="54">
        <f>일위대가표!H197</f>
        <v>129370</v>
      </c>
      <c r="G27" s="63">
        <f>일위대가표!J197</f>
        <v>15059</v>
      </c>
      <c r="H27" s="55">
        <f>일위대가표!L197</f>
        <v>21833</v>
      </c>
      <c r="I27" s="14" t="s">
        <v>122</v>
      </c>
      <c r="J27" s="36" t="str">
        <f>"_x0007_`COD|B01195_x0005_`QTY1|1_x0005_`BQC|_x0005_`EQC|_x0005_`JDC|_x0005_`WQC|_x0005_`EDT|_x0005_`ADJ|F_x0005_`DET|"&amp;ROW(일위대가표!A187)&amp;"_x0005_`"</f>
        <v>_x0007_`COD|B01195_x0005_`QTY1|1_x0005_`BQC|_x0005_`EQC|_x0005_`JDC|_x0005_`WQC|_x0005_`EDT|_x0005_`ADJ|F_x0005_`DET|187_x0005_`</v>
      </c>
      <c r="K27" s="19" t="str">
        <f ca="1">HYPERLINK("#"&amp;일위대가표!N2&amp;"!A"&amp;ROW(일위대가표!A187),"대가   24 →")</f>
        <v>대가   24 →</v>
      </c>
    </row>
    <row r="28" spans="1:11" ht="22.35" customHeight="1" x14ac:dyDescent="0.3">
      <c r="A28" s="8" t="s">
        <v>125</v>
      </c>
      <c r="B28" s="9" t="s">
        <v>90</v>
      </c>
      <c r="C28" s="9" t="s">
        <v>100</v>
      </c>
      <c r="D28" s="8" t="s">
        <v>20</v>
      </c>
      <c r="E28" s="55">
        <f>일위대가표!F208</f>
        <v>207377</v>
      </c>
      <c r="F28" s="54">
        <f>일위대가표!H208</f>
        <v>161284</v>
      </c>
      <c r="G28" s="63">
        <f>일위대가표!J208</f>
        <v>18804</v>
      </c>
      <c r="H28" s="55">
        <f>일위대가표!L208</f>
        <v>27289</v>
      </c>
      <c r="I28" s="14" t="s">
        <v>125</v>
      </c>
      <c r="J28" s="36" t="str">
        <f>"_x0007_`COD|B01196_x0005_`QTY1|1_x0005_`BQC|_x0005_`EQC|_x0005_`JDC|_x0005_`WQC|_x0005_`EDT|_x0005_`ADJ|F_x0005_`DET|"&amp;ROW(일위대가표!A198)&amp;"_x0005_`"</f>
        <v>_x0007_`COD|B01196_x0005_`QTY1|1_x0005_`BQC|_x0005_`EQC|_x0005_`JDC|_x0005_`WQC|_x0005_`EDT|_x0005_`ADJ|F_x0005_`DET|198_x0005_`</v>
      </c>
      <c r="K28" s="19" t="str">
        <f ca="1">HYPERLINK("#"&amp;일위대가표!N2&amp;"!A"&amp;ROW(일위대가표!A198),"대가   25 →")</f>
        <v>대가   25 →</v>
      </c>
    </row>
    <row r="29" spans="1:11" ht="22.35" customHeight="1" x14ac:dyDescent="0.3">
      <c r="A29" s="8" t="s">
        <v>128</v>
      </c>
      <c r="B29" s="9" t="s">
        <v>95</v>
      </c>
      <c r="C29" s="9" t="s">
        <v>91</v>
      </c>
      <c r="D29" s="8" t="s">
        <v>20</v>
      </c>
      <c r="E29" s="55">
        <f>일위대가표!F216</f>
        <v>125801</v>
      </c>
      <c r="F29" s="54">
        <f>일위대가표!H216</f>
        <v>91958</v>
      </c>
      <c r="G29" s="63">
        <f>일위대가표!J216</f>
        <v>12627</v>
      </c>
      <c r="H29" s="55">
        <f>일위대가표!L216</f>
        <v>21216</v>
      </c>
      <c r="I29" s="14" t="s">
        <v>128</v>
      </c>
      <c r="J29" s="36" t="str">
        <f>"_x0007_`COD|B01197_x0005_`QTY1|1_x0005_`BQC|_x0005_`EQC|_x0005_`JDC|_x0005_`WQC|_x0005_`EDT|_x0005_`ADJ|F_x0005_`DET|"&amp;ROW(일위대가표!A209)&amp;"_x0005_`"</f>
        <v>_x0007_`COD|B01197_x0005_`QTY1|1_x0005_`BQC|_x0005_`EQC|_x0005_`JDC|_x0005_`WQC|_x0005_`EDT|_x0005_`ADJ|F_x0005_`DET|209_x0005_`</v>
      </c>
      <c r="K29" s="19" t="str">
        <f ca="1">HYPERLINK("#"&amp;일위대가표!N2&amp;"!A"&amp;ROW(일위대가표!A209),"대가   26 →")</f>
        <v>대가   26 →</v>
      </c>
    </row>
    <row r="30" spans="1:11" ht="22.35" customHeight="1" x14ac:dyDescent="0.3">
      <c r="A30" s="8" t="s">
        <v>131</v>
      </c>
      <c r="B30" s="9" t="s">
        <v>132</v>
      </c>
      <c r="C30" s="9" t="s">
        <v>41</v>
      </c>
      <c r="D30" s="8" t="s">
        <v>42</v>
      </c>
      <c r="E30" s="55">
        <f>일위대가표!F223</f>
        <v>61277</v>
      </c>
      <c r="F30" s="54">
        <f>일위대가표!H223</f>
        <v>49406</v>
      </c>
      <c r="G30" s="63">
        <f>일위대가표!J223</f>
        <v>4391</v>
      </c>
      <c r="H30" s="55">
        <f>일위대가표!L223</f>
        <v>7480</v>
      </c>
      <c r="I30" s="14" t="s">
        <v>131</v>
      </c>
      <c r="J30" s="36" t="str">
        <f>"_x0007_`COD|B01198_x0005_`QTY1|1_x0005_`BQC|품_x0005_`EQC|_x0005_`JDC|_x0005_`WQC|_x0005_`EDT|_x0005_`ADJ|F_x0005_`DET|"&amp;ROW(일위대가표!A217)&amp;"_x0005_`"</f>
        <v>_x0007_`COD|B01198_x0005_`QTY1|1_x0005_`BQC|품_x0005_`EQC|_x0005_`JDC|_x0005_`WQC|_x0005_`EDT|_x0005_`ADJ|F_x0005_`DET|217_x0005_`</v>
      </c>
      <c r="K30" s="19" t="str">
        <f ca="1">HYPERLINK("#"&amp;일위대가표!N2&amp;"!A"&amp;ROW(일위대가표!A217),"대가   27 →")</f>
        <v>대가   27 →</v>
      </c>
    </row>
    <row r="31" spans="1:11" ht="22.35" customHeight="1" x14ac:dyDescent="0.3">
      <c r="A31" s="8" t="s">
        <v>135</v>
      </c>
      <c r="B31" s="9" t="s">
        <v>76</v>
      </c>
      <c r="C31" s="9" t="s">
        <v>136</v>
      </c>
      <c r="D31" s="8" t="s">
        <v>42</v>
      </c>
      <c r="E31" s="55">
        <f>일위대가표!F229</f>
        <v>95396</v>
      </c>
      <c r="F31" s="54">
        <f>일위대가표!H229</f>
        <v>70407</v>
      </c>
      <c r="G31" s="63">
        <f>일위대가표!J229</f>
        <v>9866</v>
      </c>
      <c r="H31" s="55">
        <f>일위대가표!L229</f>
        <v>15123</v>
      </c>
      <c r="I31" s="14" t="s">
        <v>135</v>
      </c>
      <c r="J31" s="36" t="str">
        <f>"_x0007_`COD|B01199_x0005_`QTY1|1_x0005_`BQC|_x0005_`EQC|_x0005_`JDC|_x0005_`WQC|_x0005_`EDT|_x0005_`ADJ|F_x0005_`DET|"&amp;ROW(일위대가표!A224)&amp;"_x0005_`"</f>
        <v>_x0007_`COD|B01199_x0005_`QTY1|1_x0005_`BQC|_x0005_`EQC|_x0005_`JDC|_x0005_`WQC|_x0005_`EDT|_x0005_`ADJ|F_x0005_`DET|224_x0005_`</v>
      </c>
      <c r="K31" s="19" t="str">
        <f ca="1">HYPERLINK("#"&amp;일위대가표!N2&amp;"!A"&amp;ROW(일위대가표!A224),"대가   28 →")</f>
        <v>대가   28 →</v>
      </c>
    </row>
    <row r="32" spans="1:11" ht="22.35" customHeight="1" x14ac:dyDescent="0.3">
      <c r="A32" s="8" t="s">
        <v>139</v>
      </c>
      <c r="B32" s="9" t="s">
        <v>18</v>
      </c>
      <c r="C32" s="9" t="s">
        <v>140</v>
      </c>
      <c r="D32" s="8" t="s">
        <v>20</v>
      </c>
      <c r="E32" s="55">
        <f>일위대가표!F237</f>
        <v>25257</v>
      </c>
      <c r="F32" s="54">
        <f>일위대가표!H237</f>
        <v>23801</v>
      </c>
      <c r="G32" s="63">
        <f>일위대가표!J237</f>
        <v>874</v>
      </c>
      <c r="H32" s="55">
        <f>일위대가표!L237</f>
        <v>582</v>
      </c>
      <c r="I32" s="14" t="s">
        <v>139</v>
      </c>
      <c r="J32" s="36" t="str">
        <f>"_x0007_`COD|B01201_x0005_`QTY1|1_x0005_`BQC|_x0005_`EQC|_x0005_`JDC|_x0005_`WQC|_x0005_`EDT|_x0005_`ADJ|F_x0005_`DET|"&amp;ROW(일위대가표!A230)&amp;"_x0005_`"</f>
        <v>_x0007_`COD|B01201_x0005_`QTY1|1_x0005_`BQC|_x0005_`EQC|_x0005_`JDC|_x0005_`WQC|_x0005_`EDT|_x0005_`ADJ|F_x0005_`DET|230_x0005_`</v>
      </c>
      <c r="K32" s="19" t="str">
        <f ca="1">HYPERLINK("#"&amp;일위대가표!N2&amp;"!A"&amp;ROW(일위대가표!A230),"대가   29 →")</f>
        <v>대가   29 →</v>
      </c>
    </row>
    <row r="33" spans="1:11" ht="22.35" customHeight="1" x14ac:dyDescent="0.3">
      <c r="A33" s="8" t="s">
        <v>143</v>
      </c>
      <c r="B33" s="9" t="s">
        <v>144</v>
      </c>
      <c r="C33" s="9" t="s">
        <v>145</v>
      </c>
      <c r="D33" s="8" t="s">
        <v>20</v>
      </c>
      <c r="E33" s="55">
        <f>일위대가표!F250</f>
        <v>205678</v>
      </c>
      <c r="F33" s="54">
        <f>일위대가표!H250</f>
        <v>163125</v>
      </c>
      <c r="G33" s="63">
        <f>일위대가표!J250</f>
        <v>18909</v>
      </c>
      <c r="H33" s="55">
        <f>일위대가표!L250</f>
        <v>23644</v>
      </c>
      <c r="I33" s="14" t="s">
        <v>143</v>
      </c>
      <c r="J33" s="36" t="str">
        <f>"_x0007_`COD|B01202_x0005_`QTY1|1_x0005_`BQC|점질토_x0005_`EQC|_x0005_`JDC|_x0005_`WQC|_x0005_`EDT|_x0005_`ADJ|F_x0005_`DET|"&amp;ROW(일위대가표!A238)&amp;"_x0005_`"</f>
        <v>_x0007_`COD|B01202_x0005_`QTY1|1_x0005_`BQC|점질토_x0005_`EQC|_x0005_`JDC|_x0005_`WQC|_x0005_`EDT|_x0005_`ADJ|F_x0005_`DET|238_x0005_`</v>
      </c>
      <c r="K33" s="19" t="str">
        <f ca="1">HYPERLINK("#"&amp;일위대가표!N2&amp;"!A"&amp;ROW(일위대가표!A238),"대가   30 →")</f>
        <v>대가   30 →</v>
      </c>
    </row>
    <row r="34" spans="1:11" ht="22.35" customHeight="1" x14ac:dyDescent="0.3">
      <c r="A34" s="8" t="s">
        <v>148</v>
      </c>
      <c r="B34" s="9" t="s">
        <v>149</v>
      </c>
      <c r="C34" s="9" t="s">
        <v>150</v>
      </c>
      <c r="D34" s="8" t="s">
        <v>20</v>
      </c>
      <c r="E34" s="55">
        <f>일위대가표!F260</f>
        <v>212941</v>
      </c>
      <c r="F34" s="54">
        <f>일위대가표!H260</f>
        <v>154426</v>
      </c>
      <c r="G34" s="63">
        <f>일위대가표!J260</f>
        <v>24486</v>
      </c>
      <c r="H34" s="55">
        <f>일위대가표!L260</f>
        <v>34029</v>
      </c>
      <c r="I34" s="14" t="s">
        <v>148</v>
      </c>
      <c r="J34" s="36" t="str">
        <f>"_x0007_`COD|B01203_x0005_`QTY1|1_x0005_`BQC|점질토_x0005_`EQC|_x0005_`JDC|_x0005_`WQC|_x0005_`EDT|_x0005_`ADJ|F_x0005_`DET|"&amp;ROW(일위대가표!A251)&amp;"_x0005_`"</f>
        <v>_x0007_`COD|B01203_x0005_`QTY1|1_x0005_`BQC|점질토_x0005_`EQC|_x0005_`JDC|_x0005_`WQC|_x0005_`EDT|_x0005_`ADJ|F_x0005_`DET|251_x0005_`</v>
      </c>
      <c r="K34" s="19" t="str">
        <f ca="1">HYPERLINK("#"&amp;일위대가표!N2&amp;"!A"&amp;ROW(일위대가표!A251),"대가   31 →")</f>
        <v>대가   31 →</v>
      </c>
    </row>
    <row r="35" spans="1:11" ht="22.35" customHeight="1" x14ac:dyDescent="0.3">
      <c r="A35" s="8" t="s">
        <v>153</v>
      </c>
      <c r="B35" s="9" t="s">
        <v>154</v>
      </c>
      <c r="C35" s="9" t="s">
        <v>150</v>
      </c>
      <c r="D35" s="8" t="s">
        <v>20</v>
      </c>
      <c r="E35" s="55">
        <f>일위대가표!F270</f>
        <v>270275</v>
      </c>
      <c r="F35" s="54">
        <f>일위대가표!H270</f>
        <v>194290</v>
      </c>
      <c r="G35" s="63">
        <f>일위대가표!J270</f>
        <v>31308</v>
      </c>
      <c r="H35" s="55">
        <f>일위대가표!L270</f>
        <v>44677</v>
      </c>
      <c r="I35" s="14" t="s">
        <v>153</v>
      </c>
      <c r="J35" s="36" t="str">
        <f>"_x0007_`COD|B01204_x0005_`QTY1|1_x0005_`BQC|점질토_x0005_`EQC|_x0005_`JDC|_x0005_`WQC|_x0005_`EDT|_x0005_`ADJ|F_x0005_`DET|"&amp;ROW(일위대가표!A261)&amp;"_x0005_`"</f>
        <v>_x0007_`COD|B01204_x0005_`QTY1|1_x0005_`BQC|점질토_x0005_`EQC|_x0005_`JDC|_x0005_`WQC|_x0005_`EDT|_x0005_`ADJ|F_x0005_`DET|261_x0005_`</v>
      </c>
      <c r="K35" s="19" t="str">
        <f ca="1">HYPERLINK("#"&amp;일위대가표!N2&amp;"!A"&amp;ROW(일위대가표!A261),"대가   32 →")</f>
        <v>대가   32 →</v>
      </c>
    </row>
    <row r="36" spans="1:11" ht="22.35" customHeight="1" x14ac:dyDescent="0.3">
      <c r="A36" s="8" t="s">
        <v>157</v>
      </c>
      <c r="B36" s="9" t="s">
        <v>158</v>
      </c>
      <c r="C36" s="9" t="s">
        <v>159</v>
      </c>
      <c r="D36" s="8" t="s">
        <v>42</v>
      </c>
      <c r="E36" s="55">
        <f>일위대가표!F281</f>
        <v>72985</v>
      </c>
      <c r="F36" s="54">
        <f>일위대가표!H281</f>
        <v>61083</v>
      </c>
      <c r="G36" s="63">
        <f>일위대가표!J281</f>
        <v>4489</v>
      </c>
      <c r="H36" s="55">
        <f>일위대가표!L281</f>
        <v>7413</v>
      </c>
      <c r="I36" s="14" t="s">
        <v>157</v>
      </c>
      <c r="J36" s="36" t="str">
        <f>"_x0007_`COD|B01207_x0005_`QTY1|1_x0005_`BQC|_x0005_`EQC|_x0005_`JDC|_x0005_`WQC|_x0005_`EDT|_x0005_`ADJ|F_x0005_`DET|"&amp;ROW(일위대가표!A271)&amp;"_x0005_`"</f>
        <v>_x0007_`COD|B01207_x0005_`QTY1|1_x0005_`BQC|_x0005_`EQC|_x0005_`JDC|_x0005_`WQC|_x0005_`EDT|_x0005_`ADJ|F_x0005_`DET|271_x0005_`</v>
      </c>
      <c r="K36" s="19" t="str">
        <f ca="1">HYPERLINK("#"&amp;일위대가표!N2&amp;"!A"&amp;ROW(일위대가표!A271),"대가   33 →")</f>
        <v>대가   33 →</v>
      </c>
    </row>
    <row r="37" spans="1:11" ht="22.35" customHeight="1" x14ac:dyDescent="0.3">
      <c r="A37" s="8" t="s">
        <v>162</v>
      </c>
      <c r="B37" s="9" t="s">
        <v>76</v>
      </c>
      <c r="C37" s="9" t="s">
        <v>163</v>
      </c>
      <c r="D37" s="8" t="s">
        <v>42</v>
      </c>
      <c r="E37" s="55">
        <f>일위대가표!F290</f>
        <v>98653</v>
      </c>
      <c r="F37" s="54">
        <f>일위대가표!H290</f>
        <v>73921</v>
      </c>
      <c r="G37" s="63">
        <f>일위대가표!J290</f>
        <v>9751</v>
      </c>
      <c r="H37" s="55">
        <f>일위대가표!L290</f>
        <v>14981</v>
      </c>
      <c r="I37" s="14" t="s">
        <v>162</v>
      </c>
      <c r="J37" s="36" t="str">
        <f>"_x0007_`COD|B01208_x0005_`QTY1|1_x0005_`BQC|_x0005_`EQC|_x0005_`JDC|_x0005_`WQC|_x0005_`EDT|_x0005_`ADJ|F_x0005_`DET|"&amp;ROW(일위대가표!A282)&amp;"_x0005_`"</f>
        <v>_x0007_`COD|B01208_x0005_`QTY1|1_x0005_`BQC|_x0005_`EQC|_x0005_`JDC|_x0005_`WQC|_x0005_`EDT|_x0005_`ADJ|F_x0005_`DET|282_x0005_`</v>
      </c>
      <c r="K37" s="19" t="str">
        <f ca="1">HYPERLINK("#"&amp;일위대가표!N2&amp;"!A"&amp;ROW(일위대가표!A282),"대가   34 →")</f>
        <v>대가   34 →</v>
      </c>
    </row>
  </sheetData>
  <mergeCells count="1">
    <mergeCell ref="A1:I1"/>
  </mergeCells>
  <phoneticPr fontId="26" type="noConversion"/>
  <hyperlinks>
    <hyperlink ref="K1" r:id="rId1" tooltip="설계예산시스템(STmate w24.04)으로 작성 하였으며,_x000a_엑셀 인쇄품질 600 dpi에 최적화 되어 있습니다._x000a_경영정보(주) http://www.stma.co.kr_x000a_Tel) 070-4350-0040_x000a_Fax) 0505-300-3948"/>
    <hyperlink ref="J1" r:id="rId2" tooltip="설계예산시스템(STmate w24.04)으로 작성 하였으며,_x000a_엑셀 인쇄품질 600 dpi에 최적화 되어 있습니다._x000a_경영정보(주) http://www.stma.co.kr_x000a_Tel) 070-4350-0040_x000a_Fax) 0505-300-3948"/>
  </hyperlinks>
  <printOptions horizontalCentered="1"/>
  <pageMargins left="0.78740157480314965" right="0.78740157480314965" top="0.59055118110236215" bottom="0.55118110236220474" header="0" footer="0.35433070866141736"/>
  <pageSetup paperSize="9" scale="98" fitToWidth="0" fitToHeight="0" orientation="landscape" r:id="rId3"/>
  <headerFooter alignWithMargins="0">
    <oddFooter xml:space="preserve">&amp;R&amp;"굴림체,"&amp;9 </oddFooter>
  </headerFooter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290"/>
  <sheetViews>
    <sheetView workbookViewId="0">
      <pane ySplit="4" topLeftCell="A5" activePane="bottomLeft" state="frozenSplit"/>
      <selection pane="bottomLeft" activeCell="A5" sqref="A5"/>
    </sheetView>
  </sheetViews>
  <sheetFormatPr defaultColWidth="9.125" defaultRowHeight="16.5" x14ac:dyDescent="0.3"/>
  <cols>
    <col min="1" max="2" width="24.25" style="5" customWidth="1"/>
    <col min="3" max="3" width="10" style="5" customWidth="1"/>
    <col min="4" max="4" width="5.5" style="5" customWidth="1"/>
    <col min="5" max="5" width="10" style="5" customWidth="1"/>
    <col min="6" max="6" width="11.5" style="5" customWidth="1"/>
    <col min="7" max="7" width="10" style="5" customWidth="1"/>
    <col min="8" max="8" width="11.5" style="5" customWidth="1"/>
    <col min="9" max="9" width="10" style="5" customWidth="1"/>
    <col min="10" max="10" width="11.5" style="5" customWidth="1"/>
    <col min="11" max="11" width="10" style="5" customWidth="1"/>
    <col min="12" max="13" width="11.5" style="5" customWidth="1"/>
    <col min="14" max="14" width="9.125" style="93" hidden="1" customWidth="1"/>
    <col min="15" max="25" width="2.125" style="5" customWidth="1"/>
    <col min="26" max="26" width="9.125" style="17" customWidth="1"/>
    <col min="27" max="16384" width="9.125" style="5"/>
  </cols>
  <sheetData>
    <row r="1" spans="1:26" ht="24.95" customHeight="1" x14ac:dyDescent="0.3">
      <c r="A1" s="145" t="s">
        <v>1111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4" t="s">
        <v>166</v>
      </c>
      <c r="Z1" s="18" t="s">
        <v>166</v>
      </c>
    </row>
    <row r="2" spans="1:26" ht="28.7" customHeight="1" x14ac:dyDescent="0.3">
      <c r="A2" s="1" t="s">
        <v>1</v>
      </c>
      <c r="N2" s="21" t="str">
        <f ca="1">MID(CELL("filename",$A$1),FIND("]",CELL("filename",$A$1))+1,LEN(CELL("filename",$A$1)))</f>
        <v>일위대가표</v>
      </c>
    </row>
    <row r="3" spans="1:26" ht="28.7" customHeight="1" x14ac:dyDescent="0.3">
      <c r="A3" s="157" t="s">
        <v>3</v>
      </c>
      <c r="B3" s="157" t="s">
        <v>4</v>
      </c>
      <c r="C3" s="157" t="s">
        <v>630</v>
      </c>
      <c r="D3" s="157" t="s">
        <v>5</v>
      </c>
      <c r="E3" s="148" t="s">
        <v>6</v>
      </c>
      <c r="F3" s="156"/>
      <c r="G3" s="148" t="s">
        <v>7</v>
      </c>
      <c r="H3" s="156"/>
      <c r="I3" s="148" t="s">
        <v>8</v>
      </c>
      <c r="J3" s="156"/>
      <c r="K3" s="148" t="s">
        <v>9</v>
      </c>
      <c r="L3" s="156"/>
      <c r="M3" s="148" t="s">
        <v>10</v>
      </c>
    </row>
    <row r="4" spans="1:26" ht="28.7" customHeight="1" x14ac:dyDescent="0.3">
      <c r="A4" s="156"/>
      <c r="B4" s="156"/>
      <c r="C4" s="156"/>
      <c r="D4" s="156"/>
      <c r="E4" s="8" t="s">
        <v>428</v>
      </c>
      <c r="F4" s="8" t="s">
        <v>622</v>
      </c>
      <c r="G4" s="8" t="s">
        <v>428</v>
      </c>
      <c r="H4" s="8" t="s">
        <v>622</v>
      </c>
      <c r="I4" s="8" t="s">
        <v>428</v>
      </c>
      <c r="J4" s="8" t="s">
        <v>622</v>
      </c>
      <c r="K4" s="8" t="s">
        <v>428</v>
      </c>
      <c r="L4" s="8" t="s">
        <v>622</v>
      </c>
      <c r="M4" s="149"/>
      <c r="Z4" s="19" t="str">
        <f>HYPERLINK("#'〓 목 차 〓'!B2","목차 →")</f>
        <v>목차 →</v>
      </c>
    </row>
    <row r="5" spans="1:26" ht="28.7" customHeight="1" x14ac:dyDescent="0.3">
      <c r="A5" s="83" t="s">
        <v>1112</v>
      </c>
      <c r="B5" s="83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36" t="str">
        <f>HYPERLINK("#N"&amp;ROW(N10),"_x0005_`BDCOD|B00049_x0007_`POSS|"&amp;ROW(N7)&amp;"_x0007_`POSE|"&amp;ROW(N10)&amp;"_x0007_`")</f>
        <v>_x0005_`BDCOD|B00049_x0007_`POSS|7_x0007_`POSE|10_x0007_`</v>
      </c>
    </row>
    <row r="6" spans="1:26" ht="28.7" customHeight="1" x14ac:dyDescent="0.3">
      <c r="A6" s="43" t="s">
        <v>12</v>
      </c>
      <c r="B6" s="43" t="s">
        <v>13</v>
      </c>
      <c r="C6" s="85"/>
      <c r="D6" s="87" t="s">
        <v>14</v>
      </c>
      <c r="E6" s="85"/>
      <c r="F6" s="85"/>
      <c r="G6" s="85"/>
      <c r="H6" s="85"/>
      <c r="I6" s="85"/>
      <c r="J6" s="85"/>
      <c r="K6" s="85"/>
      <c r="L6" s="85"/>
      <c r="M6" s="87" t="s">
        <v>15</v>
      </c>
      <c r="O6" s="6" t="s">
        <v>1113</v>
      </c>
    </row>
    <row r="7" spans="1:26" ht="28.7" customHeight="1" x14ac:dyDescent="0.3">
      <c r="A7" s="9" t="s">
        <v>1114</v>
      </c>
      <c r="B7" s="9" t="s">
        <v>1115</v>
      </c>
      <c r="C7" s="86">
        <v>0</v>
      </c>
      <c r="D7" s="33"/>
      <c r="E7" s="23">
        <v>0</v>
      </c>
      <c r="F7" s="10">
        <v>0</v>
      </c>
      <c r="G7" s="45"/>
      <c r="H7" s="10">
        <v>0</v>
      </c>
      <c r="I7" s="45"/>
      <c r="J7" s="23">
        <v>0</v>
      </c>
      <c r="K7" s="50"/>
      <c r="L7" s="23">
        <v>0</v>
      </c>
      <c r="M7" s="24" t="s">
        <v>1118</v>
      </c>
      <c r="N7" s="16" t="s">
        <v>1116</v>
      </c>
      <c r="O7" s="6" t="s">
        <v>1117</v>
      </c>
      <c r="P7" s="6" t="s">
        <v>1117</v>
      </c>
    </row>
    <row r="8" spans="1:26" ht="28.7" customHeight="1" x14ac:dyDescent="0.3">
      <c r="A8" s="9" t="s">
        <v>498</v>
      </c>
      <c r="B8" s="9" t="s">
        <v>499</v>
      </c>
      <c r="C8" s="86">
        <v>510</v>
      </c>
      <c r="D8" s="33" t="s">
        <v>448</v>
      </c>
      <c r="E8" s="62">
        <f t="shared" ref="E8:F10" si="0">I8+G8+K8</f>
        <v>0</v>
      </c>
      <c r="F8" s="88">
        <f t="shared" si="0"/>
        <v>0</v>
      </c>
      <c r="G8" s="59">
        <v>0</v>
      </c>
      <c r="H8" s="89">
        <f>IF(C8=0,0,ROUNDDOWN(G8*C8,1))</f>
        <v>0</v>
      </c>
      <c r="I8" s="90">
        <f>재료비목록표!E17</f>
        <v>0</v>
      </c>
      <c r="J8" s="91">
        <f>IF(C8=0,0,ROUNDDOWN(I8*C8,1))</f>
        <v>0</v>
      </c>
      <c r="K8" s="59">
        <v>0</v>
      </c>
      <c r="L8" s="89">
        <f>IF(C8=0,0,ROUNDDOWN(K8*C8,1))</f>
        <v>0</v>
      </c>
      <c r="M8" s="24" t="s">
        <v>1121</v>
      </c>
      <c r="N8" s="16" t="s">
        <v>1119</v>
      </c>
      <c r="O8" s="6" t="s">
        <v>1120</v>
      </c>
      <c r="P8" s="6" t="s">
        <v>1128</v>
      </c>
      <c r="Z8" s="19" t="str">
        <f ca="1">HYPERLINK("#"&amp;재료비목록표!G2&amp;"!A"&amp;ROW(재료비목록표!A17),"자재   14 →")</f>
        <v>자재   14 →</v>
      </c>
    </row>
    <row r="9" spans="1:26" ht="28.7" customHeight="1" x14ac:dyDescent="0.3">
      <c r="A9" s="9" t="s">
        <v>503</v>
      </c>
      <c r="B9" s="9" t="s">
        <v>499</v>
      </c>
      <c r="C9" s="86">
        <v>1.1000000000000001</v>
      </c>
      <c r="D9" s="33" t="s">
        <v>442</v>
      </c>
      <c r="E9" s="62">
        <f t="shared" si="0"/>
        <v>0</v>
      </c>
      <c r="F9" s="88">
        <f t="shared" si="0"/>
        <v>0</v>
      </c>
      <c r="G9" s="59">
        <v>0</v>
      </c>
      <c r="H9" s="89">
        <f>IF(C9=0,0,ROUNDDOWN(G9*C9,1))</f>
        <v>0</v>
      </c>
      <c r="I9" s="90">
        <f>재료비목록표!E18</f>
        <v>0</v>
      </c>
      <c r="J9" s="91">
        <f>IF(C9=0,0,ROUNDDOWN(I9*C9,1))</f>
        <v>0</v>
      </c>
      <c r="K9" s="59">
        <v>0</v>
      </c>
      <c r="L9" s="89">
        <f>IF(C9=0,0,ROUNDDOWN(K9*C9,1))</f>
        <v>0</v>
      </c>
      <c r="M9" s="24" t="s">
        <v>1124</v>
      </c>
      <c r="N9" s="16" t="s">
        <v>1122</v>
      </c>
      <c r="O9" s="6" t="s">
        <v>1123</v>
      </c>
      <c r="P9" s="6" t="s">
        <v>1128</v>
      </c>
      <c r="Z9" s="19" t="str">
        <f ca="1">HYPERLINK("#"&amp;재료비목록표!G2&amp;"!A"&amp;ROW(재료비목록표!A18),"자재   15 →")</f>
        <v>자재   15 →</v>
      </c>
    </row>
    <row r="10" spans="1:26" ht="28.7" customHeight="1" x14ac:dyDescent="0.3">
      <c r="A10" s="9" t="s">
        <v>662</v>
      </c>
      <c r="B10" s="9"/>
      <c r="C10" s="86">
        <v>0.66</v>
      </c>
      <c r="D10" s="33" t="s">
        <v>647</v>
      </c>
      <c r="E10" s="62">
        <f t="shared" si="0"/>
        <v>165545</v>
      </c>
      <c r="F10" s="89">
        <f t="shared" si="0"/>
        <v>109259.7</v>
      </c>
      <c r="G10" s="90">
        <f>노무비목록표!E9</f>
        <v>165545</v>
      </c>
      <c r="H10" s="91">
        <f>IF(C10=0,0,ROUNDDOWN(G10*C10,1))</f>
        <v>109259.7</v>
      </c>
      <c r="I10" s="59">
        <v>0</v>
      </c>
      <c r="J10" s="88">
        <f>IF(C10=0,0,ROUNDDOWN(I10*C10,1))</f>
        <v>0</v>
      </c>
      <c r="K10" s="59">
        <v>0</v>
      </c>
      <c r="L10" s="89">
        <f>IF(C10=0,0,ROUNDDOWN(K10*C10,1))</f>
        <v>0</v>
      </c>
      <c r="M10" s="24" t="s">
        <v>1127</v>
      </c>
      <c r="N10" s="16" t="s">
        <v>1125</v>
      </c>
      <c r="O10" s="6" t="s">
        <v>1126</v>
      </c>
      <c r="P10" s="6" t="s">
        <v>1128</v>
      </c>
      <c r="Z10" s="19" t="str">
        <f ca="1">HYPERLINK("#"&amp;노무비목록표!G2&amp;"!A"&amp;ROW(노무비목록표!A9),"노무    6 →")</f>
        <v>노무    6 →</v>
      </c>
    </row>
    <row r="11" spans="1:26" ht="28.7" customHeight="1" x14ac:dyDescent="0.3">
      <c r="A11" s="24" t="s">
        <v>6</v>
      </c>
      <c r="B11" s="58"/>
      <c r="C11" s="58"/>
      <c r="D11" s="58"/>
      <c r="E11" s="58"/>
      <c r="F11" s="55">
        <f>J11+H11+L11</f>
        <v>109259</v>
      </c>
      <c r="G11" s="58"/>
      <c r="H11" s="55">
        <f>ROUNDDOWN(SUMIF(P7:P10,O11,H7:H10),0)</f>
        <v>109259</v>
      </c>
      <c r="I11" s="58"/>
      <c r="J11" s="55">
        <f>ROUNDDOWN(SUMIF(P7:P10,O11,J7:J10),0)</f>
        <v>0</v>
      </c>
      <c r="K11" s="58"/>
      <c r="L11" s="55">
        <f>ROUNDDOWN(SUMIF(P7:P10,O11,L7:L10),0)</f>
        <v>0</v>
      </c>
      <c r="M11" s="58"/>
      <c r="O11" s="6" t="s">
        <v>1128</v>
      </c>
    </row>
    <row r="12" spans="1:26" ht="28.7" customHeight="1" x14ac:dyDescent="0.3">
      <c r="A12" s="83" t="s">
        <v>16</v>
      </c>
      <c r="B12" s="83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36" t="str">
        <f>HYPERLINK("#N"&amp;ROW(N19),"_x0005_`BDCOD|B00064_x0007_`POSS|"&amp;ROW(N14)&amp;"_x0007_`POSE|"&amp;ROW(N19)&amp;"_x0007_`")</f>
        <v>_x0005_`BDCOD|B00064_x0007_`POSS|14_x0007_`POSE|19_x0007_`</v>
      </c>
    </row>
    <row r="13" spans="1:26" ht="28.7" customHeight="1" x14ac:dyDescent="0.3">
      <c r="A13" s="43" t="s">
        <v>18</v>
      </c>
      <c r="B13" s="43" t="s">
        <v>19</v>
      </c>
      <c r="C13" s="85"/>
      <c r="D13" s="87" t="s">
        <v>20</v>
      </c>
      <c r="E13" s="85"/>
      <c r="F13" s="85"/>
      <c r="G13" s="85"/>
      <c r="H13" s="85"/>
      <c r="I13" s="85"/>
      <c r="J13" s="85"/>
      <c r="K13" s="85"/>
      <c r="L13" s="85"/>
      <c r="M13" s="87" t="s">
        <v>21</v>
      </c>
      <c r="O13" s="6" t="s">
        <v>1129</v>
      </c>
    </row>
    <row r="14" spans="1:26" ht="28.7" customHeight="1" x14ac:dyDescent="0.3">
      <c r="A14" s="9" t="s">
        <v>1114</v>
      </c>
      <c r="B14" s="9" t="s">
        <v>1130</v>
      </c>
      <c r="C14" s="86">
        <v>0</v>
      </c>
      <c r="D14" s="33"/>
      <c r="E14" s="23">
        <v>0</v>
      </c>
      <c r="F14" s="10">
        <v>0</v>
      </c>
      <c r="G14" s="45"/>
      <c r="H14" s="10">
        <v>0</v>
      </c>
      <c r="I14" s="45"/>
      <c r="J14" s="23">
        <v>0</v>
      </c>
      <c r="K14" s="50"/>
      <c r="L14" s="23">
        <v>0</v>
      </c>
      <c r="M14" s="24" t="s">
        <v>1118</v>
      </c>
      <c r="N14" s="16" t="s">
        <v>1116</v>
      </c>
      <c r="O14" s="6" t="s">
        <v>1117</v>
      </c>
      <c r="P14" s="6" t="s">
        <v>1117</v>
      </c>
    </row>
    <row r="15" spans="1:26" ht="28.7" customHeight="1" x14ac:dyDescent="0.3">
      <c r="A15" s="9" t="s">
        <v>522</v>
      </c>
      <c r="B15" s="9" t="s">
        <v>499</v>
      </c>
      <c r="C15" s="86">
        <v>1</v>
      </c>
      <c r="D15" s="33" t="s">
        <v>474</v>
      </c>
      <c r="E15" s="62">
        <f t="shared" ref="E15:F19" si="1">I15+G15+K15</f>
        <v>0</v>
      </c>
      <c r="F15" s="88">
        <f t="shared" si="1"/>
        <v>0</v>
      </c>
      <c r="G15" s="59">
        <v>0</v>
      </c>
      <c r="H15" s="89">
        <f>IF(C15=0,0,ROUNDDOWN(G15*C15,1))</f>
        <v>0</v>
      </c>
      <c r="I15" s="90">
        <f>재료비목록표!E22</f>
        <v>0</v>
      </c>
      <c r="J15" s="91">
        <f>IF(C15=0,0,ROUNDDOWN(I15*C15,1))</f>
        <v>0</v>
      </c>
      <c r="K15" s="59">
        <v>0</v>
      </c>
      <c r="L15" s="89">
        <f>IF(C15=0,0,ROUNDDOWN(K15*C15,1))</f>
        <v>0</v>
      </c>
      <c r="M15" s="24" t="s">
        <v>1133</v>
      </c>
      <c r="N15" s="16" t="s">
        <v>1131</v>
      </c>
      <c r="O15" s="6" t="s">
        <v>1132</v>
      </c>
      <c r="P15" s="6" t="s">
        <v>1128</v>
      </c>
      <c r="Z15" s="19" t="str">
        <f ca="1">HYPERLINK("#"&amp;재료비목록표!G2&amp;"!A"&amp;ROW(재료비목록표!A22),"자재   19 →")</f>
        <v>자재   19 →</v>
      </c>
    </row>
    <row r="16" spans="1:26" ht="28.7" customHeight="1" x14ac:dyDescent="0.3">
      <c r="A16" s="9" t="s">
        <v>674</v>
      </c>
      <c r="B16" s="9"/>
      <c r="C16" s="86">
        <v>0.04</v>
      </c>
      <c r="D16" s="33" t="s">
        <v>647</v>
      </c>
      <c r="E16" s="62">
        <f t="shared" si="1"/>
        <v>243168</v>
      </c>
      <c r="F16" s="89">
        <f t="shared" si="1"/>
        <v>9726.7000000000007</v>
      </c>
      <c r="G16" s="90">
        <f>노무비목록표!E13</f>
        <v>243168</v>
      </c>
      <c r="H16" s="91">
        <f>IF(C16=0,0,ROUNDDOWN(G16*C16,1))</f>
        <v>9726.7000000000007</v>
      </c>
      <c r="I16" s="59">
        <v>0</v>
      </c>
      <c r="J16" s="88">
        <f>IF(C16=0,0,ROUNDDOWN(I16*C16,1))</f>
        <v>0</v>
      </c>
      <c r="K16" s="59">
        <v>0</v>
      </c>
      <c r="L16" s="89">
        <f>IF(C16=0,0,ROUNDDOWN(K16*C16,1))</f>
        <v>0</v>
      </c>
      <c r="M16" s="24" t="s">
        <v>1136</v>
      </c>
      <c r="N16" s="16" t="s">
        <v>1134</v>
      </c>
      <c r="O16" s="6" t="s">
        <v>1135</v>
      </c>
      <c r="P16" s="6" t="s">
        <v>1128</v>
      </c>
      <c r="Z16" s="19" t="str">
        <f ca="1">HYPERLINK("#"&amp;노무비목록표!G2&amp;"!A"&amp;ROW(노무비목록표!A13),"노무   10 →")</f>
        <v>노무   10 →</v>
      </c>
    </row>
    <row r="17" spans="1:26" ht="28.7" customHeight="1" x14ac:dyDescent="0.3">
      <c r="A17" s="9" t="s">
        <v>662</v>
      </c>
      <c r="B17" s="9"/>
      <c r="C17" s="86">
        <v>0.02</v>
      </c>
      <c r="D17" s="33" t="s">
        <v>647</v>
      </c>
      <c r="E17" s="62">
        <f t="shared" si="1"/>
        <v>165545</v>
      </c>
      <c r="F17" s="89">
        <f t="shared" si="1"/>
        <v>3310.9</v>
      </c>
      <c r="G17" s="90">
        <f>노무비목록표!E9</f>
        <v>165545</v>
      </c>
      <c r="H17" s="91">
        <f>IF(C17=0,0,ROUNDDOWN(G17*C17,1))</f>
        <v>3310.9</v>
      </c>
      <c r="I17" s="59">
        <v>0</v>
      </c>
      <c r="J17" s="88">
        <f>IF(C17=0,0,ROUNDDOWN(I17*C17,1))</f>
        <v>0</v>
      </c>
      <c r="K17" s="59">
        <v>0</v>
      </c>
      <c r="L17" s="89">
        <f>IF(C17=0,0,ROUNDDOWN(K17*C17,1))</f>
        <v>0</v>
      </c>
      <c r="M17" s="24" t="s">
        <v>1127</v>
      </c>
      <c r="N17" s="16" t="s">
        <v>1125</v>
      </c>
      <c r="O17" s="6" t="s">
        <v>1126</v>
      </c>
      <c r="P17" s="6" t="s">
        <v>1128</v>
      </c>
      <c r="Z17" s="19" t="str">
        <f ca="1">HYPERLINK("#"&amp;노무비목록표!G2&amp;"!A"&amp;ROW(노무비목록표!A9),"노무    6 →")</f>
        <v>노무    6 →</v>
      </c>
    </row>
    <row r="18" spans="1:26" ht="28.7" customHeight="1" x14ac:dyDescent="0.3">
      <c r="A18" s="9" t="s">
        <v>557</v>
      </c>
      <c r="B18" s="9" t="s">
        <v>558</v>
      </c>
      <c r="C18" s="86">
        <v>2</v>
      </c>
      <c r="D18" s="33" t="s">
        <v>480</v>
      </c>
      <c r="E18" s="62">
        <f t="shared" si="1"/>
        <v>13037.6</v>
      </c>
      <c r="F18" s="88">
        <f t="shared" si="1"/>
        <v>260.7</v>
      </c>
      <c r="G18" s="59">
        <v>0</v>
      </c>
      <c r="H18" s="88">
        <f>IF(C18=0,0,ROUNDDOWN(G18*C18/100,1))</f>
        <v>0</v>
      </c>
      <c r="I18" s="59">
        <v>13037.6</v>
      </c>
      <c r="J18" s="88">
        <f>IF(C18=0,0,ROUNDDOWN(I18*C18/100,1))</f>
        <v>260.7</v>
      </c>
      <c r="K18" s="59">
        <v>0</v>
      </c>
      <c r="L18" s="89">
        <f>IF(C18=0,0,ROUNDDOWN(K18*C18/100,1))</f>
        <v>0</v>
      </c>
      <c r="M18" s="24" t="s">
        <v>1139</v>
      </c>
      <c r="N18" s="16" t="s">
        <v>1137</v>
      </c>
      <c r="O18" s="6" t="s">
        <v>1138</v>
      </c>
      <c r="P18" s="6" t="s">
        <v>1128</v>
      </c>
      <c r="Z18" s="19" t="str">
        <f ca="1">HYPERLINK("#"&amp;재료비목록표!G2&amp;"!A"&amp;ROW(재료비목록표!A30),"자재   27 →")</f>
        <v>자재   27 →</v>
      </c>
    </row>
    <row r="19" spans="1:26" ht="28.7" customHeight="1" x14ac:dyDescent="0.3">
      <c r="A19" s="9" t="s">
        <v>379</v>
      </c>
      <c r="B19" s="9" t="s">
        <v>380</v>
      </c>
      <c r="C19" s="86">
        <v>4.1599999999999998E-2</v>
      </c>
      <c r="D19" s="33" t="s">
        <v>344</v>
      </c>
      <c r="E19" s="62">
        <f t="shared" si="1"/>
        <v>65009</v>
      </c>
      <c r="F19" s="89">
        <f t="shared" si="1"/>
        <v>2704.2999999999997</v>
      </c>
      <c r="G19" s="90">
        <f>중기목록표!F15</f>
        <v>47231</v>
      </c>
      <c r="H19" s="92">
        <f>IF(C19=0,0,ROUNDDOWN(G19*C19,1))</f>
        <v>1964.8</v>
      </c>
      <c r="I19" s="90">
        <f>중기목록표!G15</f>
        <v>7784</v>
      </c>
      <c r="J19" s="92">
        <f>IF(C19=0,0,ROUNDDOWN(I19*C19,1))</f>
        <v>323.8</v>
      </c>
      <c r="K19" s="90">
        <f>중기목록표!H15</f>
        <v>9994</v>
      </c>
      <c r="L19" s="92">
        <f>IF(C19=0,0,ROUNDDOWN(K19*C19,1))</f>
        <v>415.7</v>
      </c>
      <c r="M19" s="24" t="s">
        <v>1142</v>
      </c>
      <c r="N19" s="16" t="s">
        <v>1140</v>
      </c>
      <c r="O19" s="6" t="s">
        <v>1141</v>
      </c>
      <c r="P19" s="6" t="s">
        <v>1128</v>
      </c>
      <c r="Z19" s="19" t="str">
        <f ca="1">HYPERLINK("#"&amp;중기목록표!J2&amp;"!A"&amp;ROW(중기목록표!A15),"중기   12 →")</f>
        <v>중기   12 →</v>
      </c>
    </row>
    <row r="20" spans="1:26" ht="28.7" customHeight="1" x14ac:dyDescent="0.3">
      <c r="A20" s="24" t="s">
        <v>6</v>
      </c>
      <c r="B20" s="58"/>
      <c r="C20" s="58"/>
      <c r="D20" s="58"/>
      <c r="E20" s="58"/>
      <c r="F20" s="55">
        <f>J20+H20+L20</f>
        <v>16001</v>
      </c>
      <c r="G20" s="58"/>
      <c r="H20" s="55">
        <f>ROUNDDOWN(SUMIF(P14:P19,O20,H14:H19),0)</f>
        <v>15002</v>
      </c>
      <c r="I20" s="58"/>
      <c r="J20" s="55">
        <f>ROUNDDOWN(SUMIF(P14:P19,O20,J14:J19),0)</f>
        <v>584</v>
      </c>
      <c r="K20" s="58"/>
      <c r="L20" s="55">
        <f>ROUNDDOWN(SUMIF(P14:P19,O20,L14:L19),0)</f>
        <v>415</v>
      </c>
      <c r="M20" s="58"/>
      <c r="O20" s="6" t="s">
        <v>1128</v>
      </c>
    </row>
    <row r="21" spans="1:26" ht="28.7" customHeight="1" x14ac:dyDescent="0.3">
      <c r="A21" s="83" t="s">
        <v>22</v>
      </c>
      <c r="B21" s="83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36" t="str">
        <f>HYPERLINK("#N"&amp;ROW(N28),"_x0005_`BDCOD|B00065_x0007_`POSS|"&amp;ROW(N23)&amp;"_x0007_`POSE|"&amp;ROW(N28)&amp;"_x0007_`")</f>
        <v>_x0005_`BDCOD|B00065_x0007_`POSS|23_x0007_`POSE|28_x0007_`</v>
      </c>
    </row>
    <row r="22" spans="1:26" ht="28.7" customHeight="1" x14ac:dyDescent="0.3">
      <c r="A22" s="43" t="s">
        <v>18</v>
      </c>
      <c r="B22" s="43" t="s">
        <v>24</v>
      </c>
      <c r="C22" s="85"/>
      <c r="D22" s="87" t="s">
        <v>20</v>
      </c>
      <c r="E22" s="85"/>
      <c r="F22" s="85"/>
      <c r="G22" s="85"/>
      <c r="H22" s="85"/>
      <c r="I22" s="85"/>
      <c r="J22" s="85"/>
      <c r="K22" s="85"/>
      <c r="L22" s="85"/>
      <c r="M22" s="87" t="s">
        <v>25</v>
      </c>
      <c r="O22" s="6" t="s">
        <v>1143</v>
      </c>
    </row>
    <row r="23" spans="1:26" ht="28.7" customHeight="1" x14ac:dyDescent="0.3">
      <c r="A23" s="9" t="s">
        <v>1114</v>
      </c>
      <c r="B23" s="9" t="s">
        <v>1130</v>
      </c>
      <c r="C23" s="86">
        <v>0</v>
      </c>
      <c r="D23" s="33"/>
      <c r="E23" s="23">
        <v>0</v>
      </c>
      <c r="F23" s="10">
        <v>0</v>
      </c>
      <c r="G23" s="45"/>
      <c r="H23" s="10">
        <v>0</v>
      </c>
      <c r="I23" s="45"/>
      <c r="J23" s="23">
        <v>0</v>
      </c>
      <c r="K23" s="50"/>
      <c r="L23" s="23">
        <v>0</v>
      </c>
      <c r="M23" s="24" t="s">
        <v>1118</v>
      </c>
      <c r="N23" s="16" t="s">
        <v>1116</v>
      </c>
      <c r="O23" s="6" t="s">
        <v>1117</v>
      </c>
      <c r="P23" s="6" t="s">
        <v>1117</v>
      </c>
    </row>
    <row r="24" spans="1:26" ht="28.7" customHeight="1" x14ac:dyDescent="0.3">
      <c r="A24" s="9" t="s">
        <v>518</v>
      </c>
      <c r="B24" s="9" t="s">
        <v>499</v>
      </c>
      <c r="C24" s="86">
        <v>0</v>
      </c>
      <c r="D24" s="33" t="s">
        <v>474</v>
      </c>
      <c r="E24" s="62">
        <f t="shared" ref="E24:F28" si="2">I24+G24+K24</f>
        <v>0</v>
      </c>
      <c r="F24" s="88">
        <f t="shared" si="2"/>
        <v>0</v>
      </c>
      <c r="G24" s="59">
        <v>0</v>
      </c>
      <c r="H24" s="89">
        <f>IF(C24=0,0,ROUNDDOWN(G24*C24,1))</f>
        <v>0</v>
      </c>
      <c r="I24" s="90">
        <f>재료비목록표!E21</f>
        <v>0</v>
      </c>
      <c r="J24" s="91">
        <f>IF(C24=0,0,ROUNDDOWN(I24*C24,1))</f>
        <v>0</v>
      </c>
      <c r="K24" s="59">
        <v>0</v>
      </c>
      <c r="L24" s="89">
        <f>IF(C24=0,0,ROUNDDOWN(K24*C24,1))</f>
        <v>0</v>
      </c>
      <c r="M24" s="24" t="s">
        <v>1146</v>
      </c>
      <c r="N24" s="16" t="s">
        <v>1144</v>
      </c>
      <c r="O24" s="6" t="s">
        <v>1145</v>
      </c>
      <c r="P24" s="6" t="s">
        <v>1128</v>
      </c>
      <c r="Z24" s="19" t="str">
        <f ca="1">HYPERLINK("#"&amp;재료비목록표!G2&amp;"!A"&amp;ROW(재료비목록표!A21),"자재   18 →")</f>
        <v>자재   18 →</v>
      </c>
    </row>
    <row r="25" spans="1:26" ht="28.7" customHeight="1" x14ac:dyDescent="0.3">
      <c r="A25" s="9" t="s">
        <v>674</v>
      </c>
      <c r="B25" s="9"/>
      <c r="C25" s="86">
        <v>5.2999999999999999E-2</v>
      </c>
      <c r="D25" s="33" t="s">
        <v>647</v>
      </c>
      <c r="E25" s="62">
        <f t="shared" si="2"/>
        <v>243168</v>
      </c>
      <c r="F25" s="89">
        <f t="shared" si="2"/>
        <v>12887.9</v>
      </c>
      <c r="G25" s="90">
        <f>노무비목록표!E13</f>
        <v>243168</v>
      </c>
      <c r="H25" s="91">
        <f>IF(C25=0,0,ROUNDDOWN(G25*C25,1))</f>
        <v>12887.9</v>
      </c>
      <c r="I25" s="59">
        <v>0</v>
      </c>
      <c r="J25" s="88">
        <f>IF(C25=0,0,ROUNDDOWN(I25*C25,1))</f>
        <v>0</v>
      </c>
      <c r="K25" s="59">
        <v>0</v>
      </c>
      <c r="L25" s="89">
        <f>IF(C25=0,0,ROUNDDOWN(K25*C25,1))</f>
        <v>0</v>
      </c>
      <c r="M25" s="24" t="s">
        <v>1136</v>
      </c>
      <c r="N25" s="16" t="s">
        <v>1134</v>
      </c>
      <c r="O25" s="6" t="s">
        <v>1135</v>
      </c>
      <c r="P25" s="6" t="s">
        <v>1128</v>
      </c>
      <c r="Z25" s="19" t="str">
        <f ca="1">HYPERLINK("#"&amp;노무비목록표!G2&amp;"!A"&amp;ROW(노무비목록표!A13),"노무   10 →")</f>
        <v>노무   10 →</v>
      </c>
    </row>
    <row r="26" spans="1:26" ht="28.7" customHeight="1" x14ac:dyDescent="0.3">
      <c r="A26" s="9" t="s">
        <v>662</v>
      </c>
      <c r="B26" s="9"/>
      <c r="C26" s="86">
        <v>2.5999999999999999E-2</v>
      </c>
      <c r="D26" s="33" t="s">
        <v>647</v>
      </c>
      <c r="E26" s="62">
        <f t="shared" si="2"/>
        <v>165545</v>
      </c>
      <c r="F26" s="89">
        <f t="shared" si="2"/>
        <v>4304.1000000000004</v>
      </c>
      <c r="G26" s="90">
        <f>노무비목록표!E9</f>
        <v>165545</v>
      </c>
      <c r="H26" s="91">
        <f>IF(C26=0,0,ROUNDDOWN(G26*C26,1))</f>
        <v>4304.1000000000004</v>
      </c>
      <c r="I26" s="59">
        <v>0</v>
      </c>
      <c r="J26" s="88">
        <f>IF(C26=0,0,ROUNDDOWN(I26*C26,1))</f>
        <v>0</v>
      </c>
      <c r="K26" s="59">
        <v>0</v>
      </c>
      <c r="L26" s="89">
        <f>IF(C26=0,0,ROUNDDOWN(K26*C26,1))</f>
        <v>0</v>
      </c>
      <c r="M26" s="24" t="s">
        <v>1127</v>
      </c>
      <c r="N26" s="16" t="s">
        <v>1125</v>
      </c>
      <c r="O26" s="6" t="s">
        <v>1126</v>
      </c>
      <c r="P26" s="6" t="s">
        <v>1128</v>
      </c>
      <c r="Z26" s="19" t="str">
        <f ca="1">HYPERLINK("#"&amp;노무비목록표!G2&amp;"!A"&amp;ROW(노무비목록표!A9),"노무    6 →")</f>
        <v>노무    6 →</v>
      </c>
    </row>
    <row r="27" spans="1:26" ht="28.7" customHeight="1" x14ac:dyDescent="0.3">
      <c r="A27" s="9" t="s">
        <v>557</v>
      </c>
      <c r="B27" s="9" t="s">
        <v>558</v>
      </c>
      <c r="C27" s="86">
        <v>2</v>
      </c>
      <c r="D27" s="33" t="s">
        <v>480</v>
      </c>
      <c r="E27" s="62">
        <f t="shared" si="2"/>
        <v>17192</v>
      </c>
      <c r="F27" s="88">
        <f t="shared" si="2"/>
        <v>343.8</v>
      </c>
      <c r="G27" s="59">
        <v>0</v>
      </c>
      <c r="H27" s="88">
        <f>IF(C27=0,0,ROUNDDOWN(G27*C27/100,1))</f>
        <v>0</v>
      </c>
      <c r="I27" s="59">
        <v>17192</v>
      </c>
      <c r="J27" s="88">
        <f>IF(C27=0,0,ROUNDDOWN(I27*C27/100,1))</f>
        <v>343.8</v>
      </c>
      <c r="K27" s="59">
        <v>0</v>
      </c>
      <c r="L27" s="89">
        <f>IF(C27=0,0,ROUNDDOWN(K27*C27/100,1))</f>
        <v>0</v>
      </c>
      <c r="M27" s="24" t="s">
        <v>1139</v>
      </c>
      <c r="N27" s="16" t="s">
        <v>1137</v>
      </c>
      <c r="O27" s="6" t="s">
        <v>1138</v>
      </c>
      <c r="P27" s="6" t="s">
        <v>1128</v>
      </c>
      <c r="Z27" s="19" t="str">
        <f ca="1">HYPERLINK("#"&amp;재료비목록표!G2&amp;"!A"&amp;ROW(재료비목록표!A30),"자재   27 →")</f>
        <v>자재   27 →</v>
      </c>
    </row>
    <row r="28" spans="1:26" ht="28.7" customHeight="1" x14ac:dyDescent="0.3">
      <c r="A28" s="9" t="s">
        <v>379</v>
      </c>
      <c r="B28" s="9" t="s">
        <v>380</v>
      </c>
      <c r="C28" s="86">
        <v>0.05</v>
      </c>
      <c r="D28" s="33" t="s">
        <v>344</v>
      </c>
      <c r="E28" s="62">
        <f t="shared" si="2"/>
        <v>65009</v>
      </c>
      <c r="F28" s="89">
        <f t="shared" si="2"/>
        <v>3250.3999999999996</v>
      </c>
      <c r="G28" s="90">
        <f>중기목록표!F15</f>
        <v>47231</v>
      </c>
      <c r="H28" s="92">
        <f>IF(C28=0,0,ROUNDDOWN(G28*C28,1))</f>
        <v>2361.5</v>
      </c>
      <c r="I28" s="90">
        <f>중기목록표!G15</f>
        <v>7784</v>
      </c>
      <c r="J28" s="92">
        <f>IF(C28=0,0,ROUNDDOWN(I28*C28,1))</f>
        <v>389.2</v>
      </c>
      <c r="K28" s="90">
        <f>중기목록표!H15</f>
        <v>9994</v>
      </c>
      <c r="L28" s="92">
        <f>IF(C28=0,0,ROUNDDOWN(K28*C28,1))</f>
        <v>499.7</v>
      </c>
      <c r="M28" s="24" t="s">
        <v>1142</v>
      </c>
      <c r="N28" s="16" t="s">
        <v>1140</v>
      </c>
      <c r="O28" s="6" t="s">
        <v>1141</v>
      </c>
      <c r="P28" s="6" t="s">
        <v>1128</v>
      </c>
      <c r="Z28" s="19" t="str">
        <f ca="1">HYPERLINK("#"&amp;중기목록표!J2&amp;"!A"&amp;ROW(중기목록표!A15),"중기   12 →")</f>
        <v>중기   12 →</v>
      </c>
    </row>
    <row r="29" spans="1:26" ht="28.7" customHeight="1" x14ac:dyDescent="0.3">
      <c r="A29" s="24" t="s">
        <v>6</v>
      </c>
      <c r="B29" s="58"/>
      <c r="C29" s="58"/>
      <c r="D29" s="58"/>
      <c r="E29" s="58"/>
      <c r="F29" s="55">
        <f>J29+H29+L29</f>
        <v>20785</v>
      </c>
      <c r="G29" s="58"/>
      <c r="H29" s="55">
        <f>ROUNDDOWN(SUMIF(P23:P28,O29,H23:H28),0)</f>
        <v>19553</v>
      </c>
      <c r="I29" s="58"/>
      <c r="J29" s="55">
        <f>ROUNDDOWN(SUMIF(P23:P28,O29,J23:J28),0)</f>
        <v>733</v>
      </c>
      <c r="K29" s="58"/>
      <c r="L29" s="55">
        <f>ROUNDDOWN(SUMIF(P23:P28,O29,L23:L28),0)</f>
        <v>499</v>
      </c>
      <c r="M29" s="58"/>
      <c r="O29" s="6" t="s">
        <v>1128</v>
      </c>
    </row>
    <row r="30" spans="1:26" ht="28.7" customHeight="1" x14ac:dyDescent="0.3">
      <c r="A30" s="83" t="s">
        <v>26</v>
      </c>
      <c r="B30" s="83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36" t="str">
        <f>HYPERLINK("#N"&amp;ROW(N32),"_x0005_`BDCOD|B00135_x0007_`POSS|"&amp;ROW(N32)&amp;"_x0007_`POSE|"&amp;ROW(N32)&amp;"_x0007_`")</f>
        <v>_x0005_`BDCOD|B00135_x0007_`POSS|32_x0007_`POSE|32_x0007_`</v>
      </c>
    </row>
    <row r="31" spans="1:26" ht="28.7" customHeight="1" x14ac:dyDescent="0.3">
      <c r="A31" s="43" t="s">
        <v>28</v>
      </c>
      <c r="B31" s="43" t="s">
        <v>29</v>
      </c>
      <c r="C31" s="85"/>
      <c r="D31" s="87" t="s">
        <v>30</v>
      </c>
      <c r="E31" s="85"/>
      <c r="F31" s="85"/>
      <c r="G31" s="85"/>
      <c r="H31" s="85"/>
      <c r="I31" s="85"/>
      <c r="J31" s="85"/>
      <c r="K31" s="85"/>
      <c r="L31" s="85"/>
      <c r="M31" s="87" t="s">
        <v>31</v>
      </c>
      <c r="O31" s="6" t="s">
        <v>1147</v>
      </c>
    </row>
    <row r="32" spans="1:26" ht="28.7" customHeight="1" x14ac:dyDescent="0.3">
      <c r="A32" s="9" t="s">
        <v>653</v>
      </c>
      <c r="B32" s="9"/>
      <c r="C32" s="86">
        <v>0.08</v>
      </c>
      <c r="D32" s="33" t="s">
        <v>647</v>
      </c>
      <c r="E32" s="62">
        <f>I32+G32+K32</f>
        <v>258935</v>
      </c>
      <c r="F32" s="89">
        <f>J32+H32+L32</f>
        <v>20714.8</v>
      </c>
      <c r="G32" s="90">
        <f>노무비목록표!E6</f>
        <v>258935</v>
      </c>
      <c r="H32" s="91">
        <f>IF(C32=0,0,ROUNDDOWN(G32*C32,1))</f>
        <v>20714.8</v>
      </c>
      <c r="I32" s="59">
        <v>0</v>
      </c>
      <c r="J32" s="88">
        <f>IF(C32=0,0,ROUNDDOWN(I32*C32,1))</f>
        <v>0</v>
      </c>
      <c r="K32" s="59">
        <v>0</v>
      </c>
      <c r="L32" s="89">
        <f>IF(C32=0,0,ROUNDDOWN(K32*C32,1))</f>
        <v>0</v>
      </c>
      <c r="M32" s="24" t="s">
        <v>1150</v>
      </c>
      <c r="N32" s="16" t="s">
        <v>1148</v>
      </c>
      <c r="O32" s="6" t="s">
        <v>1149</v>
      </c>
      <c r="P32" s="6" t="s">
        <v>1128</v>
      </c>
      <c r="Z32" s="19" t="str">
        <f ca="1">HYPERLINK("#"&amp;노무비목록표!G2&amp;"!A"&amp;ROW(노무비목록표!A6),"노무    3 →")</f>
        <v>노무    3 →</v>
      </c>
    </row>
    <row r="33" spans="1:26" ht="28.7" customHeight="1" x14ac:dyDescent="0.3">
      <c r="A33" s="24" t="s">
        <v>6</v>
      </c>
      <c r="B33" s="58"/>
      <c r="C33" s="58"/>
      <c r="D33" s="58"/>
      <c r="E33" s="58"/>
      <c r="F33" s="55">
        <f>J33+H33+L33</f>
        <v>20714</v>
      </c>
      <c r="G33" s="58"/>
      <c r="H33" s="55">
        <f>ROUNDDOWN(SUMIF(P32:P32,O33,H32:H32),0)</f>
        <v>20714</v>
      </c>
      <c r="I33" s="58"/>
      <c r="J33" s="55">
        <f>ROUNDDOWN(SUMIF(P32:P32,O33,J32:J32),0)</f>
        <v>0</v>
      </c>
      <c r="K33" s="58"/>
      <c r="L33" s="55">
        <f>ROUNDDOWN(SUMIF(P32:P32,O33,L32:L32),0)</f>
        <v>0</v>
      </c>
      <c r="M33" s="58"/>
      <c r="O33" s="6" t="s">
        <v>1128</v>
      </c>
    </row>
    <row r="34" spans="1:26" ht="28.7" customHeight="1" x14ac:dyDescent="0.3">
      <c r="A34" s="83" t="s">
        <v>32</v>
      </c>
      <c r="B34" s="83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36" t="str">
        <f>HYPERLINK("#N"&amp;ROW(N40),"_x0005_`BDCOD|B00194_x0007_`POSS|"&amp;ROW(N36)&amp;"_x0007_`POSE|"&amp;ROW(N40)&amp;"_x0007_`")</f>
        <v>_x0005_`BDCOD|B00194_x0007_`POSS|36_x0007_`POSE|40_x0007_`</v>
      </c>
    </row>
    <row r="35" spans="1:26" ht="28.7" customHeight="1" x14ac:dyDescent="0.3">
      <c r="A35" s="43" t="s">
        <v>34</v>
      </c>
      <c r="B35" s="43" t="s">
        <v>35</v>
      </c>
      <c r="C35" s="85"/>
      <c r="D35" s="87" t="s">
        <v>36</v>
      </c>
      <c r="E35" s="85"/>
      <c r="F35" s="85"/>
      <c r="G35" s="85"/>
      <c r="H35" s="85"/>
      <c r="I35" s="85"/>
      <c r="J35" s="85"/>
      <c r="K35" s="85"/>
      <c r="L35" s="85"/>
      <c r="M35" s="87" t="s">
        <v>37</v>
      </c>
      <c r="O35" s="6" t="s">
        <v>1151</v>
      </c>
    </row>
    <row r="36" spans="1:26" ht="28.7" customHeight="1" x14ac:dyDescent="0.3">
      <c r="A36" s="9" t="s">
        <v>440</v>
      </c>
      <c r="B36" s="9" t="s">
        <v>441</v>
      </c>
      <c r="C36" s="86">
        <v>4.3800000000000002E-3</v>
      </c>
      <c r="D36" s="33" t="s">
        <v>442</v>
      </c>
      <c r="E36" s="62">
        <f t="shared" ref="E36:F40" si="3">I36+G36+K36</f>
        <v>500661</v>
      </c>
      <c r="F36" s="88">
        <f t="shared" si="3"/>
        <v>2192.8000000000002</v>
      </c>
      <c r="G36" s="59">
        <v>0</v>
      </c>
      <c r="H36" s="89">
        <f>IF(C36=0,0,ROUNDDOWN(G36*C36,1))</f>
        <v>0</v>
      </c>
      <c r="I36" s="90">
        <f>재료비목록표!E6</f>
        <v>500661</v>
      </c>
      <c r="J36" s="91">
        <f>IF(C36=0,0,ROUNDDOWN(I36*C36,1))</f>
        <v>2192.8000000000002</v>
      </c>
      <c r="K36" s="59">
        <v>0</v>
      </c>
      <c r="L36" s="89">
        <f>IF(C36=0,0,ROUNDDOWN(K36*C36,1))</f>
        <v>0</v>
      </c>
      <c r="M36" s="24" t="s">
        <v>1154</v>
      </c>
      <c r="N36" s="16" t="s">
        <v>1152</v>
      </c>
      <c r="O36" s="6" t="s">
        <v>1153</v>
      </c>
      <c r="P36" s="6" t="s">
        <v>1128</v>
      </c>
      <c r="Z36" s="19" t="str">
        <f ca="1">HYPERLINK("#"&amp;재료비목록표!G2&amp;"!A"&amp;ROW(재료비목록표!A6),"자재    3 →")</f>
        <v>자재    3 →</v>
      </c>
    </row>
    <row r="37" spans="1:26" ht="28.7" customHeight="1" x14ac:dyDescent="0.3">
      <c r="A37" s="9" t="s">
        <v>452</v>
      </c>
      <c r="B37" s="9" t="s">
        <v>441</v>
      </c>
      <c r="C37" s="86">
        <v>2.8800000000000002E-3</v>
      </c>
      <c r="D37" s="33" t="s">
        <v>442</v>
      </c>
      <c r="E37" s="62">
        <f t="shared" si="3"/>
        <v>572185</v>
      </c>
      <c r="F37" s="88">
        <f t="shared" si="3"/>
        <v>1647.8</v>
      </c>
      <c r="G37" s="59">
        <v>0</v>
      </c>
      <c r="H37" s="89">
        <f>IF(C37=0,0,ROUNDDOWN(G37*C37,1))</f>
        <v>0</v>
      </c>
      <c r="I37" s="90">
        <f>재료비목록표!E8</f>
        <v>572185</v>
      </c>
      <c r="J37" s="91">
        <f>IF(C37=0,0,ROUNDDOWN(I37*C37,1))</f>
        <v>1647.8</v>
      </c>
      <c r="K37" s="59">
        <v>0</v>
      </c>
      <c r="L37" s="89">
        <f>IF(C37=0,0,ROUNDDOWN(K37*C37,1))</f>
        <v>0</v>
      </c>
      <c r="M37" s="24" t="s">
        <v>1157</v>
      </c>
      <c r="N37" s="16" t="s">
        <v>1155</v>
      </c>
      <c r="O37" s="6" t="s">
        <v>1156</v>
      </c>
      <c r="P37" s="6" t="s">
        <v>1128</v>
      </c>
      <c r="Z37" s="19" t="str">
        <f ca="1">HYPERLINK("#"&amp;재료비목록표!G2&amp;"!A"&amp;ROW(재료비목록표!A8),"자재    5 →")</f>
        <v>자재    5 →</v>
      </c>
    </row>
    <row r="38" spans="1:26" ht="28.7" customHeight="1" x14ac:dyDescent="0.3">
      <c r="A38" s="9" t="s">
        <v>446</v>
      </c>
      <c r="B38" s="9" t="s">
        <v>447</v>
      </c>
      <c r="C38" s="86">
        <v>0.03</v>
      </c>
      <c r="D38" s="33" t="s">
        <v>448</v>
      </c>
      <c r="E38" s="62">
        <f t="shared" si="3"/>
        <v>1503</v>
      </c>
      <c r="F38" s="88">
        <f t="shared" si="3"/>
        <v>45</v>
      </c>
      <c r="G38" s="59">
        <v>0</v>
      </c>
      <c r="H38" s="89">
        <f>IF(C38=0,0,ROUNDDOWN(G38*C38,1))</f>
        <v>0</v>
      </c>
      <c r="I38" s="90">
        <f>재료비목록표!E7</f>
        <v>1503</v>
      </c>
      <c r="J38" s="91">
        <f>IF(C38=0,0,ROUNDDOWN(I38*C38,1))</f>
        <v>45</v>
      </c>
      <c r="K38" s="59">
        <v>0</v>
      </c>
      <c r="L38" s="89">
        <f>IF(C38=0,0,ROUNDDOWN(K38*C38,1))</f>
        <v>0</v>
      </c>
      <c r="M38" s="24" t="s">
        <v>1160</v>
      </c>
      <c r="N38" s="16" t="s">
        <v>1158</v>
      </c>
      <c r="O38" s="6" t="s">
        <v>1159</v>
      </c>
      <c r="P38" s="6" t="s">
        <v>1128</v>
      </c>
      <c r="Z38" s="19" t="str">
        <f ca="1">HYPERLINK("#"&amp;재료비목록표!G2&amp;"!A"&amp;ROW(재료비목록표!A7),"자재    4 →")</f>
        <v>자재    4 →</v>
      </c>
    </row>
    <row r="39" spans="1:26" ht="28.7" customHeight="1" x14ac:dyDescent="0.3">
      <c r="A39" s="9" t="s">
        <v>646</v>
      </c>
      <c r="B39" s="9"/>
      <c r="C39" s="86">
        <v>5.2499999999999998E-2</v>
      </c>
      <c r="D39" s="33" t="s">
        <v>647</v>
      </c>
      <c r="E39" s="62">
        <f t="shared" si="3"/>
        <v>268058</v>
      </c>
      <c r="F39" s="89">
        <f t="shared" si="3"/>
        <v>14073</v>
      </c>
      <c r="G39" s="90">
        <f>노무비목록표!E4</f>
        <v>268058</v>
      </c>
      <c r="H39" s="91">
        <f>IF(C39=0,0,ROUNDDOWN(G39*C39,1))</f>
        <v>14073</v>
      </c>
      <c r="I39" s="59">
        <v>0</v>
      </c>
      <c r="J39" s="88">
        <f>IF(C39=0,0,ROUNDDOWN(I39*C39,1))</f>
        <v>0</v>
      </c>
      <c r="K39" s="59">
        <v>0</v>
      </c>
      <c r="L39" s="89">
        <f>IF(C39=0,0,ROUNDDOWN(K39*C39,1))</f>
        <v>0</v>
      </c>
      <c r="M39" s="24" t="s">
        <v>1163</v>
      </c>
      <c r="N39" s="16" t="s">
        <v>1161</v>
      </c>
      <c r="O39" s="6" t="s">
        <v>1162</v>
      </c>
      <c r="P39" s="6" t="s">
        <v>1128</v>
      </c>
      <c r="Z39" s="19" t="str">
        <f ca="1">HYPERLINK("#"&amp;노무비목록표!G2&amp;"!A"&amp;ROW(노무비목록표!A4),"노무    1 →")</f>
        <v>노무    1 →</v>
      </c>
    </row>
    <row r="40" spans="1:26" ht="28.7" customHeight="1" x14ac:dyDescent="0.3">
      <c r="A40" s="9" t="s">
        <v>662</v>
      </c>
      <c r="B40" s="9"/>
      <c r="C40" s="86">
        <v>4.7500000000000001E-2</v>
      </c>
      <c r="D40" s="33" t="s">
        <v>647</v>
      </c>
      <c r="E40" s="62">
        <f t="shared" si="3"/>
        <v>165545</v>
      </c>
      <c r="F40" s="89">
        <f t="shared" si="3"/>
        <v>7863.3</v>
      </c>
      <c r="G40" s="90">
        <f>노무비목록표!E9</f>
        <v>165545</v>
      </c>
      <c r="H40" s="91">
        <f>IF(C40=0,0,ROUNDDOWN(G40*C40,1))</f>
        <v>7863.3</v>
      </c>
      <c r="I40" s="59">
        <v>0</v>
      </c>
      <c r="J40" s="88">
        <f>IF(C40=0,0,ROUNDDOWN(I40*C40,1))</f>
        <v>0</v>
      </c>
      <c r="K40" s="59">
        <v>0</v>
      </c>
      <c r="L40" s="89">
        <f>IF(C40=0,0,ROUNDDOWN(K40*C40,1))</f>
        <v>0</v>
      </c>
      <c r="M40" s="24" t="s">
        <v>1127</v>
      </c>
      <c r="N40" s="16" t="s">
        <v>1125</v>
      </c>
      <c r="O40" s="6" t="s">
        <v>1126</v>
      </c>
      <c r="P40" s="6" t="s">
        <v>1128</v>
      </c>
      <c r="Z40" s="19" t="str">
        <f ca="1">HYPERLINK("#"&amp;노무비목록표!G2&amp;"!A"&amp;ROW(노무비목록표!A9),"노무    6 →")</f>
        <v>노무    6 →</v>
      </c>
    </row>
    <row r="41" spans="1:26" ht="28.7" customHeight="1" x14ac:dyDescent="0.3">
      <c r="A41" s="24" t="s">
        <v>6</v>
      </c>
      <c r="B41" s="58"/>
      <c r="C41" s="58"/>
      <c r="D41" s="58"/>
      <c r="E41" s="58"/>
      <c r="F41" s="55">
        <f>J41+H41+L41</f>
        <v>25821</v>
      </c>
      <c r="G41" s="58"/>
      <c r="H41" s="55">
        <f>ROUNDDOWN(SUMIF(P36:P40,O41,H36:H40),0)</f>
        <v>21936</v>
      </c>
      <c r="I41" s="58"/>
      <c r="J41" s="55">
        <f>ROUNDDOWN(SUMIF(P36:P40,O41,J36:J40),0)</f>
        <v>3885</v>
      </c>
      <c r="K41" s="58"/>
      <c r="L41" s="55">
        <f>ROUNDDOWN(SUMIF(P36:P40,O41,L36:L40),0)</f>
        <v>0</v>
      </c>
      <c r="M41" s="58"/>
      <c r="O41" s="6" t="s">
        <v>1128</v>
      </c>
    </row>
    <row r="42" spans="1:26" ht="28.7" customHeight="1" x14ac:dyDescent="0.3">
      <c r="A42" s="83" t="s">
        <v>38</v>
      </c>
      <c r="B42" s="83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36" t="str">
        <f>HYPERLINK("#N"&amp;ROW(N47),"_x0005_`BDCOD|B00353_x0007_`POSS|"&amp;ROW(N44)&amp;"_x0007_`POSE|"&amp;ROW(N47)&amp;"_x0007_`")</f>
        <v>_x0005_`BDCOD|B00353_x0007_`POSS|44_x0007_`POSE|47_x0007_`</v>
      </c>
    </row>
    <row r="43" spans="1:26" ht="28.7" customHeight="1" x14ac:dyDescent="0.3">
      <c r="A43" s="43" t="s">
        <v>40</v>
      </c>
      <c r="B43" s="43" t="s">
        <v>41</v>
      </c>
      <c r="C43" s="85"/>
      <c r="D43" s="87" t="s">
        <v>42</v>
      </c>
      <c r="E43" s="85"/>
      <c r="F43" s="85"/>
      <c r="G43" s="85"/>
      <c r="H43" s="85"/>
      <c r="I43" s="85"/>
      <c r="J43" s="85"/>
      <c r="K43" s="85"/>
      <c r="L43" s="85"/>
      <c r="M43" s="87" t="s">
        <v>43</v>
      </c>
      <c r="O43" s="6" t="s">
        <v>1164</v>
      </c>
    </row>
    <row r="44" spans="1:26" ht="28.7" customHeight="1" x14ac:dyDescent="0.3">
      <c r="A44" s="9" t="s">
        <v>1114</v>
      </c>
      <c r="B44" s="9" t="s">
        <v>1165</v>
      </c>
      <c r="C44" s="86">
        <v>0</v>
      </c>
      <c r="D44" s="33"/>
      <c r="E44" s="23">
        <v>0</v>
      </c>
      <c r="F44" s="10">
        <v>0</v>
      </c>
      <c r="G44" s="45"/>
      <c r="H44" s="10">
        <v>0</v>
      </c>
      <c r="I44" s="45"/>
      <c r="J44" s="23">
        <v>0</v>
      </c>
      <c r="K44" s="50"/>
      <c r="L44" s="23">
        <v>0</v>
      </c>
      <c r="M44" s="24" t="s">
        <v>1118</v>
      </c>
      <c r="N44" s="16" t="s">
        <v>1116</v>
      </c>
      <c r="O44" s="6" t="s">
        <v>1117</v>
      </c>
      <c r="P44" s="6" t="s">
        <v>1117</v>
      </c>
    </row>
    <row r="45" spans="1:26" ht="28.7" customHeight="1" x14ac:dyDescent="0.3">
      <c r="A45" s="9" t="s">
        <v>653</v>
      </c>
      <c r="B45" s="9"/>
      <c r="C45" s="86">
        <v>7.1999999999999995E-2</v>
      </c>
      <c r="D45" s="33" t="s">
        <v>647</v>
      </c>
      <c r="E45" s="62">
        <f t="shared" ref="E45:F47" si="4">I45+G45+K45</f>
        <v>258935</v>
      </c>
      <c r="F45" s="89">
        <f t="shared" si="4"/>
        <v>18643.3</v>
      </c>
      <c r="G45" s="90">
        <f>노무비목록표!E6</f>
        <v>258935</v>
      </c>
      <c r="H45" s="91">
        <f>IF(C45=0,0,ROUNDDOWN(G45*C45,1))</f>
        <v>18643.3</v>
      </c>
      <c r="I45" s="59">
        <v>0</v>
      </c>
      <c r="J45" s="88">
        <f>IF(C45=0,0,ROUNDDOWN(I45*C45,1))</f>
        <v>0</v>
      </c>
      <c r="K45" s="59">
        <v>0</v>
      </c>
      <c r="L45" s="89">
        <f>IF(C45=0,0,ROUNDDOWN(K45*C45,1))</f>
        <v>0</v>
      </c>
      <c r="M45" s="24" t="s">
        <v>1150</v>
      </c>
      <c r="N45" s="16" t="s">
        <v>1148</v>
      </c>
      <c r="O45" s="6" t="s">
        <v>1149</v>
      </c>
      <c r="P45" s="6" t="s">
        <v>1128</v>
      </c>
      <c r="Z45" s="19" t="str">
        <f ca="1">HYPERLINK("#"&amp;노무비목록표!G2&amp;"!A"&amp;ROW(노무비목록표!A6),"노무    3 →")</f>
        <v>노무    3 →</v>
      </c>
    </row>
    <row r="46" spans="1:26" ht="28.7" customHeight="1" x14ac:dyDescent="0.3">
      <c r="A46" s="9" t="s">
        <v>662</v>
      </c>
      <c r="B46" s="9"/>
      <c r="C46" s="86">
        <v>3.5999999999999997E-2</v>
      </c>
      <c r="D46" s="33" t="s">
        <v>647</v>
      </c>
      <c r="E46" s="62">
        <f t="shared" si="4"/>
        <v>165545</v>
      </c>
      <c r="F46" s="89">
        <f t="shared" si="4"/>
        <v>5959.6</v>
      </c>
      <c r="G46" s="90">
        <f>노무비목록표!E9</f>
        <v>165545</v>
      </c>
      <c r="H46" s="91">
        <f>IF(C46=0,0,ROUNDDOWN(G46*C46,1))</f>
        <v>5959.6</v>
      </c>
      <c r="I46" s="59">
        <v>0</v>
      </c>
      <c r="J46" s="88">
        <f>IF(C46=0,0,ROUNDDOWN(I46*C46,1))</f>
        <v>0</v>
      </c>
      <c r="K46" s="59">
        <v>0</v>
      </c>
      <c r="L46" s="89">
        <f>IF(C46=0,0,ROUNDDOWN(K46*C46,1))</f>
        <v>0</v>
      </c>
      <c r="M46" s="24" t="s">
        <v>1127</v>
      </c>
      <c r="N46" s="16" t="s">
        <v>1125</v>
      </c>
      <c r="O46" s="6" t="s">
        <v>1126</v>
      </c>
      <c r="P46" s="6" t="s">
        <v>1128</v>
      </c>
      <c r="Z46" s="19" t="str">
        <f ca="1">HYPERLINK("#"&amp;노무비목록표!G2&amp;"!A"&amp;ROW(노무비목록표!A9),"노무    6 →")</f>
        <v>노무    6 →</v>
      </c>
    </row>
    <row r="47" spans="1:26" ht="28.7" customHeight="1" x14ac:dyDescent="0.3">
      <c r="A47" s="9" t="s">
        <v>406</v>
      </c>
      <c r="B47" s="9"/>
      <c r="C47" s="86">
        <v>0.27</v>
      </c>
      <c r="D47" s="33" t="s">
        <v>344</v>
      </c>
      <c r="E47" s="62">
        <f t="shared" si="4"/>
        <v>105164</v>
      </c>
      <c r="F47" s="89">
        <f t="shared" si="4"/>
        <v>28394.2</v>
      </c>
      <c r="G47" s="90">
        <f>중기목록표!F23</f>
        <v>55700</v>
      </c>
      <c r="H47" s="92">
        <f>IF(C47=0,0,ROUNDDOWN(G47*C47,1))</f>
        <v>15039</v>
      </c>
      <c r="I47" s="90">
        <f>중기목록표!G23</f>
        <v>18296</v>
      </c>
      <c r="J47" s="92">
        <f>IF(C47=0,0,ROUNDDOWN(I47*C47,1))</f>
        <v>4939.8999999999996</v>
      </c>
      <c r="K47" s="90">
        <f>중기목록표!H23</f>
        <v>31168</v>
      </c>
      <c r="L47" s="92">
        <f>IF(C47=0,0,ROUNDDOWN(K47*C47,1))</f>
        <v>8415.2999999999993</v>
      </c>
      <c r="M47" s="24" t="s">
        <v>1168</v>
      </c>
      <c r="N47" s="16" t="s">
        <v>1166</v>
      </c>
      <c r="O47" s="6" t="s">
        <v>1167</v>
      </c>
      <c r="P47" s="6" t="s">
        <v>1128</v>
      </c>
      <c r="Z47" s="19" t="str">
        <f ca="1">HYPERLINK("#"&amp;중기목록표!J2&amp;"!A"&amp;ROW(중기목록표!A23),"중기   20 →")</f>
        <v>중기   20 →</v>
      </c>
    </row>
    <row r="48" spans="1:26" ht="28.7" customHeight="1" x14ac:dyDescent="0.3">
      <c r="A48" s="24" t="s">
        <v>6</v>
      </c>
      <c r="B48" s="58"/>
      <c r="C48" s="58"/>
      <c r="D48" s="58"/>
      <c r="E48" s="58"/>
      <c r="F48" s="55">
        <f>J48+H48+L48</f>
        <v>52995</v>
      </c>
      <c r="G48" s="58"/>
      <c r="H48" s="55">
        <f>ROUNDDOWN(SUMIF(P44:P47,O48,H44:H47),0)</f>
        <v>39641</v>
      </c>
      <c r="I48" s="58"/>
      <c r="J48" s="55">
        <f>ROUNDDOWN(SUMIF(P44:P47,O48,J44:J47),0)</f>
        <v>4939</v>
      </c>
      <c r="K48" s="58"/>
      <c r="L48" s="55">
        <f>ROUNDDOWN(SUMIF(P44:P47,O48,L44:L47),0)</f>
        <v>8415</v>
      </c>
      <c r="M48" s="58"/>
      <c r="O48" s="6" t="s">
        <v>1128</v>
      </c>
    </row>
    <row r="49" spans="1:26" ht="28.7" customHeight="1" x14ac:dyDescent="0.3">
      <c r="A49" s="83" t="s">
        <v>44</v>
      </c>
      <c r="B49" s="83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36" t="str">
        <f>HYPERLINK("#N"&amp;ROW(N54),"_x0005_`BDCOD|B00363_x0007_`POSS|"&amp;ROW(N51)&amp;"_x0007_`POSE|"&amp;ROW(N54)&amp;"_x0007_`")</f>
        <v>_x0005_`BDCOD|B00363_x0007_`POSS|51_x0007_`POSE|54_x0007_`</v>
      </c>
    </row>
    <row r="50" spans="1:26" ht="28.7" customHeight="1" x14ac:dyDescent="0.3">
      <c r="A50" s="43" t="s">
        <v>46</v>
      </c>
      <c r="B50" s="43" t="s">
        <v>47</v>
      </c>
      <c r="C50" s="85"/>
      <c r="D50" s="87" t="s">
        <v>36</v>
      </c>
      <c r="E50" s="85"/>
      <c r="F50" s="85"/>
      <c r="G50" s="85"/>
      <c r="H50" s="85"/>
      <c r="I50" s="85"/>
      <c r="J50" s="85"/>
      <c r="K50" s="85"/>
      <c r="L50" s="85"/>
      <c r="M50" s="87" t="s">
        <v>48</v>
      </c>
      <c r="O50" s="6" t="s">
        <v>1169</v>
      </c>
    </row>
    <row r="51" spans="1:26" ht="28.7" customHeight="1" x14ac:dyDescent="0.3">
      <c r="A51" s="9" t="s">
        <v>467</v>
      </c>
      <c r="B51" s="9" t="s">
        <v>468</v>
      </c>
      <c r="C51" s="86">
        <v>3.5999999999999997E-2</v>
      </c>
      <c r="D51" s="33" t="s">
        <v>442</v>
      </c>
      <c r="E51" s="62">
        <f t="shared" ref="E51:F54" si="5">I51+G51+K51</f>
        <v>288000</v>
      </c>
      <c r="F51" s="88">
        <f t="shared" si="5"/>
        <v>10368</v>
      </c>
      <c r="G51" s="59">
        <v>0</v>
      </c>
      <c r="H51" s="89">
        <f>IF(C51=0,0,ROUNDDOWN(G51*C51,1))</f>
        <v>0</v>
      </c>
      <c r="I51" s="90">
        <f>재료비목록표!E11</f>
        <v>288000</v>
      </c>
      <c r="J51" s="91">
        <f>IF(C51=0,0,ROUNDDOWN(I51*C51,1))</f>
        <v>10368</v>
      </c>
      <c r="K51" s="59">
        <v>0</v>
      </c>
      <c r="L51" s="89">
        <f>IF(C51=0,0,ROUNDDOWN(K51*C51,1))</f>
        <v>0</v>
      </c>
      <c r="M51" s="24" t="s">
        <v>1172</v>
      </c>
      <c r="N51" s="16" t="s">
        <v>1170</v>
      </c>
      <c r="O51" s="6" t="s">
        <v>1171</v>
      </c>
      <c r="P51" s="6" t="s">
        <v>1128</v>
      </c>
      <c r="Z51" s="19" t="str">
        <f ca="1">HYPERLINK("#"&amp;재료비목록표!G2&amp;"!A"&amp;ROW(재료비목록표!A11),"자재    8 →")</f>
        <v>자재    8 →</v>
      </c>
    </row>
    <row r="52" spans="1:26" ht="28.7" customHeight="1" x14ac:dyDescent="0.3">
      <c r="A52" s="9" t="s">
        <v>108</v>
      </c>
      <c r="B52" s="9" t="s">
        <v>275</v>
      </c>
      <c r="C52" s="86">
        <v>1.4E-2</v>
      </c>
      <c r="D52" s="33" t="s">
        <v>14</v>
      </c>
      <c r="E52" s="62">
        <f t="shared" si="5"/>
        <v>67383</v>
      </c>
      <c r="F52" s="89">
        <f t="shared" si="5"/>
        <v>943.2</v>
      </c>
      <c r="G52" s="90">
        <f>단가산출근거목록표!F33</f>
        <v>66071</v>
      </c>
      <c r="H52" s="92">
        <f>IF(C52=0,0,ROUNDDOWN(G52*C52,1))</f>
        <v>924.9</v>
      </c>
      <c r="I52" s="90">
        <f>단가산출근거목록표!G33</f>
        <v>1008</v>
      </c>
      <c r="J52" s="92">
        <f>IF(C52=0,0,ROUNDDOWN(I52*C52,1))</f>
        <v>14.1</v>
      </c>
      <c r="K52" s="90">
        <f>단가산출근거목록표!H33</f>
        <v>304</v>
      </c>
      <c r="L52" s="92">
        <f>IF(C52=0,0,ROUNDDOWN(K52*C52,1))</f>
        <v>4.2</v>
      </c>
      <c r="M52" s="24" t="s">
        <v>1175</v>
      </c>
      <c r="N52" s="16" t="s">
        <v>1173</v>
      </c>
      <c r="O52" s="6" t="s">
        <v>1174</v>
      </c>
      <c r="P52" s="6" t="s">
        <v>1128</v>
      </c>
      <c r="Z52" s="19" t="str">
        <f ca="1">HYPERLINK("#"&amp;단가산출근거목록표!J2&amp;"!A"&amp;ROW(단가산출근거목록표!A33),"산근   30 →")</f>
        <v>산근   30 →</v>
      </c>
    </row>
    <row r="53" spans="1:26" ht="28.7" customHeight="1" x14ac:dyDescent="0.3">
      <c r="A53" s="9" t="s">
        <v>271</v>
      </c>
      <c r="B53" s="9" t="s">
        <v>272</v>
      </c>
      <c r="C53" s="86">
        <v>0.35</v>
      </c>
      <c r="D53" s="33" t="s">
        <v>42</v>
      </c>
      <c r="E53" s="62">
        <f t="shared" si="5"/>
        <v>36282</v>
      </c>
      <c r="F53" s="89">
        <f t="shared" si="5"/>
        <v>12698.6</v>
      </c>
      <c r="G53" s="90">
        <f>단가산출근거목록표!F32</f>
        <v>31636</v>
      </c>
      <c r="H53" s="92">
        <f>IF(C53=0,0,ROUNDDOWN(G53*C53,1))</f>
        <v>11072.6</v>
      </c>
      <c r="I53" s="90">
        <f>단가산출근거목록표!G32</f>
        <v>3697</v>
      </c>
      <c r="J53" s="92">
        <f>IF(C53=0,0,ROUNDDOWN(I53*C53,1))</f>
        <v>1293.9000000000001</v>
      </c>
      <c r="K53" s="90">
        <f>단가산출근거목록표!H32</f>
        <v>949</v>
      </c>
      <c r="L53" s="92">
        <f>IF(C53=0,0,ROUNDDOWN(K53*C53,1))</f>
        <v>332.1</v>
      </c>
      <c r="M53" s="24" t="s">
        <v>1178</v>
      </c>
      <c r="N53" s="16" t="s">
        <v>1176</v>
      </c>
      <c r="O53" s="6" t="s">
        <v>1177</v>
      </c>
      <c r="P53" s="6" t="s">
        <v>1128</v>
      </c>
      <c r="Z53" s="19" t="str">
        <f ca="1">HYPERLINK("#"&amp;단가산출근거목록표!J2&amp;"!A"&amp;ROW(단가산출근거목록표!A32),"산근   29 →")</f>
        <v>산근   29 →</v>
      </c>
    </row>
    <row r="54" spans="1:26" ht="28.7" customHeight="1" x14ac:dyDescent="0.3">
      <c r="A54" s="9" t="s">
        <v>28</v>
      </c>
      <c r="B54" s="9" t="s">
        <v>29</v>
      </c>
      <c r="C54" s="86">
        <v>19.8</v>
      </c>
      <c r="D54" s="33" t="s">
        <v>30</v>
      </c>
      <c r="E54" s="62">
        <f t="shared" si="5"/>
        <v>20714</v>
      </c>
      <c r="F54" s="89">
        <f t="shared" si="5"/>
        <v>410137.2</v>
      </c>
      <c r="G54" s="90">
        <f>일위대가목록표!F7</f>
        <v>20714</v>
      </c>
      <c r="H54" s="92">
        <f>IF(C54=0,0,ROUNDDOWN(G54*C54,1))</f>
        <v>410137.2</v>
      </c>
      <c r="I54" s="90">
        <f>일위대가목록표!G7</f>
        <v>0</v>
      </c>
      <c r="J54" s="92">
        <f>IF(C54=0,0,ROUNDDOWN(I54*C54,1))</f>
        <v>0</v>
      </c>
      <c r="K54" s="90">
        <f>일위대가목록표!H7</f>
        <v>0</v>
      </c>
      <c r="L54" s="92">
        <f>IF(C54=0,0,ROUNDDOWN(K54*C54,1))</f>
        <v>0</v>
      </c>
      <c r="M54" s="24" t="s">
        <v>1181</v>
      </c>
      <c r="N54" s="16" t="s">
        <v>1179</v>
      </c>
      <c r="O54" s="6" t="s">
        <v>1180</v>
      </c>
      <c r="P54" s="6" t="s">
        <v>1128</v>
      </c>
      <c r="Z54" s="19" t="str">
        <f ca="1">HYPERLINK("#"&amp;일위대가목록표!J2&amp;"!A"&amp;ROW(일위대가목록표!A7),"대가    4 →")</f>
        <v>대가    4 →</v>
      </c>
    </row>
    <row r="55" spans="1:26" ht="28.7" customHeight="1" x14ac:dyDescent="0.3">
      <c r="A55" s="24" t="s">
        <v>6</v>
      </c>
      <c r="B55" s="58"/>
      <c r="C55" s="58"/>
      <c r="D55" s="58"/>
      <c r="E55" s="58"/>
      <c r="F55" s="55">
        <f>J55+H55+L55</f>
        <v>434146</v>
      </c>
      <c r="G55" s="58"/>
      <c r="H55" s="55">
        <f>ROUNDDOWN(SUMIF(P51:P54,O55,H51:H54),0)</f>
        <v>422134</v>
      </c>
      <c r="I55" s="58"/>
      <c r="J55" s="55">
        <f>ROUNDDOWN(SUMIF(P51:P54,O55,J51:J54),0)</f>
        <v>11676</v>
      </c>
      <c r="K55" s="58"/>
      <c r="L55" s="55">
        <f>ROUNDDOWN(SUMIF(P51:P54,O55,L51:L54),0)</f>
        <v>336</v>
      </c>
      <c r="M55" s="58"/>
      <c r="O55" s="6" t="s">
        <v>1128</v>
      </c>
    </row>
    <row r="56" spans="1:26" ht="28.7" customHeight="1" x14ac:dyDescent="0.3">
      <c r="A56" s="83" t="s">
        <v>49</v>
      </c>
      <c r="B56" s="83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36" t="str">
        <f>HYPERLINK("#N"&amp;ROW(N62),"_x0005_`BDCOD|B00467_x0007_`POSS|"&amp;ROW(N58)&amp;"_x0007_`POSE|"&amp;ROW(N62)&amp;"_x0007_`")</f>
        <v>_x0005_`BDCOD|B00467_x0007_`POSS|58_x0007_`POSE|62_x0007_`</v>
      </c>
    </row>
    <row r="57" spans="1:26" ht="28.7" customHeight="1" x14ac:dyDescent="0.3">
      <c r="A57" s="43" t="s">
        <v>34</v>
      </c>
      <c r="B57" s="43" t="s">
        <v>51</v>
      </c>
      <c r="C57" s="85"/>
      <c r="D57" s="87" t="s">
        <v>36</v>
      </c>
      <c r="E57" s="85"/>
      <c r="F57" s="85"/>
      <c r="G57" s="85"/>
      <c r="H57" s="85"/>
      <c r="I57" s="85"/>
      <c r="J57" s="85"/>
      <c r="K57" s="85"/>
      <c r="L57" s="85"/>
      <c r="M57" s="87" t="s">
        <v>52</v>
      </c>
      <c r="O57" s="6" t="s">
        <v>1182</v>
      </c>
    </row>
    <row r="58" spans="1:26" ht="28.7" customHeight="1" x14ac:dyDescent="0.3">
      <c r="A58" s="9" t="s">
        <v>440</v>
      </c>
      <c r="B58" s="9" t="s">
        <v>441</v>
      </c>
      <c r="C58" s="86">
        <v>5.0000000000000001E-3</v>
      </c>
      <c r="D58" s="33" t="s">
        <v>442</v>
      </c>
      <c r="E58" s="62">
        <f t="shared" ref="E58:F62" si="6">I58+G58+K58</f>
        <v>500661</v>
      </c>
      <c r="F58" s="88">
        <f t="shared" si="6"/>
        <v>2503.3000000000002</v>
      </c>
      <c r="G58" s="59">
        <v>0</v>
      </c>
      <c r="H58" s="89">
        <f>IF(C58=0,0,ROUNDDOWN(G58*C58,1))</f>
        <v>0</v>
      </c>
      <c r="I58" s="90">
        <f>재료비목록표!E6</f>
        <v>500661</v>
      </c>
      <c r="J58" s="91">
        <f>IF(C58=0,0,ROUNDDOWN(I58*C58,1))</f>
        <v>2503.3000000000002</v>
      </c>
      <c r="K58" s="59">
        <v>0</v>
      </c>
      <c r="L58" s="89">
        <f>IF(C58=0,0,ROUNDDOWN(K58*C58,1))</f>
        <v>0</v>
      </c>
      <c r="M58" s="24" t="s">
        <v>1154</v>
      </c>
      <c r="N58" s="16" t="s">
        <v>1152</v>
      </c>
      <c r="O58" s="6" t="s">
        <v>1153</v>
      </c>
      <c r="P58" s="6" t="s">
        <v>1128</v>
      </c>
      <c r="Z58" s="19" t="str">
        <f ca="1">HYPERLINK("#"&amp;재료비목록표!G2&amp;"!A"&amp;ROW(재료비목록표!A6),"자재    3 →")</f>
        <v>자재    3 →</v>
      </c>
    </row>
    <row r="59" spans="1:26" ht="28.7" customHeight="1" x14ac:dyDescent="0.3">
      <c r="A59" s="9" t="s">
        <v>452</v>
      </c>
      <c r="B59" s="9" t="s">
        <v>441</v>
      </c>
      <c r="C59" s="86">
        <v>7.6800000000000002E-3</v>
      </c>
      <c r="D59" s="33" t="s">
        <v>442</v>
      </c>
      <c r="E59" s="62">
        <f t="shared" si="6"/>
        <v>572185</v>
      </c>
      <c r="F59" s="88">
        <f t="shared" si="6"/>
        <v>4394.3</v>
      </c>
      <c r="G59" s="59">
        <v>0</v>
      </c>
      <c r="H59" s="89">
        <f>IF(C59=0,0,ROUNDDOWN(G59*C59,1))</f>
        <v>0</v>
      </c>
      <c r="I59" s="90">
        <f>재료비목록표!E8</f>
        <v>572185</v>
      </c>
      <c r="J59" s="91">
        <f>IF(C59=0,0,ROUNDDOWN(I59*C59,1))</f>
        <v>4394.3</v>
      </c>
      <c r="K59" s="59">
        <v>0</v>
      </c>
      <c r="L59" s="89">
        <f>IF(C59=0,0,ROUNDDOWN(K59*C59,1))</f>
        <v>0</v>
      </c>
      <c r="M59" s="24" t="s">
        <v>1157</v>
      </c>
      <c r="N59" s="16" t="s">
        <v>1155</v>
      </c>
      <c r="O59" s="6" t="s">
        <v>1156</v>
      </c>
      <c r="P59" s="6" t="s">
        <v>1128</v>
      </c>
      <c r="Z59" s="19" t="str">
        <f ca="1">HYPERLINK("#"&amp;재료비목록표!G2&amp;"!A"&amp;ROW(재료비목록표!A8),"자재    5 →")</f>
        <v>자재    5 →</v>
      </c>
    </row>
    <row r="60" spans="1:26" ht="28.7" customHeight="1" x14ac:dyDescent="0.3">
      <c r="A60" s="9" t="s">
        <v>446</v>
      </c>
      <c r="B60" s="9" t="s">
        <v>447</v>
      </c>
      <c r="C60" s="86">
        <v>0.03</v>
      </c>
      <c r="D60" s="33" t="s">
        <v>448</v>
      </c>
      <c r="E60" s="62">
        <f t="shared" si="6"/>
        <v>1503</v>
      </c>
      <c r="F60" s="88">
        <f t="shared" si="6"/>
        <v>45</v>
      </c>
      <c r="G60" s="59">
        <v>0</v>
      </c>
      <c r="H60" s="89">
        <f>IF(C60=0,0,ROUNDDOWN(G60*C60,1))</f>
        <v>0</v>
      </c>
      <c r="I60" s="90">
        <f>재료비목록표!E7</f>
        <v>1503</v>
      </c>
      <c r="J60" s="91">
        <f>IF(C60=0,0,ROUNDDOWN(I60*C60,1))</f>
        <v>45</v>
      </c>
      <c r="K60" s="59">
        <v>0</v>
      </c>
      <c r="L60" s="89">
        <f>IF(C60=0,0,ROUNDDOWN(K60*C60,1))</f>
        <v>0</v>
      </c>
      <c r="M60" s="24" t="s">
        <v>1160</v>
      </c>
      <c r="N60" s="16" t="s">
        <v>1158</v>
      </c>
      <c r="O60" s="6" t="s">
        <v>1159</v>
      </c>
      <c r="P60" s="6" t="s">
        <v>1128</v>
      </c>
      <c r="Z60" s="19" t="str">
        <f ca="1">HYPERLINK("#"&amp;재료비목록표!G2&amp;"!A"&amp;ROW(재료비목록표!A7),"자재    4 →")</f>
        <v>자재    4 →</v>
      </c>
    </row>
    <row r="61" spans="1:26" ht="28.7" customHeight="1" x14ac:dyDescent="0.3">
      <c r="A61" s="9" t="s">
        <v>646</v>
      </c>
      <c r="B61" s="9"/>
      <c r="C61" s="86">
        <v>0.08</v>
      </c>
      <c r="D61" s="33" t="s">
        <v>647</v>
      </c>
      <c r="E61" s="62">
        <f t="shared" si="6"/>
        <v>268058</v>
      </c>
      <c r="F61" s="89">
        <f t="shared" si="6"/>
        <v>21444.6</v>
      </c>
      <c r="G61" s="90">
        <f>노무비목록표!E4</f>
        <v>268058</v>
      </c>
      <c r="H61" s="91">
        <f>IF(C61=0,0,ROUNDDOWN(G61*C61,1))</f>
        <v>21444.6</v>
      </c>
      <c r="I61" s="59">
        <v>0</v>
      </c>
      <c r="J61" s="88">
        <f>IF(C61=0,0,ROUNDDOWN(I61*C61,1))</f>
        <v>0</v>
      </c>
      <c r="K61" s="59">
        <v>0</v>
      </c>
      <c r="L61" s="89">
        <f>IF(C61=0,0,ROUNDDOWN(K61*C61,1))</f>
        <v>0</v>
      </c>
      <c r="M61" s="24" t="s">
        <v>1163</v>
      </c>
      <c r="N61" s="16" t="s">
        <v>1161</v>
      </c>
      <c r="O61" s="6" t="s">
        <v>1162</v>
      </c>
      <c r="P61" s="6" t="s">
        <v>1128</v>
      </c>
      <c r="Z61" s="19" t="str">
        <f ca="1">HYPERLINK("#"&amp;노무비목록표!G2&amp;"!A"&amp;ROW(노무비목록표!A4),"노무    1 →")</f>
        <v>노무    1 →</v>
      </c>
    </row>
    <row r="62" spans="1:26" ht="28.7" customHeight="1" x14ac:dyDescent="0.3">
      <c r="A62" s="9" t="s">
        <v>662</v>
      </c>
      <c r="B62" s="9"/>
      <c r="C62" s="86">
        <v>7.0000000000000007E-2</v>
      </c>
      <c r="D62" s="33" t="s">
        <v>647</v>
      </c>
      <c r="E62" s="62">
        <f t="shared" si="6"/>
        <v>165545</v>
      </c>
      <c r="F62" s="89">
        <f t="shared" si="6"/>
        <v>11588.1</v>
      </c>
      <c r="G62" s="90">
        <f>노무비목록표!E9</f>
        <v>165545</v>
      </c>
      <c r="H62" s="91">
        <f>IF(C62=0,0,ROUNDDOWN(G62*C62,1))</f>
        <v>11588.1</v>
      </c>
      <c r="I62" s="59">
        <v>0</v>
      </c>
      <c r="J62" s="88">
        <f>IF(C62=0,0,ROUNDDOWN(I62*C62,1))</f>
        <v>0</v>
      </c>
      <c r="K62" s="59">
        <v>0</v>
      </c>
      <c r="L62" s="89">
        <f>IF(C62=0,0,ROUNDDOWN(K62*C62,1))</f>
        <v>0</v>
      </c>
      <c r="M62" s="24" t="s">
        <v>1127</v>
      </c>
      <c r="N62" s="16" t="s">
        <v>1125</v>
      </c>
      <c r="O62" s="6" t="s">
        <v>1126</v>
      </c>
      <c r="P62" s="6" t="s">
        <v>1128</v>
      </c>
      <c r="Z62" s="19" t="str">
        <f ca="1">HYPERLINK("#"&amp;노무비목록표!G2&amp;"!A"&amp;ROW(노무비목록표!A9),"노무    6 →")</f>
        <v>노무    6 →</v>
      </c>
    </row>
    <row r="63" spans="1:26" ht="28.7" customHeight="1" x14ac:dyDescent="0.3">
      <c r="A63" s="24" t="s">
        <v>6</v>
      </c>
      <c r="B63" s="58"/>
      <c r="C63" s="58"/>
      <c r="D63" s="58"/>
      <c r="E63" s="58"/>
      <c r="F63" s="55">
        <f>J63+H63+L63</f>
        <v>39974</v>
      </c>
      <c r="G63" s="58"/>
      <c r="H63" s="55">
        <f>ROUNDDOWN(SUMIF(P58:P62,O63,H58:H62),0)</f>
        <v>33032</v>
      </c>
      <c r="I63" s="58"/>
      <c r="J63" s="55">
        <f>ROUNDDOWN(SUMIF(P58:P62,O63,J58:J62),0)</f>
        <v>6942</v>
      </c>
      <c r="K63" s="58"/>
      <c r="L63" s="55">
        <f>ROUNDDOWN(SUMIF(P58:P62,O63,L58:L62),0)</f>
        <v>0</v>
      </c>
      <c r="M63" s="58"/>
      <c r="O63" s="6" t="s">
        <v>1128</v>
      </c>
    </row>
    <row r="64" spans="1:26" ht="28.7" customHeight="1" x14ac:dyDescent="0.3">
      <c r="A64" s="83" t="s">
        <v>53</v>
      </c>
      <c r="B64" s="83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36" t="str">
        <f>HYPERLINK("#N"&amp;ROW(N69),"_x0005_`BDCOD|B00839_x0007_`POSS|"&amp;ROW(N66)&amp;"_x0007_`POSE|"&amp;ROW(N69)&amp;"_x0007_`")</f>
        <v>_x0005_`BDCOD|B00839_x0007_`POSS|66_x0007_`POSE|69_x0007_`</v>
      </c>
    </row>
    <row r="65" spans="1:26" ht="28.7" customHeight="1" x14ac:dyDescent="0.3">
      <c r="A65" s="43" t="s">
        <v>55</v>
      </c>
      <c r="B65" s="43" t="s">
        <v>41</v>
      </c>
      <c r="C65" s="85"/>
      <c r="D65" s="87" t="s">
        <v>42</v>
      </c>
      <c r="E65" s="85"/>
      <c r="F65" s="85"/>
      <c r="G65" s="85"/>
      <c r="H65" s="85"/>
      <c r="I65" s="85"/>
      <c r="J65" s="85"/>
      <c r="K65" s="85"/>
      <c r="L65" s="85"/>
      <c r="M65" s="87" t="s">
        <v>56</v>
      </c>
      <c r="O65" s="6" t="s">
        <v>1183</v>
      </c>
    </row>
    <row r="66" spans="1:26" ht="28.7" customHeight="1" x14ac:dyDescent="0.3">
      <c r="A66" s="9" t="s">
        <v>1184</v>
      </c>
      <c r="B66" s="9" t="s">
        <v>55</v>
      </c>
      <c r="C66" s="86">
        <v>0</v>
      </c>
      <c r="D66" s="33"/>
      <c r="E66" s="23">
        <v>0</v>
      </c>
      <c r="F66" s="10">
        <v>0</v>
      </c>
      <c r="G66" s="45"/>
      <c r="H66" s="10">
        <v>0</v>
      </c>
      <c r="I66" s="45"/>
      <c r="J66" s="23">
        <v>0</v>
      </c>
      <c r="K66" s="50"/>
      <c r="L66" s="23">
        <v>0</v>
      </c>
      <c r="M66" s="24" t="s">
        <v>1118</v>
      </c>
      <c r="N66" s="16" t="s">
        <v>1116</v>
      </c>
      <c r="O66" s="6" t="s">
        <v>1117</v>
      </c>
      <c r="P66" s="6" t="s">
        <v>1117</v>
      </c>
    </row>
    <row r="67" spans="1:26" ht="28.7" customHeight="1" x14ac:dyDescent="0.3">
      <c r="A67" s="9" t="s">
        <v>653</v>
      </c>
      <c r="B67" s="9"/>
      <c r="C67" s="86">
        <v>0.1</v>
      </c>
      <c r="D67" s="33" t="s">
        <v>647</v>
      </c>
      <c r="E67" s="62">
        <f t="shared" ref="E67:F69" si="7">I67+G67+K67</f>
        <v>258935</v>
      </c>
      <c r="F67" s="89">
        <f t="shared" si="7"/>
        <v>25893.5</v>
      </c>
      <c r="G67" s="90">
        <f>노무비목록표!E6</f>
        <v>258935</v>
      </c>
      <c r="H67" s="91">
        <f>IF(C67=0,0,ROUNDDOWN(G67*C67,1))</f>
        <v>25893.5</v>
      </c>
      <c r="I67" s="59">
        <v>0</v>
      </c>
      <c r="J67" s="88">
        <f>IF(C67=0,0,ROUNDDOWN(I67*C67,1))</f>
        <v>0</v>
      </c>
      <c r="K67" s="59">
        <v>0</v>
      </c>
      <c r="L67" s="89">
        <f>IF(C67=0,0,ROUNDDOWN(K67*C67,1))</f>
        <v>0</v>
      </c>
      <c r="M67" s="24" t="s">
        <v>1150</v>
      </c>
      <c r="N67" s="16" t="s">
        <v>1148</v>
      </c>
      <c r="O67" s="6" t="s">
        <v>1149</v>
      </c>
      <c r="P67" s="6" t="s">
        <v>1128</v>
      </c>
      <c r="Z67" s="19" t="str">
        <f ca="1">HYPERLINK("#"&amp;노무비목록표!G2&amp;"!A"&amp;ROW(노무비목록표!A6),"노무    3 →")</f>
        <v>노무    3 →</v>
      </c>
    </row>
    <row r="68" spans="1:26" ht="28.7" customHeight="1" x14ac:dyDescent="0.3">
      <c r="A68" s="9" t="s">
        <v>662</v>
      </c>
      <c r="B68" s="9"/>
      <c r="C68" s="86">
        <v>0.03</v>
      </c>
      <c r="D68" s="33" t="s">
        <v>647</v>
      </c>
      <c r="E68" s="62">
        <f t="shared" si="7"/>
        <v>165545</v>
      </c>
      <c r="F68" s="89">
        <f t="shared" si="7"/>
        <v>4966.3</v>
      </c>
      <c r="G68" s="90">
        <f>노무비목록표!E9</f>
        <v>165545</v>
      </c>
      <c r="H68" s="91">
        <f>IF(C68=0,0,ROUNDDOWN(G68*C68,1))</f>
        <v>4966.3</v>
      </c>
      <c r="I68" s="59">
        <v>0</v>
      </c>
      <c r="J68" s="88">
        <f>IF(C68=0,0,ROUNDDOWN(I68*C68,1))</f>
        <v>0</v>
      </c>
      <c r="K68" s="59">
        <v>0</v>
      </c>
      <c r="L68" s="89">
        <f>IF(C68=0,0,ROUNDDOWN(K68*C68,1))</f>
        <v>0</v>
      </c>
      <c r="M68" s="24" t="s">
        <v>1127</v>
      </c>
      <c r="N68" s="16" t="s">
        <v>1125</v>
      </c>
      <c r="O68" s="6" t="s">
        <v>1126</v>
      </c>
      <c r="P68" s="6" t="s">
        <v>1128</v>
      </c>
      <c r="Z68" s="19" t="str">
        <f ca="1">HYPERLINK("#"&amp;노무비목록표!G2&amp;"!A"&amp;ROW(노무비목록표!A9),"노무    6 →")</f>
        <v>노무    6 →</v>
      </c>
    </row>
    <row r="69" spans="1:26" ht="28.7" customHeight="1" x14ac:dyDescent="0.3">
      <c r="A69" s="9" t="s">
        <v>406</v>
      </c>
      <c r="B69" s="9"/>
      <c r="C69" s="86">
        <v>0.21</v>
      </c>
      <c r="D69" s="33" t="s">
        <v>344</v>
      </c>
      <c r="E69" s="62">
        <f t="shared" si="7"/>
        <v>105164</v>
      </c>
      <c r="F69" s="89">
        <f t="shared" si="7"/>
        <v>22084.3</v>
      </c>
      <c r="G69" s="90">
        <f>중기목록표!F23</f>
        <v>55700</v>
      </c>
      <c r="H69" s="92">
        <f>IF(C69=0,0,ROUNDDOWN(G69*C69,1))</f>
        <v>11697</v>
      </c>
      <c r="I69" s="90">
        <f>중기목록표!G23</f>
        <v>18296</v>
      </c>
      <c r="J69" s="92">
        <f>IF(C69=0,0,ROUNDDOWN(I69*C69,1))</f>
        <v>3842.1</v>
      </c>
      <c r="K69" s="90">
        <f>중기목록표!H23</f>
        <v>31168</v>
      </c>
      <c r="L69" s="92">
        <f>IF(C69=0,0,ROUNDDOWN(K69*C69,1))</f>
        <v>6545.2</v>
      </c>
      <c r="M69" s="24" t="s">
        <v>1168</v>
      </c>
      <c r="N69" s="16" t="s">
        <v>1166</v>
      </c>
      <c r="O69" s="6" t="s">
        <v>1167</v>
      </c>
      <c r="P69" s="6" t="s">
        <v>1128</v>
      </c>
      <c r="Z69" s="19" t="str">
        <f ca="1">HYPERLINK("#"&amp;중기목록표!J2&amp;"!A"&amp;ROW(중기목록표!A23),"중기   20 →")</f>
        <v>중기   20 →</v>
      </c>
    </row>
    <row r="70" spans="1:26" ht="28.7" customHeight="1" x14ac:dyDescent="0.3">
      <c r="A70" s="24" t="s">
        <v>6</v>
      </c>
      <c r="B70" s="58"/>
      <c r="C70" s="58"/>
      <c r="D70" s="58"/>
      <c r="E70" s="58"/>
      <c r="F70" s="55">
        <f>J70+H70+L70</f>
        <v>52943</v>
      </c>
      <c r="G70" s="58"/>
      <c r="H70" s="55">
        <f>ROUNDDOWN(SUMIF(P66:P69,O70,H66:H69),0)</f>
        <v>42556</v>
      </c>
      <c r="I70" s="58"/>
      <c r="J70" s="55">
        <f>ROUNDDOWN(SUMIF(P66:P69,O70,J66:J69),0)</f>
        <v>3842</v>
      </c>
      <c r="K70" s="58"/>
      <c r="L70" s="55">
        <f>ROUNDDOWN(SUMIF(P66:P69,O70,L66:L69),0)</f>
        <v>6545</v>
      </c>
      <c r="M70" s="58"/>
      <c r="O70" s="6" t="s">
        <v>1128</v>
      </c>
    </row>
    <row r="71" spans="1:26" ht="28.7" customHeight="1" x14ac:dyDescent="0.3">
      <c r="A71" s="83" t="s">
        <v>57</v>
      </c>
      <c r="B71" s="83"/>
      <c r="C71" s="84"/>
      <c r="D71" s="84"/>
      <c r="E71" s="84"/>
      <c r="F71" s="84"/>
      <c r="G71" s="84"/>
      <c r="H71" s="84"/>
      <c r="I71" s="84"/>
      <c r="J71" s="84"/>
      <c r="K71" s="84"/>
      <c r="L71" s="84"/>
      <c r="M71" s="84"/>
      <c r="N71" s="36" t="str">
        <f>HYPERLINK("#N"&amp;ROW(N76),"_x0005_`BDCOD|B00866_x0007_`POSS|"&amp;ROW(N73)&amp;"_x0007_`POSE|"&amp;ROW(N76)&amp;"_x0007_`")</f>
        <v>_x0005_`BDCOD|B00866_x0007_`POSS|73_x0007_`POSE|76_x0007_`</v>
      </c>
    </row>
    <row r="72" spans="1:26" ht="28.7" customHeight="1" x14ac:dyDescent="0.3">
      <c r="A72" s="43" t="s">
        <v>55</v>
      </c>
      <c r="B72" s="43" t="s">
        <v>59</v>
      </c>
      <c r="C72" s="85"/>
      <c r="D72" s="87" t="s">
        <v>42</v>
      </c>
      <c r="E72" s="85"/>
      <c r="F72" s="85"/>
      <c r="G72" s="85"/>
      <c r="H72" s="85"/>
      <c r="I72" s="85"/>
      <c r="J72" s="85"/>
      <c r="K72" s="85"/>
      <c r="L72" s="85"/>
      <c r="M72" s="87" t="s">
        <v>60</v>
      </c>
      <c r="O72" s="6" t="s">
        <v>1185</v>
      </c>
    </row>
    <row r="73" spans="1:26" ht="28.7" customHeight="1" x14ac:dyDescent="0.3">
      <c r="A73" s="9" t="s">
        <v>1114</v>
      </c>
      <c r="B73" s="9" t="s">
        <v>1186</v>
      </c>
      <c r="C73" s="86">
        <v>0</v>
      </c>
      <c r="D73" s="33"/>
      <c r="E73" s="23">
        <v>0</v>
      </c>
      <c r="F73" s="10">
        <v>0</v>
      </c>
      <c r="G73" s="45"/>
      <c r="H73" s="10">
        <v>0</v>
      </c>
      <c r="I73" s="45"/>
      <c r="J73" s="23">
        <v>0</v>
      </c>
      <c r="K73" s="50"/>
      <c r="L73" s="23">
        <v>0</v>
      </c>
      <c r="M73" s="24" t="s">
        <v>1118</v>
      </c>
      <c r="N73" s="16" t="s">
        <v>1116</v>
      </c>
      <c r="O73" s="6" t="s">
        <v>1117</v>
      </c>
      <c r="P73" s="6" t="s">
        <v>1117</v>
      </c>
    </row>
    <row r="74" spans="1:26" ht="28.7" customHeight="1" x14ac:dyDescent="0.3">
      <c r="A74" s="9" t="s">
        <v>653</v>
      </c>
      <c r="B74" s="9"/>
      <c r="C74" s="86">
        <v>0.11</v>
      </c>
      <c r="D74" s="33" t="s">
        <v>647</v>
      </c>
      <c r="E74" s="62">
        <f t="shared" ref="E74:F76" si="8">I74+G74+K74</f>
        <v>258935</v>
      </c>
      <c r="F74" s="89">
        <f t="shared" si="8"/>
        <v>28482.799999999999</v>
      </c>
      <c r="G74" s="90">
        <f>노무비목록표!E6</f>
        <v>258935</v>
      </c>
      <c r="H74" s="91">
        <f>IF(C74=0,0,ROUNDDOWN(G74*C74,1))</f>
        <v>28482.799999999999</v>
      </c>
      <c r="I74" s="59">
        <v>0</v>
      </c>
      <c r="J74" s="88">
        <f>IF(C74=0,0,ROUNDDOWN(I74*C74,1))</f>
        <v>0</v>
      </c>
      <c r="K74" s="59">
        <v>0</v>
      </c>
      <c r="L74" s="89">
        <f>IF(C74=0,0,ROUNDDOWN(K74*C74,1))</f>
        <v>0</v>
      </c>
      <c r="M74" s="24" t="s">
        <v>1150</v>
      </c>
      <c r="N74" s="16" t="s">
        <v>1148</v>
      </c>
      <c r="O74" s="6" t="s">
        <v>1149</v>
      </c>
      <c r="P74" s="6" t="s">
        <v>1128</v>
      </c>
      <c r="Z74" s="19" t="str">
        <f ca="1">HYPERLINK("#"&amp;노무비목록표!G2&amp;"!A"&amp;ROW(노무비목록표!A6),"노무    3 →")</f>
        <v>노무    3 →</v>
      </c>
    </row>
    <row r="75" spans="1:26" ht="28.7" customHeight="1" x14ac:dyDescent="0.3">
      <c r="A75" s="9" t="s">
        <v>662</v>
      </c>
      <c r="B75" s="9"/>
      <c r="C75" s="86">
        <v>0.04</v>
      </c>
      <c r="D75" s="33" t="s">
        <v>647</v>
      </c>
      <c r="E75" s="62">
        <f t="shared" si="8"/>
        <v>165545</v>
      </c>
      <c r="F75" s="89">
        <f t="shared" si="8"/>
        <v>6621.8</v>
      </c>
      <c r="G75" s="90">
        <f>노무비목록표!E9</f>
        <v>165545</v>
      </c>
      <c r="H75" s="91">
        <f>IF(C75=0,0,ROUNDDOWN(G75*C75,1))</f>
        <v>6621.8</v>
      </c>
      <c r="I75" s="59">
        <v>0</v>
      </c>
      <c r="J75" s="88">
        <f>IF(C75=0,0,ROUNDDOWN(I75*C75,1))</f>
        <v>0</v>
      </c>
      <c r="K75" s="59">
        <v>0</v>
      </c>
      <c r="L75" s="89">
        <f>IF(C75=0,0,ROUNDDOWN(K75*C75,1))</f>
        <v>0</v>
      </c>
      <c r="M75" s="24" t="s">
        <v>1127</v>
      </c>
      <c r="N75" s="16" t="s">
        <v>1125</v>
      </c>
      <c r="O75" s="6" t="s">
        <v>1126</v>
      </c>
      <c r="P75" s="6" t="s">
        <v>1128</v>
      </c>
      <c r="Z75" s="19" t="str">
        <f ca="1">HYPERLINK("#"&amp;노무비목록표!G2&amp;"!A"&amp;ROW(노무비목록표!A9),"노무    6 →")</f>
        <v>노무    6 →</v>
      </c>
    </row>
    <row r="76" spans="1:26" ht="28.7" customHeight="1" x14ac:dyDescent="0.3">
      <c r="A76" s="9" t="s">
        <v>406</v>
      </c>
      <c r="B76" s="9"/>
      <c r="C76" s="86">
        <v>0.22</v>
      </c>
      <c r="D76" s="33" t="s">
        <v>344</v>
      </c>
      <c r="E76" s="62">
        <f t="shared" si="8"/>
        <v>105164</v>
      </c>
      <c r="F76" s="89">
        <f t="shared" si="8"/>
        <v>23136</v>
      </c>
      <c r="G76" s="90">
        <f>중기목록표!F23</f>
        <v>55700</v>
      </c>
      <c r="H76" s="92">
        <f>IF(C76=0,0,ROUNDDOWN(G76*C76,1))</f>
        <v>12254</v>
      </c>
      <c r="I76" s="90">
        <f>중기목록표!G23</f>
        <v>18296</v>
      </c>
      <c r="J76" s="92">
        <f>IF(C76=0,0,ROUNDDOWN(I76*C76,1))</f>
        <v>4025.1</v>
      </c>
      <c r="K76" s="90">
        <f>중기목록표!H23</f>
        <v>31168</v>
      </c>
      <c r="L76" s="92">
        <f>IF(C76=0,0,ROUNDDOWN(K76*C76,1))</f>
        <v>6856.9</v>
      </c>
      <c r="M76" s="24" t="s">
        <v>1168</v>
      </c>
      <c r="N76" s="16" t="s">
        <v>1166</v>
      </c>
      <c r="O76" s="6" t="s">
        <v>1167</v>
      </c>
      <c r="P76" s="6" t="s">
        <v>1128</v>
      </c>
      <c r="Z76" s="19" t="str">
        <f ca="1">HYPERLINK("#"&amp;중기목록표!J2&amp;"!A"&amp;ROW(중기목록표!A23),"중기   20 →")</f>
        <v>중기   20 →</v>
      </c>
    </row>
    <row r="77" spans="1:26" ht="28.7" customHeight="1" x14ac:dyDescent="0.3">
      <c r="A77" s="24" t="s">
        <v>6</v>
      </c>
      <c r="B77" s="58"/>
      <c r="C77" s="58"/>
      <c r="D77" s="58"/>
      <c r="E77" s="58"/>
      <c r="F77" s="55">
        <f>J77+H77+L77</f>
        <v>58239</v>
      </c>
      <c r="G77" s="58"/>
      <c r="H77" s="55">
        <f>ROUNDDOWN(SUMIF(P73:P76,O77,H73:H76),0)</f>
        <v>47358</v>
      </c>
      <c r="I77" s="58"/>
      <c r="J77" s="55">
        <f>ROUNDDOWN(SUMIF(P73:P76,O77,J73:J76),0)</f>
        <v>4025</v>
      </c>
      <c r="K77" s="58"/>
      <c r="L77" s="55">
        <f>ROUNDDOWN(SUMIF(P73:P76,O77,L73:L76),0)</f>
        <v>6856</v>
      </c>
      <c r="M77" s="58"/>
      <c r="O77" s="6" t="s">
        <v>1128</v>
      </c>
    </row>
    <row r="78" spans="1:26" ht="28.7" customHeight="1" x14ac:dyDescent="0.3">
      <c r="A78" s="83" t="s">
        <v>61</v>
      </c>
      <c r="B78" s="83"/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84"/>
      <c r="N78" s="36" t="str">
        <f>HYPERLINK("#N"&amp;ROW(N83),"_x0005_`BDCOD|B00884_x0007_`POSS|"&amp;ROW(N80)&amp;"_x0007_`POSE|"&amp;ROW(N83)&amp;"_x0007_`")</f>
        <v>_x0005_`BDCOD|B00884_x0007_`POSS|80_x0007_`POSE|83_x0007_`</v>
      </c>
    </row>
    <row r="79" spans="1:26" ht="28.7" customHeight="1" x14ac:dyDescent="0.3">
      <c r="A79" s="43" t="s">
        <v>63</v>
      </c>
      <c r="B79" s="43" t="s">
        <v>41</v>
      </c>
      <c r="C79" s="85"/>
      <c r="D79" s="87" t="s">
        <v>42</v>
      </c>
      <c r="E79" s="85"/>
      <c r="F79" s="85"/>
      <c r="G79" s="85"/>
      <c r="H79" s="85"/>
      <c r="I79" s="85"/>
      <c r="J79" s="85"/>
      <c r="K79" s="85"/>
      <c r="L79" s="85"/>
      <c r="M79" s="87" t="s">
        <v>64</v>
      </c>
      <c r="O79" s="6" t="s">
        <v>1187</v>
      </c>
    </row>
    <row r="80" spans="1:26" ht="28.7" customHeight="1" x14ac:dyDescent="0.3">
      <c r="A80" s="9" t="s">
        <v>1114</v>
      </c>
      <c r="B80" s="9" t="s">
        <v>1188</v>
      </c>
      <c r="C80" s="86">
        <v>0</v>
      </c>
      <c r="D80" s="33"/>
      <c r="E80" s="23">
        <v>0</v>
      </c>
      <c r="F80" s="10">
        <v>0</v>
      </c>
      <c r="G80" s="45"/>
      <c r="H80" s="10">
        <v>0</v>
      </c>
      <c r="I80" s="45"/>
      <c r="J80" s="23">
        <v>0</v>
      </c>
      <c r="K80" s="50"/>
      <c r="L80" s="23">
        <v>0</v>
      </c>
      <c r="M80" s="24" t="s">
        <v>1118</v>
      </c>
      <c r="N80" s="16" t="s">
        <v>1116</v>
      </c>
      <c r="O80" s="6" t="s">
        <v>1117</v>
      </c>
      <c r="P80" s="6" t="s">
        <v>1117</v>
      </c>
    </row>
    <row r="81" spans="1:26" ht="28.7" customHeight="1" x14ac:dyDescent="0.3">
      <c r="A81" s="9" t="s">
        <v>653</v>
      </c>
      <c r="B81" s="9"/>
      <c r="C81" s="86">
        <v>0.09</v>
      </c>
      <c r="D81" s="33" t="s">
        <v>647</v>
      </c>
      <c r="E81" s="62">
        <f t="shared" ref="E81:F83" si="9">I81+G81+K81</f>
        <v>258935</v>
      </c>
      <c r="F81" s="89">
        <f t="shared" si="9"/>
        <v>23304.1</v>
      </c>
      <c r="G81" s="90">
        <f>노무비목록표!E6</f>
        <v>258935</v>
      </c>
      <c r="H81" s="91">
        <f>IF(C81=0,0,ROUNDDOWN(G81*C81,1))</f>
        <v>23304.1</v>
      </c>
      <c r="I81" s="59">
        <v>0</v>
      </c>
      <c r="J81" s="88">
        <f>IF(C81=0,0,ROUNDDOWN(I81*C81,1))</f>
        <v>0</v>
      </c>
      <c r="K81" s="59">
        <v>0</v>
      </c>
      <c r="L81" s="89">
        <f>IF(C81=0,0,ROUNDDOWN(K81*C81,1))</f>
        <v>0</v>
      </c>
      <c r="M81" s="24" t="s">
        <v>1150</v>
      </c>
      <c r="N81" s="16" t="s">
        <v>1148</v>
      </c>
      <c r="O81" s="6" t="s">
        <v>1149</v>
      </c>
      <c r="P81" s="6" t="s">
        <v>1128</v>
      </c>
      <c r="Z81" s="19" t="str">
        <f ca="1">HYPERLINK("#"&amp;노무비목록표!G2&amp;"!A"&amp;ROW(노무비목록표!A6),"노무    3 →")</f>
        <v>노무    3 →</v>
      </c>
    </row>
    <row r="82" spans="1:26" ht="28.7" customHeight="1" x14ac:dyDescent="0.3">
      <c r="A82" s="9" t="s">
        <v>662</v>
      </c>
      <c r="B82" s="9"/>
      <c r="C82" s="86">
        <v>0.04</v>
      </c>
      <c r="D82" s="33" t="s">
        <v>647</v>
      </c>
      <c r="E82" s="62">
        <f t="shared" si="9"/>
        <v>165545</v>
      </c>
      <c r="F82" s="89">
        <f t="shared" si="9"/>
        <v>6621.8</v>
      </c>
      <c r="G82" s="90">
        <f>노무비목록표!E9</f>
        <v>165545</v>
      </c>
      <c r="H82" s="91">
        <f>IF(C82=0,0,ROUNDDOWN(G82*C82,1))</f>
        <v>6621.8</v>
      </c>
      <c r="I82" s="59">
        <v>0</v>
      </c>
      <c r="J82" s="88">
        <f>IF(C82=0,0,ROUNDDOWN(I82*C82,1))</f>
        <v>0</v>
      </c>
      <c r="K82" s="59">
        <v>0</v>
      </c>
      <c r="L82" s="89">
        <f>IF(C82=0,0,ROUNDDOWN(K82*C82,1))</f>
        <v>0</v>
      </c>
      <c r="M82" s="24" t="s">
        <v>1127</v>
      </c>
      <c r="N82" s="16" t="s">
        <v>1125</v>
      </c>
      <c r="O82" s="6" t="s">
        <v>1126</v>
      </c>
      <c r="P82" s="6" t="s">
        <v>1128</v>
      </c>
      <c r="Z82" s="19" t="str">
        <f ca="1">HYPERLINK("#"&amp;노무비목록표!G2&amp;"!A"&amp;ROW(노무비목록표!A9),"노무    6 →")</f>
        <v>노무    6 →</v>
      </c>
    </row>
    <row r="83" spans="1:26" ht="28.7" customHeight="1" x14ac:dyDescent="0.3">
      <c r="A83" s="9" t="s">
        <v>406</v>
      </c>
      <c r="B83" s="9"/>
      <c r="C83" s="86">
        <v>0.37</v>
      </c>
      <c r="D83" s="33" t="s">
        <v>344</v>
      </c>
      <c r="E83" s="62">
        <f t="shared" si="9"/>
        <v>105164</v>
      </c>
      <c r="F83" s="89">
        <f t="shared" si="9"/>
        <v>38910.6</v>
      </c>
      <c r="G83" s="90">
        <f>중기목록표!F23</f>
        <v>55700</v>
      </c>
      <c r="H83" s="92">
        <f>IF(C83=0,0,ROUNDDOWN(G83*C83,1))</f>
        <v>20609</v>
      </c>
      <c r="I83" s="90">
        <f>중기목록표!G23</f>
        <v>18296</v>
      </c>
      <c r="J83" s="92">
        <f>IF(C83=0,0,ROUNDDOWN(I83*C83,1))</f>
        <v>6769.5</v>
      </c>
      <c r="K83" s="90">
        <f>중기목록표!H23</f>
        <v>31168</v>
      </c>
      <c r="L83" s="92">
        <f>IF(C83=0,0,ROUNDDOWN(K83*C83,1))</f>
        <v>11532.1</v>
      </c>
      <c r="M83" s="24" t="s">
        <v>1168</v>
      </c>
      <c r="N83" s="16" t="s">
        <v>1166</v>
      </c>
      <c r="O83" s="6" t="s">
        <v>1167</v>
      </c>
      <c r="P83" s="6" t="s">
        <v>1128</v>
      </c>
      <c r="Z83" s="19" t="str">
        <f ca="1">HYPERLINK("#"&amp;중기목록표!J2&amp;"!A"&amp;ROW(중기목록표!A23),"중기   20 →")</f>
        <v>중기   20 →</v>
      </c>
    </row>
    <row r="84" spans="1:26" ht="28.7" customHeight="1" x14ac:dyDescent="0.3">
      <c r="A84" s="24" t="s">
        <v>6</v>
      </c>
      <c r="B84" s="58"/>
      <c r="C84" s="58"/>
      <c r="D84" s="58"/>
      <c r="E84" s="58"/>
      <c r="F84" s="55">
        <f>J84+H84+L84</f>
        <v>68835</v>
      </c>
      <c r="G84" s="58"/>
      <c r="H84" s="55">
        <f>ROUNDDOWN(SUMIF(P80:P83,O84,H80:H83),0)</f>
        <v>50534</v>
      </c>
      <c r="I84" s="58"/>
      <c r="J84" s="55">
        <f>ROUNDDOWN(SUMIF(P80:P83,O84,J80:J83),0)</f>
        <v>6769</v>
      </c>
      <c r="K84" s="58"/>
      <c r="L84" s="55">
        <f>ROUNDDOWN(SUMIF(P80:P83,O84,L80:L83),0)</f>
        <v>11532</v>
      </c>
      <c r="M84" s="58"/>
      <c r="O84" s="6" t="s">
        <v>1128</v>
      </c>
    </row>
    <row r="85" spans="1:26" ht="28.7" customHeight="1" x14ac:dyDescent="0.3">
      <c r="A85" s="83" t="s">
        <v>65</v>
      </c>
      <c r="B85" s="83"/>
      <c r="C85" s="84"/>
      <c r="D85" s="84"/>
      <c r="E85" s="84"/>
      <c r="F85" s="84"/>
      <c r="G85" s="84"/>
      <c r="H85" s="84"/>
      <c r="I85" s="84"/>
      <c r="J85" s="84"/>
      <c r="K85" s="84"/>
      <c r="L85" s="84"/>
      <c r="M85" s="84"/>
      <c r="N85" s="36" t="str">
        <f>HYPERLINK("#N"&amp;ROW(N89),"_x0005_`BDCOD|B01143_x0007_`POSS|"&amp;ROW(N87)&amp;"_x0007_`POSE|"&amp;ROW(N89)&amp;"_x0007_`")</f>
        <v>_x0005_`BDCOD|B01143_x0007_`POSS|87_x0007_`POSE|89_x0007_`</v>
      </c>
    </row>
    <row r="86" spans="1:26" ht="28.7" customHeight="1" x14ac:dyDescent="0.3">
      <c r="A86" s="43" t="s">
        <v>67</v>
      </c>
      <c r="B86" s="43" t="s">
        <v>68</v>
      </c>
      <c r="C86" s="85"/>
      <c r="D86" s="87" t="s">
        <v>42</v>
      </c>
      <c r="E86" s="85"/>
      <c r="F86" s="85"/>
      <c r="G86" s="85"/>
      <c r="H86" s="85"/>
      <c r="I86" s="85"/>
      <c r="J86" s="85"/>
      <c r="K86" s="85"/>
      <c r="L86" s="85"/>
      <c r="M86" s="87" t="s">
        <v>69</v>
      </c>
      <c r="O86" s="6" t="s">
        <v>1189</v>
      </c>
    </row>
    <row r="87" spans="1:26" ht="28.7" customHeight="1" x14ac:dyDescent="0.3">
      <c r="A87" s="9" t="s">
        <v>1190</v>
      </c>
      <c r="B87" s="9" t="s">
        <v>1191</v>
      </c>
      <c r="C87" s="86">
        <v>0</v>
      </c>
      <c r="D87" s="33"/>
      <c r="E87" s="23">
        <v>0</v>
      </c>
      <c r="F87" s="10">
        <v>0</v>
      </c>
      <c r="G87" s="45"/>
      <c r="H87" s="10">
        <v>0</v>
      </c>
      <c r="I87" s="45"/>
      <c r="J87" s="23">
        <v>0</v>
      </c>
      <c r="K87" s="50"/>
      <c r="L87" s="23">
        <v>0</v>
      </c>
      <c r="M87" s="24" t="s">
        <v>1118</v>
      </c>
      <c r="N87" s="16" t="s">
        <v>1116</v>
      </c>
      <c r="O87" s="6" t="s">
        <v>1117</v>
      </c>
      <c r="P87" s="6" t="s">
        <v>1117</v>
      </c>
    </row>
    <row r="88" spans="1:26" ht="28.7" customHeight="1" x14ac:dyDescent="0.3">
      <c r="A88" s="9" t="s">
        <v>353</v>
      </c>
      <c r="B88" s="9"/>
      <c r="C88" s="86">
        <v>7.0000000000000001E-3</v>
      </c>
      <c r="D88" s="33" t="s">
        <v>344</v>
      </c>
      <c r="E88" s="62">
        <f>I88+G88+K88</f>
        <v>96829</v>
      </c>
      <c r="F88" s="89">
        <f>J88+H88+L88</f>
        <v>677.7</v>
      </c>
      <c r="G88" s="90">
        <f>중기목록표!F7</f>
        <v>55700</v>
      </c>
      <c r="H88" s="92">
        <f>IF(C88=0,0,ROUNDDOWN(G88*C88,1))</f>
        <v>389.9</v>
      </c>
      <c r="I88" s="90">
        <f>중기목록표!G7</f>
        <v>18001</v>
      </c>
      <c r="J88" s="92">
        <f>IF(C88=0,0,ROUNDDOWN(I88*C88,1))</f>
        <v>126</v>
      </c>
      <c r="K88" s="90">
        <f>중기목록표!H7</f>
        <v>23128</v>
      </c>
      <c r="L88" s="92">
        <f>IF(C88=0,0,ROUNDDOWN(K88*C88,1))</f>
        <v>161.80000000000001</v>
      </c>
      <c r="M88" s="24" t="s">
        <v>1194</v>
      </c>
      <c r="N88" s="16" t="s">
        <v>1192</v>
      </c>
      <c r="O88" s="6" t="s">
        <v>1193</v>
      </c>
      <c r="P88" s="6" t="s">
        <v>1128</v>
      </c>
      <c r="Z88" s="19" t="str">
        <f ca="1">HYPERLINK("#"&amp;중기목록표!J2&amp;"!A"&amp;ROW(중기목록표!A7),"중기    4 →")</f>
        <v>중기    4 →</v>
      </c>
    </row>
    <row r="89" spans="1:26" ht="28.7" customHeight="1" x14ac:dyDescent="0.3">
      <c r="A89" s="9" t="s">
        <v>662</v>
      </c>
      <c r="B89" s="9"/>
      <c r="C89" s="86">
        <v>5.0000000000000001E-4</v>
      </c>
      <c r="D89" s="33" t="s">
        <v>647</v>
      </c>
      <c r="E89" s="62">
        <f>I89+G89+K89</f>
        <v>165545</v>
      </c>
      <c r="F89" s="89">
        <f>J89+H89+L89</f>
        <v>82.7</v>
      </c>
      <c r="G89" s="90">
        <f>노무비목록표!E9</f>
        <v>165545</v>
      </c>
      <c r="H89" s="91">
        <f>IF(C89=0,0,ROUNDDOWN(G89*C89,1))</f>
        <v>82.7</v>
      </c>
      <c r="I89" s="59">
        <v>0</v>
      </c>
      <c r="J89" s="88">
        <f>IF(C89=0,0,ROUNDDOWN(I89*C89,1))</f>
        <v>0</v>
      </c>
      <c r="K89" s="59">
        <v>0</v>
      </c>
      <c r="L89" s="89">
        <f>IF(C89=0,0,ROUNDDOWN(K89*C89,1))</f>
        <v>0</v>
      </c>
      <c r="M89" s="24" t="s">
        <v>1127</v>
      </c>
      <c r="N89" s="16" t="s">
        <v>1125</v>
      </c>
      <c r="O89" s="6" t="s">
        <v>1126</v>
      </c>
      <c r="P89" s="6" t="s">
        <v>1128</v>
      </c>
      <c r="Z89" s="19" t="str">
        <f ca="1">HYPERLINK("#"&amp;노무비목록표!G2&amp;"!A"&amp;ROW(노무비목록표!A9),"노무    6 →")</f>
        <v>노무    6 →</v>
      </c>
    </row>
    <row r="90" spans="1:26" ht="28.7" customHeight="1" x14ac:dyDescent="0.3">
      <c r="A90" s="24" t="s">
        <v>6</v>
      </c>
      <c r="B90" s="58"/>
      <c r="C90" s="58"/>
      <c r="D90" s="58"/>
      <c r="E90" s="58"/>
      <c r="F90" s="55">
        <f>J90+H90+L90</f>
        <v>759</v>
      </c>
      <c r="G90" s="58"/>
      <c r="H90" s="55">
        <f>ROUNDDOWN(SUMIF(P87:P89,O90,H87:H89),0)</f>
        <v>472</v>
      </c>
      <c r="I90" s="58"/>
      <c r="J90" s="55">
        <f>ROUNDDOWN(SUMIF(P87:P89,O90,J87:J89),0)</f>
        <v>126</v>
      </c>
      <c r="K90" s="58"/>
      <c r="L90" s="55">
        <f>ROUNDDOWN(SUMIF(P87:P89,O90,L87:L89),0)</f>
        <v>161</v>
      </c>
      <c r="M90" s="58"/>
      <c r="O90" s="6" t="s">
        <v>1128</v>
      </c>
    </row>
    <row r="91" spans="1:26" ht="28.7" customHeight="1" x14ac:dyDescent="0.3">
      <c r="A91" s="83" t="s">
        <v>70</v>
      </c>
      <c r="B91" s="83"/>
      <c r="C91" s="84"/>
      <c r="D91" s="84"/>
      <c r="E91" s="84"/>
      <c r="F91" s="84"/>
      <c r="G91" s="84"/>
      <c r="H91" s="84"/>
      <c r="I91" s="84"/>
      <c r="J91" s="84"/>
      <c r="K91" s="84"/>
      <c r="L91" s="84"/>
      <c r="M91" s="84"/>
      <c r="N91" s="36" t="str">
        <f>HYPERLINK("#N"&amp;ROW(N94),"_x0005_`BDCOD|B01146_x0007_`POSS|"&amp;ROW(N93)&amp;"_x0007_`POSE|"&amp;ROW(N94)&amp;"_x0007_`")</f>
        <v>_x0005_`BDCOD|B01146_x0007_`POSS|93_x0007_`POSE|94_x0007_`</v>
      </c>
    </row>
    <row r="92" spans="1:26" ht="28.7" customHeight="1" x14ac:dyDescent="0.3">
      <c r="A92" s="43" t="s">
        <v>72</v>
      </c>
      <c r="B92" s="43"/>
      <c r="C92" s="85"/>
      <c r="D92" s="87" t="s">
        <v>36</v>
      </c>
      <c r="E92" s="85"/>
      <c r="F92" s="85"/>
      <c r="G92" s="85"/>
      <c r="H92" s="85"/>
      <c r="I92" s="85"/>
      <c r="J92" s="85"/>
      <c r="K92" s="85"/>
      <c r="L92" s="85"/>
      <c r="M92" s="87" t="s">
        <v>73</v>
      </c>
      <c r="O92" s="6" t="s">
        <v>1195</v>
      </c>
    </row>
    <row r="93" spans="1:26" ht="28.7" customHeight="1" x14ac:dyDescent="0.3">
      <c r="A93" s="9" t="s">
        <v>217</v>
      </c>
      <c r="B93" s="9" t="s">
        <v>201</v>
      </c>
      <c r="C93" s="86">
        <v>1.36</v>
      </c>
      <c r="D93" s="33" t="s">
        <v>14</v>
      </c>
      <c r="E93" s="62">
        <f>I93+G93+K93</f>
        <v>1641</v>
      </c>
      <c r="F93" s="89">
        <f>J93+H93+L93</f>
        <v>2231.6999999999998</v>
      </c>
      <c r="G93" s="90">
        <f>단가산출근거목록표!F17</f>
        <v>944</v>
      </c>
      <c r="H93" s="92">
        <f>IF(C93=0,0,ROUNDDOWN(G93*C93,1))</f>
        <v>1283.8</v>
      </c>
      <c r="I93" s="90">
        <f>단가산출근거목록표!G17</f>
        <v>305</v>
      </c>
      <c r="J93" s="92">
        <f>IF(C93=0,0,ROUNDDOWN(I93*C93,1))</f>
        <v>414.8</v>
      </c>
      <c r="K93" s="90">
        <f>단가산출근거목록표!H17</f>
        <v>392</v>
      </c>
      <c r="L93" s="92">
        <f>IF(C93=0,0,ROUNDDOWN(K93*C93,1))</f>
        <v>533.1</v>
      </c>
      <c r="M93" s="24" t="s">
        <v>811</v>
      </c>
      <c r="N93" s="16" t="s">
        <v>1196</v>
      </c>
      <c r="O93" s="6" t="s">
        <v>809</v>
      </c>
      <c r="P93" s="6" t="s">
        <v>1128</v>
      </c>
      <c r="Z93" s="19" t="str">
        <f ca="1">HYPERLINK("#"&amp;단가산출근거목록표!J2&amp;"!A"&amp;ROW(단가산출근거목록표!A17),"산근   14 →")</f>
        <v>산근   14 →</v>
      </c>
    </row>
    <row r="94" spans="1:26" ht="28.7" customHeight="1" x14ac:dyDescent="0.3">
      <c r="A94" s="9" t="s">
        <v>235</v>
      </c>
      <c r="B94" s="9" t="s">
        <v>201</v>
      </c>
      <c r="C94" s="86">
        <v>1.36</v>
      </c>
      <c r="D94" s="33" t="s">
        <v>14</v>
      </c>
      <c r="E94" s="62">
        <f>I94+G94+K94</f>
        <v>1279</v>
      </c>
      <c r="F94" s="89">
        <f>J94+H94+L94</f>
        <v>1739.3</v>
      </c>
      <c r="G94" s="90">
        <f>단가산출근거목록표!F22</f>
        <v>736</v>
      </c>
      <c r="H94" s="92">
        <f>IF(C94=0,0,ROUNDDOWN(G94*C94,1))</f>
        <v>1000.9</v>
      </c>
      <c r="I94" s="90">
        <f>단가산출근거목록표!G22</f>
        <v>238</v>
      </c>
      <c r="J94" s="92">
        <f>IF(C94=0,0,ROUNDDOWN(I94*C94,1))</f>
        <v>323.60000000000002</v>
      </c>
      <c r="K94" s="90">
        <f>단가산출근거목록표!H22</f>
        <v>305</v>
      </c>
      <c r="L94" s="92">
        <f>IF(C94=0,0,ROUNDDOWN(K94*C94,1))</f>
        <v>414.8</v>
      </c>
      <c r="M94" s="24" t="s">
        <v>1199</v>
      </c>
      <c r="N94" s="16" t="s">
        <v>1197</v>
      </c>
      <c r="O94" s="6" t="s">
        <v>1198</v>
      </c>
      <c r="P94" s="6" t="s">
        <v>1128</v>
      </c>
      <c r="Z94" s="19" t="str">
        <f ca="1">HYPERLINK("#"&amp;단가산출근거목록표!J2&amp;"!A"&amp;ROW(단가산출근거목록표!A22),"산근   19 →")</f>
        <v>산근   19 →</v>
      </c>
    </row>
    <row r="95" spans="1:26" ht="28.7" customHeight="1" x14ac:dyDescent="0.3">
      <c r="A95" s="24" t="s">
        <v>6</v>
      </c>
      <c r="B95" s="58"/>
      <c r="C95" s="58"/>
      <c r="D95" s="58"/>
      <c r="E95" s="58"/>
      <c r="F95" s="55">
        <f>J95+H95+L95</f>
        <v>3969</v>
      </c>
      <c r="G95" s="58"/>
      <c r="H95" s="55">
        <f>ROUNDDOWN(SUMIF(P93:P94,O95,H93:H94),0)</f>
        <v>2284</v>
      </c>
      <c r="I95" s="58"/>
      <c r="J95" s="55">
        <f>ROUNDDOWN(SUMIF(P93:P94,O95,J93:J94),0)</f>
        <v>738</v>
      </c>
      <c r="K95" s="58"/>
      <c r="L95" s="55">
        <f>ROUNDDOWN(SUMIF(P93:P94,O95,L93:L94),0)</f>
        <v>947</v>
      </c>
      <c r="M95" s="58"/>
      <c r="O95" s="6" t="s">
        <v>1128</v>
      </c>
    </row>
    <row r="96" spans="1:26" ht="28.7" customHeight="1" x14ac:dyDescent="0.3">
      <c r="A96" s="83" t="s">
        <v>74</v>
      </c>
      <c r="B96" s="83"/>
      <c r="C96" s="84"/>
      <c r="D96" s="84"/>
      <c r="E96" s="84"/>
      <c r="F96" s="84"/>
      <c r="G96" s="84"/>
      <c r="H96" s="84"/>
      <c r="I96" s="84"/>
      <c r="J96" s="84"/>
      <c r="K96" s="84"/>
      <c r="L96" s="84"/>
      <c r="M96" s="84"/>
      <c r="N96" s="36" t="str">
        <f>HYPERLINK("#N"&amp;ROW(N102),"_x0005_`BDCOD|B01147_x0007_`POSS|"&amp;ROW(N98)&amp;"_x0007_`POSE|"&amp;ROW(N102)&amp;"_x0007_`")</f>
        <v>_x0005_`BDCOD|B01147_x0007_`POSS|98_x0007_`POSE|102_x0007_`</v>
      </c>
    </row>
    <row r="97" spans="1:26" ht="28.7" customHeight="1" x14ac:dyDescent="0.3">
      <c r="A97" s="43" t="s">
        <v>76</v>
      </c>
      <c r="B97" s="43" t="s">
        <v>77</v>
      </c>
      <c r="C97" s="85"/>
      <c r="D97" s="87" t="s">
        <v>42</v>
      </c>
      <c r="E97" s="85"/>
      <c r="F97" s="85"/>
      <c r="G97" s="85"/>
      <c r="H97" s="85"/>
      <c r="I97" s="85"/>
      <c r="J97" s="85"/>
      <c r="K97" s="85"/>
      <c r="L97" s="85"/>
      <c r="M97" s="87" t="s">
        <v>78</v>
      </c>
      <c r="O97" s="6" t="s">
        <v>1200</v>
      </c>
    </row>
    <row r="98" spans="1:26" ht="28.7" customHeight="1" x14ac:dyDescent="0.3">
      <c r="A98" s="9" t="s">
        <v>207</v>
      </c>
      <c r="B98" s="9" t="s">
        <v>208</v>
      </c>
      <c r="C98" s="86">
        <v>1</v>
      </c>
      <c r="D98" s="33" t="s">
        <v>42</v>
      </c>
      <c r="E98" s="62">
        <f t="shared" ref="E98:F102" si="10">I98+G98+K98</f>
        <v>30398</v>
      </c>
      <c r="F98" s="89">
        <f t="shared" si="10"/>
        <v>30398</v>
      </c>
      <c r="G98" s="90">
        <f>단가산출근거목록표!F14</f>
        <v>18289</v>
      </c>
      <c r="H98" s="92">
        <f>IF(C98=0,0,ROUNDDOWN(G98*C98,1))</f>
        <v>18289</v>
      </c>
      <c r="I98" s="90">
        <f>단가산출근거목록표!G14</f>
        <v>5101</v>
      </c>
      <c r="J98" s="92">
        <f>IF(C98=0,0,ROUNDDOWN(I98*C98,1))</f>
        <v>5101</v>
      </c>
      <c r="K98" s="90">
        <f>단가산출근거목록표!H14</f>
        <v>7008</v>
      </c>
      <c r="L98" s="92">
        <f>IF(C98=0,0,ROUNDDOWN(K98*C98,1))</f>
        <v>7008</v>
      </c>
      <c r="M98" s="24" t="s">
        <v>1203</v>
      </c>
      <c r="N98" s="16" t="s">
        <v>1201</v>
      </c>
      <c r="O98" s="6" t="s">
        <v>1202</v>
      </c>
      <c r="P98" s="6" t="s">
        <v>1128</v>
      </c>
      <c r="Z98" s="19" t="str">
        <f ca="1">HYPERLINK("#"&amp;단가산출근거목록표!J2&amp;"!A"&amp;ROW(단가산출근거목록표!A14),"산근   11 →")</f>
        <v>산근   11 →</v>
      </c>
    </row>
    <row r="99" spans="1:26" ht="28.7" customHeight="1" x14ac:dyDescent="0.3">
      <c r="A99" s="9" t="s">
        <v>55</v>
      </c>
      <c r="B99" s="9" t="s">
        <v>41</v>
      </c>
      <c r="C99" s="86">
        <v>1</v>
      </c>
      <c r="D99" s="33" t="s">
        <v>42</v>
      </c>
      <c r="E99" s="62">
        <f t="shared" si="10"/>
        <v>52943</v>
      </c>
      <c r="F99" s="89">
        <f t="shared" si="10"/>
        <v>52943</v>
      </c>
      <c r="G99" s="90">
        <f>일위대가목록표!F12</f>
        <v>42556</v>
      </c>
      <c r="H99" s="92">
        <f>IF(C99=0,0,ROUNDDOWN(G99*C99,1))</f>
        <v>42556</v>
      </c>
      <c r="I99" s="90">
        <f>일위대가목록표!G12</f>
        <v>3842</v>
      </c>
      <c r="J99" s="92">
        <f>IF(C99=0,0,ROUNDDOWN(I99*C99,1))</f>
        <v>3842</v>
      </c>
      <c r="K99" s="90">
        <f>일위대가목록표!H12</f>
        <v>6545</v>
      </c>
      <c r="L99" s="92">
        <f>IF(C99=0,0,ROUNDDOWN(K99*C99,1))</f>
        <v>6545</v>
      </c>
      <c r="M99" s="24" t="s">
        <v>1206</v>
      </c>
      <c r="N99" s="16" t="s">
        <v>1204</v>
      </c>
      <c r="O99" s="6" t="s">
        <v>1205</v>
      </c>
      <c r="P99" s="6" t="s">
        <v>1128</v>
      </c>
      <c r="Z99" s="19" t="str">
        <f ca="1">HYPERLINK("#"&amp;일위대가목록표!J2&amp;"!A"&amp;ROW(일위대가목록표!A12),"대가    9 →")</f>
        <v>대가    9 →</v>
      </c>
    </row>
    <row r="100" spans="1:26" ht="28.7" customHeight="1" x14ac:dyDescent="0.3">
      <c r="A100" s="9" t="s">
        <v>204</v>
      </c>
      <c r="B100" s="9" t="s">
        <v>193</v>
      </c>
      <c r="C100" s="86">
        <v>0.15</v>
      </c>
      <c r="D100" s="33" t="s">
        <v>14</v>
      </c>
      <c r="E100" s="62">
        <f t="shared" si="10"/>
        <v>24816</v>
      </c>
      <c r="F100" s="89">
        <f t="shared" si="10"/>
        <v>3722.3999999999996</v>
      </c>
      <c r="G100" s="90">
        <f>단가산출근거목록표!F13</f>
        <v>18084</v>
      </c>
      <c r="H100" s="92">
        <f>IF(C100=0,0,ROUNDDOWN(G100*C100,1))</f>
        <v>2712.6</v>
      </c>
      <c r="I100" s="90">
        <f>단가산출근거목록표!G13</f>
        <v>2498</v>
      </c>
      <c r="J100" s="92">
        <f>IF(C100=0,0,ROUNDDOWN(I100*C100,1))</f>
        <v>374.7</v>
      </c>
      <c r="K100" s="90">
        <f>단가산출근거목록표!H13</f>
        <v>4234</v>
      </c>
      <c r="L100" s="92">
        <f>IF(C100=0,0,ROUNDDOWN(K100*C100,1))</f>
        <v>635.1</v>
      </c>
      <c r="M100" s="24" t="s">
        <v>1209</v>
      </c>
      <c r="N100" s="16" t="s">
        <v>1207</v>
      </c>
      <c r="O100" s="6" t="s">
        <v>1208</v>
      </c>
      <c r="P100" s="6" t="s">
        <v>1128</v>
      </c>
      <c r="Z100" s="19" t="str">
        <f ca="1">HYPERLINK("#"&amp;단가산출근거목록표!J2&amp;"!A"&amp;ROW(단가산출근거목록표!A13),"산근   10 →")</f>
        <v>산근   10 →</v>
      </c>
    </row>
    <row r="101" spans="1:26" ht="28.7" customHeight="1" x14ac:dyDescent="0.3">
      <c r="A101" s="9" t="s">
        <v>108</v>
      </c>
      <c r="B101" s="9" t="s">
        <v>275</v>
      </c>
      <c r="C101" s="86">
        <v>0.2</v>
      </c>
      <c r="D101" s="33" t="s">
        <v>14</v>
      </c>
      <c r="E101" s="62">
        <f t="shared" si="10"/>
        <v>67383</v>
      </c>
      <c r="F101" s="89">
        <f t="shared" si="10"/>
        <v>13476.6</v>
      </c>
      <c r="G101" s="90">
        <f>단가산출근거목록표!F33</f>
        <v>66071</v>
      </c>
      <c r="H101" s="92">
        <f>IF(C101=0,0,ROUNDDOWN(G101*C101,1))</f>
        <v>13214.2</v>
      </c>
      <c r="I101" s="90">
        <f>단가산출근거목록표!G33</f>
        <v>1008</v>
      </c>
      <c r="J101" s="92">
        <f>IF(C101=0,0,ROUNDDOWN(I101*C101,1))</f>
        <v>201.6</v>
      </c>
      <c r="K101" s="90">
        <f>단가산출근거목록표!H33</f>
        <v>304</v>
      </c>
      <c r="L101" s="92">
        <f>IF(C101=0,0,ROUNDDOWN(K101*C101,1))</f>
        <v>60.8</v>
      </c>
      <c r="M101" s="24" t="s">
        <v>1175</v>
      </c>
      <c r="N101" s="16" t="s">
        <v>1173</v>
      </c>
      <c r="O101" s="6" t="s">
        <v>1174</v>
      </c>
      <c r="P101" s="6" t="s">
        <v>1128</v>
      </c>
      <c r="Z101" s="19" t="str">
        <f ca="1">HYPERLINK("#"&amp;단가산출근거목록표!J2&amp;"!A"&amp;ROW(단가산출근거목록표!A33),"산근   30 →")</f>
        <v>산근   30 →</v>
      </c>
    </row>
    <row r="102" spans="1:26" ht="28.7" customHeight="1" x14ac:dyDescent="0.3">
      <c r="A102" s="9" t="s">
        <v>12</v>
      </c>
      <c r="B102" s="9" t="s">
        <v>13</v>
      </c>
      <c r="C102" s="86">
        <v>8.9999999999999993E-3</v>
      </c>
      <c r="D102" s="33" t="s">
        <v>14</v>
      </c>
      <c r="E102" s="62">
        <f t="shared" si="10"/>
        <v>109259</v>
      </c>
      <c r="F102" s="89">
        <f t="shared" si="10"/>
        <v>983.3</v>
      </c>
      <c r="G102" s="90">
        <f>일위대가목록표!F4</f>
        <v>109259</v>
      </c>
      <c r="H102" s="92">
        <f>IF(C102=0,0,ROUNDDOWN(G102*C102,1))</f>
        <v>983.3</v>
      </c>
      <c r="I102" s="90">
        <f>일위대가목록표!G4</f>
        <v>0</v>
      </c>
      <c r="J102" s="92">
        <f>IF(C102=0,0,ROUNDDOWN(I102*C102,1))</f>
        <v>0</v>
      </c>
      <c r="K102" s="90">
        <f>일위대가목록표!H4</f>
        <v>0</v>
      </c>
      <c r="L102" s="92">
        <f>IF(C102=0,0,ROUNDDOWN(K102*C102,1))</f>
        <v>0</v>
      </c>
      <c r="M102" s="24" t="s">
        <v>1212</v>
      </c>
      <c r="N102" s="16" t="s">
        <v>1210</v>
      </c>
      <c r="O102" s="6" t="s">
        <v>1211</v>
      </c>
      <c r="P102" s="6" t="s">
        <v>1128</v>
      </c>
      <c r="Z102" s="19" t="str">
        <f ca="1">HYPERLINK("#"&amp;일위대가목록표!J2&amp;"!A"&amp;ROW(일위대가목록표!A4),"대가    1 →")</f>
        <v>대가    1 →</v>
      </c>
    </row>
    <row r="103" spans="1:26" ht="28.7" customHeight="1" x14ac:dyDescent="0.3">
      <c r="A103" s="24" t="s">
        <v>6</v>
      </c>
      <c r="B103" s="58"/>
      <c r="C103" s="58"/>
      <c r="D103" s="58"/>
      <c r="E103" s="58"/>
      <c r="F103" s="55">
        <f>J103+H103+L103</f>
        <v>101522</v>
      </c>
      <c r="G103" s="58"/>
      <c r="H103" s="55">
        <f>ROUNDDOWN(SUMIF(P98:P102,O103,H98:H102),0)</f>
        <v>77755</v>
      </c>
      <c r="I103" s="58"/>
      <c r="J103" s="55">
        <f>ROUNDDOWN(SUMIF(P98:P102,O103,J98:J102),0)</f>
        <v>9519</v>
      </c>
      <c r="K103" s="58"/>
      <c r="L103" s="55">
        <f>ROUNDDOWN(SUMIF(P98:P102,O103,L98:L102),0)</f>
        <v>14248</v>
      </c>
      <c r="M103" s="58"/>
      <c r="O103" s="6" t="s">
        <v>1128</v>
      </c>
    </row>
    <row r="104" spans="1:26" ht="28.7" customHeight="1" x14ac:dyDescent="0.3">
      <c r="A104" s="83" t="s">
        <v>79</v>
      </c>
      <c r="B104" s="83"/>
      <c r="C104" s="84"/>
      <c r="D104" s="84"/>
      <c r="E104" s="84"/>
      <c r="F104" s="84"/>
      <c r="G104" s="84"/>
      <c r="H104" s="84"/>
      <c r="I104" s="84"/>
      <c r="J104" s="84"/>
      <c r="K104" s="84"/>
      <c r="L104" s="84"/>
      <c r="M104" s="84"/>
      <c r="N104" s="36" t="str">
        <f>HYPERLINK("#N"&amp;ROW(N116),"_x0005_`BDCOD|B01155_x0007_`POSS|"&amp;ROW(N106)&amp;"_x0007_`POSE|"&amp;ROW(N116)&amp;"_x0007_`")</f>
        <v>_x0005_`BDCOD|B01155_x0007_`POSS|106_x0007_`POSE|116_x0007_`</v>
      </c>
    </row>
    <row r="105" spans="1:26" ht="28.7" customHeight="1" x14ac:dyDescent="0.3">
      <c r="A105" s="43" t="s">
        <v>81</v>
      </c>
      <c r="B105" s="43" t="s">
        <v>82</v>
      </c>
      <c r="C105" s="85"/>
      <c r="D105" s="87" t="s">
        <v>36</v>
      </c>
      <c r="E105" s="85"/>
      <c r="F105" s="85"/>
      <c r="G105" s="85"/>
      <c r="H105" s="85"/>
      <c r="I105" s="85"/>
      <c r="J105" s="85"/>
      <c r="K105" s="85"/>
      <c r="L105" s="85"/>
      <c r="M105" s="87" t="s">
        <v>83</v>
      </c>
      <c r="O105" s="6" t="s">
        <v>1213</v>
      </c>
    </row>
    <row r="106" spans="1:26" ht="28.7" customHeight="1" x14ac:dyDescent="0.3">
      <c r="A106" s="9" t="s">
        <v>207</v>
      </c>
      <c r="B106" s="9" t="s">
        <v>208</v>
      </c>
      <c r="C106" s="86">
        <v>8.3000000000000007</v>
      </c>
      <c r="D106" s="33" t="s">
        <v>42</v>
      </c>
      <c r="E106" s="62">
        <f t="shared" ref="E106:E116" si="11">I106+G106+K106</f>
        <v>30398</v>
      </c>
      <c r="F106" s="89">
        <f t="shared" ref="F106:F116" si="12">J106+H106+L106</f>
        <v>252303.4</v>
      </c>
      <c r="G106" s="90">
        <f>단가산출근거목록표!F14</f>
        <v>18289</v>
      </c>
      <c r="H106" s="92">
        <f t="shared" ref="H106:H116" si="13">IF(C106=0,0,ROUNDDOWN(G106*C106,1))</f>
        <v>151798.70000000001</v>
      </c>
      <c r="I106" s="90">
        <f>단가산출근거목록표!G14</f>
        <v>5101</v>
      </c>
      <c r="J106" s="92">
        <f t="shared" ref="J106:J116" si="14">IF(C106=0,0,ROUNDDOWN(I106*C106,1))</f>
        <v>42338.3</v>
      </c>
      <c r="K106" s="90">
        <f>단가산출근거목록표!H14</f>
        <v>7008</v>
      </c>
      <c r="L106" s="92">
        <f t="shared" ref="L106:L116" si="15">IF(C106=0,0,ROUNDDOWN(K106*C106,1))</f>
        <v>58166.400000000001</v>
      </c>
      <c r="M106" s="24" t="s">
        <v>1203</v>
      </c>
      <c r="N106" s="16" t="s">
        <v>1201</v>
      </c>
      <c r="O106" s="6" t="s">
        <v>1202</v>
      </c>
      <c r="P106" s="6" t="s">
        <v>1128</v>
      </c>
      <c r="Z106" s="19" t="str">
        <f ca="1">HYPERLINK("#"&amp;단가산출근거목록표!J2&amp;"!A"&amp;ROW(단가산출근거목록표!A14),"산근   11 →")</f>
        <v>산근   11 →</v>
      </c>
    </row>
    <row r="107" spans="1:26" ht="28.7" customHeight="1" x14ac:dyDescent="0.3">
      <c r="A107" s="9" t="s">
        <v>207</v>
      </c>
      <c r="B107" s="9" t="s">
        <v>232</v>
      </c>
      <c r="C107" s="86">
        <v>2.4</v>
      </c>
      <c r="D107" s="33" t="s">
        <v>42</v>
      </c>
      <c r="E107" s="62">
        <f t="shared" si="11"/>
        <v>29098</v>
      </c>
      <c r="F107" s="89">
        <f t="shared" si="12"/>
        <v>69835.199999999997</v>
      </c>
      <c r="G107" s="90">
        <f>단가산출근거목록표!F21</f>
        <v>17543</v>
      </c>
      <c r="H107" s="92">
        <f t="shared" si="13"/>
        <v>42103.199999999997</v>
      </c>
      <c r="I107" s="90">
        <f>단가산출근거목록표!G21</f>
        <v>4874</v>
      </c>
      <c r="J107" s="92">
        <f t="shared" si="14"/>
        <v>11697.6</v>
      </c>
      <c r="K107" s="90">
        <f>단가산출근거목록표!H21</f>
        <v>6681</v>
      </c>
      <c r="L107" s="92">
        <f t="shared" si="15"/>
        <v>16034.4</v>
      </c>
      <c r="M107" s="24" t="s">
        <v>1216</v>
      </c>
      <c r="N107" s="16" t="s">
        <v>1214</v>
      </c>
      <c r="O107" s="6" t="s">
        <v>1215</v>
      </c>
      <c r="P107" s="6" t="s">
        <v>1128</v>
      </c>
      <c r="Z107" s="19" t="str">
        <f ca="1">HYPERLINK("#"&amp;단가산출근거목록표!J2&amp;"!A"&amp;ROW(단가산출근거목록표!A21),"산근   18 →")</f>
        <v>산근   18 →</v>
      </c>
    </row>
    <row r="108" spans="1:26" ht="28.7" customHeight="1" x14ac:dyDescent="0.3">
      <c r="A108" s="9" t="s">
        <v>40</v>
      </c>
      <c r="B108" s="9" t="s">
        <v>41</v>
      </c>
      <c r="C108" s="86">
        <v>8.3000000000000007</v>
      </c>
      <c r="D108" s="33" t="s">
        <v>42</v>
      </c>
      <c r="E108" s="62">
        <f t="shared" si="11"/>
        <v>52995</v>
      </c>
      <c r="F108" s="89">
        <f t="shared" si="12"/>
        <v>439858.5</v>
      </c>
      <c r="G108" s="90">
        <f>일위대가목록표!F9</f>
        <v>39641</v>
      </c>
      <c r="H108" s="92">
        <f t="shared" si="13"/>
        <v>329020.3</v>
      </c>
      <c r="I108" s="90">
        <f>일위대가목록표!G9</f>
        <v>4939</v>
      </c>
      <c r="J108" s="92">
        <f t="shared" si="14"/>
        <v>40993.699999999997</v>
      </c>
      <c r="K108" s="90">
        <f>일위대가목록표!H9</f>
        <v>8415</v>
      </c>
      <c r="L108" s="92">
        <f t="shared" si="15"/>
        <v>69844.5</v>
      </c>
      <c r="M108" s="24" t="s">
        <v>1219</v>
      </c>
      <c r="N108" s="16" t="s">
        <v>1217</v>
      </c>
      <c r="O108" s="6" t="s">
        <v>1218</v>
      </c>
      <c r="P108" s="6" t="s">
        <v>1128</v>
      </c>
      <c r="Z108" s="19" t="str">
        <f ca="1">HYPERLINK("#"&amp;일위대가목록표!J2&amp;"!A"&amp;ROW(일위대가목록표!A9),"대가    6 →")</f>
        <v>대가    6 →</v>
      </c>
    </row>
    <row r="109" spans="1:26" ht="28.7" customHeight="1" x14ac:dyDescent="0.3">
      <c r="A109" s="9" t="s">
        <v>55</v>
      </c>
      <c r="B109" s="9" t="s">
        <v>59</v>
      </c>
      <c r="C109" s="86">
        <v>2.4</v>
      </c>
      <c r="D109" s="33" t="s">
        <v>42</v>
      </c>
      <c r="E109" s="62">
        <f t="shared" si="11"/>
        <v>58239</v>
      </c>
      <c r="F109" s="89">
        <f t="shared" si="12"/>
        <v>139773.6</v>
      </c>
      <c r="G109" s="90">
        <f>일위대가목록표!F13</f>
        <v>47358</v>
      </c>
      <c r="H109" s="92">
        <f t="shared" si="13"/>
        <v>113659.2</v>
      </c>
      <c r="I109" s="90">
        <f>일위대가목록표!G13</f>
        <v>4025</v>
      </c>
      <c r="J109" s="92">
        <f t="shared" si="14"/>
        <v>9660</v>
      </c>
      <c r="K109" s="90">
        <f>일위대가목록표!H13</f>
        <v>6856</v>
      </c>
      <c r="L109" s="92">
        <f t="shared" si="15"/>
        <v>16454.400000000001</v>
      </c>
      <c r="M109" s="24" t="s">
        <v>1222</v>
      </c>
      <c r="N109" s="16" t="s">
        <v>1220</v>
      </c>
      <c r="O109" s="6" t="s">
        <v>1221</v>
      </c>
      <c r="P109" s="6" t="s">
        <v>1128</v>
      </c>
      <c r="Z109" s="19" t="str">
        <f ca="1">HYPERLINK("#"&amp;일위대가목록표!J2&amp;"!A"&amp;ROW(일위대가목록표!A13),"대가   10 →")</f>
        <v>대가   10 →</v>
      </c>
    </row>
    <row r="110" spans="1:26" ht="28.7" customHeight="1" x14ac:dyDescent="0.3">
      <c r="A110" s="9" t="s">
        <v>108</v>
      </c>
      <c r="B110" s="9" t="s">
        <v>109</v>
      </c>
      <c r="C110" s="86">
        <v>0.65</v>
      </c>
      <c r="D110" s="33" t="s">
        <v>14</v>
      </c>
      <c r="E110" s="62">
        <f t="shared" si="11"/>
        <v>122871</v>
      </c>
      <c r="F110" s="89">
        <f t="shared" si="12"/>
        <v>79866.100000000006</v>
      </c>
      <c r="G110" s="90">
        <f>일위대가목록표!F24</f>
        <v>121559</v>
      </c>
      <c r="H110" s="92">
        <f t="shared" si="13"/>
        <v>79013.3</v>
      </c>
      <c r="I110" s="90">
        <f>일위대가목록표!G24</f>
        <v>1008</v>
      </c>
      <c r="J110" s="92">
        <f t="shared" si="14"/>
        <v>655.20000000000005</v>
      </c>
      <c r="K110" s="90">
        <f>일위대가목록표!H24</f>
        <v>304</v>
      </c>
      <c r="L110" s="92">
        <f t="shared" si="15"/>
        <v>197.6</v>
      </c>
      <c r="M110" s="24" t="s">
        <v>1225</v>
      </c>
      <c r="N110" s="16" t="s">
        <v>1223</v>
      </c>
      <c r="O110" s="6" t="s">
        <v>1224</v>
      </c>
      <c r="P110" s="6" t="s">
        <v>1128</v>
      </c>
      <c r="Z110" s="19" t="str">
        <f ca="1">HYPERLINK("#"&amp;일위대가목록표!J2&amp;"!A"&amp;ROW(일위대가목록표!A24),"대가   21 →")</f>
        <v>대가   21 →</v>
      </c>
    </row>
    <row r="111" spans="1:26" ht="28.7" customHeight="1" x14ac:dyDescent="0.3">
      <c r="A111" s="9" t="s">
        <v>108</v>
      </c>
      <c r="B111" s="9" t="s">
        <v>275</v>
      </c>
      <c r="C111" s="86">
        <v>2.04</v>
      </c>
      <c r="D111" s="33" t="s">
        <v>14</v>
      </c>
      <c r="E111" s="62">
        <f t="shared" si="11"/>
        <v>67383</v>
      </c>
      <c r="F111" s="89">
        <f t="shared" si="12"/>
        <v>137461.19999999998</v>
      </c>
      <c r="G111" s="90">
        <f>단가산출근거목록표!F33</f>
        <v>66071</v>
      </c>
      <c r="H111" s="92">
        <f t="shared" si="13"/>
        <v>134784.79999999999</v>
      </c>
      <c r="I111" s="90">
        <f>단가산출근거목록표!G33</f>
        <v>1008</v>
      </c>
      <c r="J111" s="92">
        <f t="shared" si="14"/>
        <v>2056.3000000000002</v>
      </c>
      <c r="K111" s="90">
        <f>단가산출근거목록표!H33</f>
        <v>304</v>
      </c>
      <c r="L111" s="92">
        <f t="shared" si="15"/>
        <v>620.1</v>
      </c>
      <c r="M111" s="24" t="s">
        <v>1175</v>
      </c>
      <c r="N111" s="16" t="s">
        <v>1173</v>
      </c>
      <c r="O111" s="6" t="s">
        <v>1174</v>
      </c>
      <c r="P111" s="6" t="s">
        <v>1128</v>
      </c>
      <c r="Z111" s="19" t="str">
        <f ca="1">HYPERLINK("#"&amp;단가산출근거목록표!J2&amp;"!A"&amp;ROW(단가산출근거목록표!A33),"산근   30 →")</f>
        <v>산근   30 →</v>
      </c>
    </row>
    <row r="112" spans="1:26" ht="28.7" customHeight="1" x14ac:dyDescent="0.3">
      <c r="A112" s="9" t="s">
        <v>12</v>
      </c>
      <c r="B112" s="9" t="s">
        <v>13</v>
      </c>
      <c r="C112" s="86">
        <v>9.6000000000000002E-2</v>
      </c>
      <c r="D112" s="33" t="s">
        <v>14</v>
      </c>
      <c r="E112" s="62">
        <f t="shared" si="11"/>
        <v>109259</v>
      </c>
      <c r="F112" s="89">
        <f t="shared" si="12"/>
        <v>10488.8</v>
      </c>
      <c r="G112" s="90">
        <f>일위대가목록표!F4</f>
        <v>109259</v>
      </c>
      <c r="H112" s="92">
        <f t="shared" si="13"/>
        <v>10488.8</v>
      </c>
      <c r="I112" s="90">
        <f>일위대가목록표!G4</f>
        <v>0</v>
      </c>
      <c r="J112" s="92">
        <f t="shared" si="14"/>
        <v>0</v>
      </c>
      <c r="K112" s="90">
        <f>일위대가목록표!H4</f>
        <v>0</v>
      </c>
      <c r="L112" s="92">
        <f t="shared" si="15"/>
        <v>0</v>
      </c>
      <c r="M112" s="24" t="s">
        <v>1212</v>
      </c>
      <c r="N112" s="16" t="s">
        <v>1210</v>
      </c>
      <c r="O112" s="6" t="s">
        <v>1211</v>
      </c>
      <c r="P112" s="6" t="s">
        <v>1128</v>
      </c>
      <c r="Z112" s="19" t="str">
        <f ca="1">HYPERLINK("#"&amp;일위대가목록표!J2&amp;"!A"&amp;ROW(일위대가목록표!A4),"대가    1 →")</f>
        <v>대가    1 →</v>
      </c>
    </row>
    <row r="113" spans="1:26" ht="28.7" customHeight="1" x14ac:dyDescent="0.3">
      <c r="A113" s="9" t="s">
        <v>192</v>
      </c>
      <c r="B113" s="9" t="s">
        <v>193</v>
      </c>
      <c r="C113" s="86">
        <v>2.08</v>
      </c>
      <c r="D113" s="33" t="s">
        <v>14</v>
      </c>
      <c r="E113" s="62">
        <f t="shared" si="11"/>
        <v>12701</v>
      </c>
      <c r="F113" s="89">
        <f t="shared" si="12"/>
        <v>26418</v>
      </c>
      <c r="G113" s="90">
        <f>단가산출근거목록표!F10</f>
        <v>7908</v>
      </c>
      <c r="H113" s="92">
        <f t="shared" si="13"/>
        <v>16448.599999999999</v>
      </c>
      <c r="I113" s="90">
        <f>단가산출근거목록표!G10</f>
        <v>1963</v>
      </c>
      <c r="J113" s="92">
        <f t="shared" si="14"/>
        <v>4083</v>
      </c>
      <c r="K113" s="90">
        <f>단가산출근거목록표!H10</f>
        <v>2830</v>
      </c>
      <c r="L113" s="92">
        <f t="shared" si="15"/>
        <v>5886.4</v>
      </c>
      <c r="M113" s="24" t="s">
        <v>1228</v>
      </c>
      <c r="N113" s="16" t="s">
        <v>1226</v>
      </c>
      <c r="O113" s="6" t="s">
        <v>1227</v>
      </c>
      <c r="P113" s="6" t="s">
        <v>1128</v>
      </c>
      <c r="Z113" s="19" t="str">
        <f ca="1">HYPERLINK("#"&amp;단가산출근거목록표!J2&amp;"!A"&amp;ROW(단가산출근거목록표!A10),"산근    7 →")</f>
        <v>산근    7 →</v>
      </c>
    </row>
    <row r="114" spans="1:26" ht="28.7" customHeight="1" x14ac:dyDescent="0.3">
      <c r="A114" s="9" t="s">
        <v>188</v>
      </c>
      <c r="B114" s="9" t="s">
        <v>189</v>
      </c>
      <c r="C114" s="86">
        <v>2.08</v>
      </c>
      <c r="D114" s="33" t="s">
        <v>14</v>
      </c>
      <c r="E114" s="62">
        <f t="shared" si="11"/>
        <v>8328</v>
      </c>
      <c r="F114" s="89">
        <f t="shared" si="12"/>
        <v>17322.100000000002</v>
      </c>
      <c r="G114" s="90">
        <f>단가산출근거목록표!F9</f>
        <v>6878</v>
      </c>
      <c r="H114" s="92">
        <f t="shared" si="13"/>
        <v>14306.2</v>
      </c>
      <c r="I114" s="90">
        <f>단가산출근거목록표!G9</f>
        <v>538</v>
      </c>
      <c r="J114" s="92">
        <f t="shared" si="14"/>
        <v>1119</v>
      </c>
      <c r="K114" s="90">
        <f>단가산출근거목록표!H9</f>
        <v>912</v>
      </c>
      <c r="L114" s="92">
        <f t="shared" si="15"/>
        <v>1896.9</v>
      </c>
      <c r="M114" s="24" t="s">
        <v>1231</v>
      </c>
      <c r="N114" s="16" t="s">
        <v>1229</v>
      </c>
      <c r="O114" s="6" t="s">
        <v>1230</v>
      </c>
      <c r="P114" s="6" t="s">
        <v>1128</v>
      </c>
      <c r="Z114" s="19" t="str">
        <f ca="1">HYPERLINK("#"&amp;단가산출근거목록표!J2&amp;"!A"&amp;ROW(단가산출근거목록표!A9),"산근    6 →")</f>
        <v>산근    6 →</v>
      </c>
    </row>
    <row r="115" spans="1:26" ht="28.7" customHeight="1" x14ac:dyDescent="0.3">
      <c r="A115" s="9" t="s">
        <v>204</v>
      </c>
      <c r="B115" s="9" t="s">
        <v>193</v>
      </c>
      <c r="C115" s="86">
        <v>1.53</v>
      </c>
      <c r="D115" s="33" t="s">
        <v>14</v>
      </c>
      <c r="E115" s="62">
        <f t="shared" si="11"/>
        <v>24816</v>
      </c>
      <c r="F115" s="89">
        <f t="shared" si="12"/>
        <v>37968.400000000001</v>
      </c>
      <c r="G115" s="90">
        <f>단가산출근거목록표!F13</f>
        <v>18084</v>
      </c>
      <c r="H115" s="92">
        <f t="shared" si="13"/>
        <v>27668.5</v>
      </c>
      <c r="I115" s="90">
        <f>단가산출근거목록표!G13</f>
        <v>2498</v>
      </c>
      <c r="J115" s="92">
        <f t="shared" si="14"/>
        <v>3821.9</v>
      </c>
      <c r="K115" s="90">
        <f>단가산출근거목록표!H13</f>
        <v>4234</v>
      </c>
      <c r="L115" s="92">
        <f t="shared" si="15"/>
        <v>6478</v>
      </c>
      <c r="M115" s="24" t="s">
        <v>1209</v>
      </c>
      <c r="N115" s="16" t="s">
        <v>1207</v>
      </c>
      <c r="O115" s="6" t="s">
        <v>1208</v>
      </c>
      <c r="P115" s="6" t="s">
        <v>1128</v>
      </c>
      <c r="Z115" s="19" t="str">
        <f ca="1">HYPERLINK("#"&amp;단가산출근거목록표!J2&amp;"!A"&amp;ROW(단가산출근거목록표!A13),"산근   10 →")</f>
        <v>산근   10 →</v>
      </c>
    </row>
    <row r="116" spans="1:26" ht="28.7" customHeight="1" x14ac:dyDescent="0.3">
      <c r="A116" s="9" t="s">
        <v>472</v>
      </c>
      <c r="B116" s="9" t="s">
        <v>473</v>
      </c>
      <c r="C116" s="86">
        <v>2.9</v>
      </c>
      <c r="D116" s="33" t="s">
        <v>474</v>
      </c>
      <c r="E116" s="62">
        <f t="shared" si="11"/>
        <v>1912</v>
      </c>
      <c r="F116" s="88">
        <f t="shared" si="12"/>
        <v>5544.8</v>
      </c>
      <c r="G116" s="59">
        <v>0</v>
      </c>
      <c r="H116" s="89">
        <f t="shared" si="13"/>
        <v>0</v>
      </c>
      <c r="I116" s="90">
        <f>재료비목록표!E12</f>
        <v>1912</v>
      </c>
      <c r="J116" s="91">
        <f t="shared" si="14"/>
        <v>5544.8</v>
      </c>
      <c r="K116" s="59">
        <v>0</v>
      </c>
      <c r="L116" s="89">
        <f t="shared" si="15"/>
        <v>0</v>
      </c>
      <c r="M116" s="24" t="s">
        <v>1234</v>
      </c>
      <c r="N116" s="16" t="s">
        <v>1232</v>
      </c>
      <c r="O116" s="6" t="s">
        <v>1233</v>
      </c>
      <c r="P116" s="6" t="s">
        <v>1128</v>
      </c>
      <c r="Z116" s="19" t="str">
        <f ca="1">HYPERLINK("#"&amp;재료비목록표!G2&amp;"!A"&amp;ROW(재료비목록표!A12),"자재    9 →")</f>
        <v>자재    9 →</v>
      </c>
    </row>
    <row r="117" spans="1:26" ht="28.7" customHeight="1" x14ac:dyDescent="0.3">
      <c r="A117" s="24" t="s">
        <v>6</v>
      </c>
      <c r="B117" s="58"/>
      <c r="C117" s="58"/>
      <c r="D117" s="58"/>
      <c r="E117" s="58"/>
      <c r="F117" s="55">
        <f>J117+H117+L117</f>
        <v>1216838</v>
      </c>
      <c r="G117" s="58"/>
      <c r="H117" s="55">
        <f>ROUNDDOWN(SUMIF(P106:P116,O117,H106:H116),0)</f>
        <v>919291</v>
      </c>
      <c r="I117" s="58"/>
      <c r="J117" s="55">
        <f>ROUNDDOWN(SUMIF(P106:P116,O117,J106:J116),0)</f>
        <v>121969</v>
      </c>
      <c r="K117" s="58"/>
      <c r="L117" s="55">
        <f>ROUNDDOWN(SUMIF(P106:P116,O117,L106:L116),0)</f>
        <v>175578</v>
      </c>
      <c r="M117" s="58"/>
      <c r="O117" s="6" t="s">
        <v>1128</v>
      </c>
    </row>
    <row r="118" spans="1:26" ht="28.7" customHeight="1" x14ac:dyDescent="0.3">
      <c r="A118" s="83" t="s">
        <v>84</v>
      </c>
      <c r="B118" s="83"/>
      <c r="C118" s="84"/>
      <c r="D118" s="84"/>
      <c r="E118" s="84"/>
      <c r="F118" s="84"/>
      <c r="G118" s="84"/>
      <c r="H118" s="84"/>
      <c r="I118" s="84"/>
      <c r="J118" s="84"/>
      <c r="K118" s="84"/>
      <c r="L118" s="84"/>
      <c r="M118" s="84"/>
      <c r="N118" s="36" t="str">
        <f>HYPERLINK("#N"&amp;ROW(N130),"_x0005_`BDCOD|B01156_x0007_`POSS|"&amp;ROW(N120)&amp;"_x0007_`POSE|"&amp;ROW(N130)&amp;"_x0007_`")</f>
        <v>_x0005_`BDCOD|B01156_x0007_`POSS|120_x0007_`POSE|130_x0007_`</v>
      </c>
    </row>
    <row r="119" spans="1:26" ht="28.7" customHeight="1" x14ac:dyDescent="0.3">
      <c r="A119" s="43" t="s">
        <v>81</v>
      </c>
      <c r="B119" s="43" t="s">
        <v>86</v>
      </c>
      <c r="C119" s="85"/>
      <c r="D119" s="87" t="s">
        <v>36</v>
      </c>
      <c r="E119" s="85"/>
      <c r="F119" s="85"/>
      <c r="G119" s="85"/>
      <c r="H119" s="85"/>
      <c r="I119" s="85"/>
      <c r="J119" s="85"/>
      <c r="K119" s="85"/>
      <c r="L119" s="85"/>
      <c r="M119" s="87" t="s">
        <v>87</v>
      </c>
      <c r="O119" s="6" t="s">
        <v>1235</v>
      </c>
    </row>
    <row r="120" spans="1:26" ht="28.7" customHeight="1" x14ac:dyDescent="0.3">
      <c r="A120" s="9" t="s">
        <v>207</v>
      </c>
      <c r="B120" s="9" t="s">
        <v>208</v>
      </c>
      <c r="C120" s="86">
        <v>15</v>
      </c>
      <c r="D120" s="33" t="s">
        <v>42</v>
      </c>
      <c r="E120" s="62">
        <f t="shared" ref="E120:E130" si="16">I120+G120+K120</f>
        <v>30398</v>
      </c>
      <c r="F120" s="89">
        <f t="shared" ref="F120:F130" si="17">J120+H120+L120</f>
        <v>455970</v>
      </c>
      <c r="G120" s="90">
        <f>단가산출근거목록표!F14</f>
        <v>18289</v>
      </c>
      <c r="H120" s="92">
        <f t="shared" ref="H120:H130" si="18">IF(C120=0,0,ROUNDDOWN(G120*C120,1))</f>
        <v>274335</v>
      </c>
      <c r="I120" s="90">
        <f>단가산출근거목록표!G14</f>
        <v>5101</v>
      </c>
      <c r="J120" s="92">
        <f t="shared" ref="J120:J130" si="19">IF(C120=0,0,ROUNDDOWN(I120*C120,1))</f>
        <v>76515</v>
      </c>
      <c r="K120" s="90">
        <f>단가산출근거목록표!H14</f>
        <v>7008</v>
      </c>
      <c r="L120" s="92">
        <f t="shared" ref="L120:L130" si="20">IF(C120=0,0,ROUNDDOWN(K120*C120,1))</f>
        <v>105120</v>
      </c>
      <c r="M120" s="24" t="s">
        <v>1203</v>
      </c>
      <c r="N120" s="16" t="s">
        <v>1201</v>
      </c>
      <c r="O120" s="6" t="s">
        <v>1202</v>
      </c>
      <c r="P120" s="6" t="s">
        <v>1128</v>
      </c>
      <c r="Z120" s="19" t="str">
        <f ca="1">HYPERLINK("#"&amp;단가산출근거목록표!J2&amp;"!A"&amp;ROW(단가산출근거목록표!A14),"산근   11 →")</f>
        <v>산근   11 →</v>
      </c>
    </row>
    <row r="121" spans="1:26" ht="28.7" customHeight="1" x14ac:dyDescent="0.3">
      <c r="A121" s="9" t="s">
        <v>207</v>
      </c>
      <c r="B121" s="9" t="s">
        <v>232</v>
      </c>
      <c r="C121" s="86">
        <v>2.4</v>
      </c>
      <c r="D121" s="33" t="s">
        <v>42</v>
      </c>
      <c r="E121" s="62">
        <f t="shared" si="16"/>
        <v>29098</v>
      </c>
      <c r="F121" s="89">
        <f t="shared" si="17"/>
        <v>69835.199999999997</v>
      </c>
      <c r="G121" s="90">
        <f>단가산출근거목록표!F21</f>
        <v>17543</v>
      </c>
      <c r="H121" s="92">
        <f t="shared" si="18"/>
        <v>42103.199999999997</v>
      </c>
      <c r="I121" s="90">
        <f>단가산출근거목록표!G21</f>
        <v>4874</v>
      </c>
      <c r="J121" s="92">
        <f t="shared" si="19"/>
        <v>11697.6</v>
      </c>
      <c r="K121" s="90">
        <f>단가산출근거목록표!H21</f>
        <v>6681</v>
      </c>
      <c r="L121" s="92">
        <f t="shared" si="20"/>
        <v>16034.4</v>
      </c>
      <c r="M121" s="24" t="s">
        <v>1216</v>
      </c>
      <c r="N121" s="16" t="s">
        <v>1214</v>
      </c>
      <c r="O121" s="6" t="s">
        <v>1215</v>
      </c>
      <c r="P121" s="6" t="s">
        <v>1128</v>
      </c>
      <c r="Z121" s="19" t="str">
        <f ca="1">HYPERLINK("#"&amp;단가산출근거목록표!J2&amp;"!A"&amp;ROW(단가산출근거목록표!A21),"산근   18 →")</f>
        <v>산근   18 →</v>
      </c>
    </row>
    <row r="122" spans="1:26" ht="28.7" customHeight="1" x14ac:dyDescent="0.3">
      <c r="A122" s="9" t="s">
        <v>40</v>
      </c>
      <c r="B122" s="9" t="s">
        <v>41</v>
      </c>
      <c r="C122" s="86">
        <v>15</v>
      </c>
      <c r="D122" s="33" t="s">
        <v>42</v>
      </c>
      <c r="E122" s="62">
        <f t="shared" si="16"/>
        <v>52995</v>
      </c>
      <c r="F122" s="89">
        <f t="shared" si="17"/>
        <v>794925</v>
      </c>
      <c r="G122" s="90">
        <f>일위대가목록표!F9</f>
        <v>39641</v>
      </c>
      <c r="H122" s="92">
        <f t="shared" si="18"/>
        <v>594615</v>
      </c>
      <c r="I122" s="90">
        <f>일위대가목록표!G9</f>
        <v>4939</v>
      </c>
      <c r="J122" s="92">
        <f t="shared" si="19"/>
        <v>74085</v>
      </c>
      <c r="K122" s="90">
        <f>일위대가목록표!H9</f>
        <v>8415</v>
      </c>
      <c r="L122" s="92">
        <f t="shared" si="20"/>
        <v>126225</v>
      </c>
      <c r="M122" s="24" t="s">
        <v>1219</v>
      </c>
      <c r="N122" s="16" t="s">
        <v>1217</v>
      </c>
      <c r="O122" s="6" t="s">
        <v>1218</v>
      </c>
      <c r="P122" s="6" t="s">
        <v>1128</v>
      </c>
      <c r="Z122" s="19" t="str">
        <f ca="1">HYPERLINK("#"&amp;일위대가목록표!J2&amp;"!A"&amp;ROW(일위대가목록표!A9),"대가    6 →")</f>
        <v>대가    6 →</v>
      </c>
    </row>
    <row r="123" spans="1:26" ht="28.7" customHeight="1" x14ac:dyDescent="0.3">
      <c r="A123" s="9" t="s">
        <v>55</v>
      </c>
      <c r="B123" s="9" t="s">
        <v>59</v>
      </c>
      <c r="C123" s="86">
        <v>2.4</v>
      </c>
      <c r="D123" s="33" t="s">
        <v>42</v>
      </c>
      <c r="E123" s="62">
        <f t="shared" si="16"/>
        <v>58239</v>
      </c>
      <c r="F123" s="89">
        <f t="shared" si="17"/>
        <v>139773.6</v>
      </c>
      <c r="G123" s="90">
        <f>일위대가목록표!F13</f>
        <v>47358</v>
      </c>
      <c r="H123" s="92">
        <f t="shared" si="18"/>
        <v>113659.2</v>
      </c>
      <c r="I123" s="90">
        <f>일위대가목록표!G13</f>
        <v>4025</v>
      </c>
      <c r="J123" s="92">
        <f t="shared" si="19"/>
        <v>9660</v>
      </c>
      <c r="K123" s="90">
        <f>일위대가목록표!H13</f>
        <v>6856</v>
      </c>
      <c r="L123" s="92">
        <f t="shared" si="20"/>
        <v>16454.400000000001</v>
      </c>
      <c r="M123" s="24" t="s">
        <v>1222</v>
      </c>
      <c r="N123" s="16" t="s">
        <v>1220</v>
      </c>
      <c r="O123" s="6" t="s">
        <v>1221</v>
      </c>
      <c r="P123" s="6" t="s">
        <v>1128</v>
      </c>
      <c r="Z123" s="19" t="str">
        <f ca="1">HYPERLINK("#"&amp;일위대가목록표!J2&amp;"!A"&amp;ROW(일위대가목록표!A13),"대가   10 →")</f>
        <v>대가   10 →</v>
      </c>
    </row>
    <row r="124" spans="1:26" ht="28.7" customHeight="1" x14ac:dyDescent="0.3">
      <c r="A124" s="9" t="s">
        <v>108</v>
      </c>
      <c r="B124" s="9" t="s">
        <v>109</v>
      </c>
      <c r="C124" s="86">
        <v>0.65</v>
      </c>
      <c r="D124" s="33" t="s">
        <v>14</v>
      </c>
      <c r="E124" s="62">
        <f t="shared" si="16"/>
        <v>122871</v>
      </c>
      <c r="F124" s="89">
        <f t="shared" si="17"/>
        <v>79866.100000000006</v>
      </c>
      <c r="G124" s="90">
        <f>일위대가목록표!F24</f>
        <v>121559</v>
      </c>
      <c r="H124" s="92">
        <f t="shared" si="18"/>
        <v>79013.3</v>
      </c>
      <c r="I124" s="90">
        <f>일위대가목록표!G24</f>
        <v>1008</v>
      </c>
      <c r="J124" s="92">
        <f t="shared" si="19"/>
        <v>655.20000000000005</v>
      </c>
      <c r="K124" s="90">
        <f>일위대가목록표!H24</f>
        <v>304</v>
      </c>
      <c r="L124" s="92">
        <f t="shared" si="20"/>
        <v>197.6</v>
      </c>
      <c r="M124" s="24" t="s">
        <v>1225</v>
      </c>
      <c r="N124" s="16" t="s">
        <v>1223</v>
      </c>
      <c r="O124" s="6" t="s">
        <v>1224</v>
      </c>
      <c r="P124" s="6" t="s">
        <v>1128</v>
      </c>
      <c r="Z124" s="19" t="str">
        <f ca="1">HYPERLINK("#"&amp;일위대가목록표!J2&amp;"!A"&amp;ROW(일위대가목록표!A24),"대가   21 →")</f>
        <v>대가   21 →</v>
      </c>
    </row>
    <row r="125" spans="1:26" ht="28.7" customHeight="1" x14ac:dyDescent="0.3">
      <c r="A125" s="9" t="s">
        <v>108</v>
      </c>
      <c r="B125" s="9" t="s">
        <v>275</v>
      </c>
      <c r="C125" s="86">
        <v>3.38</v>
      </c>
      <c r="D125" s="33" t="s">
        <v>14</v>
      </c>
      <c r="E125" s="62">
        <f t="shared" si="16"/>
        <v>67383</v>
      </c>
      <c r="F125" s="89">
        <f t="shared" si="17"/>
        <v>227754.4</v>
      </c>
      <c r="G125" s="90">
        <f>단가산출근거목록표!F33</f>
        <v>66071</v>
      </c>
      <c r="H125" s="92">
        <f t="shared" si="18"/>
        <v>223319.9</v>
      </c>
      <c r="I125" s="90">
        <f>단가산출근거목록표!G33</f>
        <v>1008</v>
      </c>
      <c r="J125" s="92">
        <f t="shared" si="19"/>
        <v>3407</v>
      </c>
      <c r="K125" s="90">
        <f>단가산출근거목록표!H33</f>
        <v>304</v>
      </c>
      <c r="L125" s="92">
        <f t="shared" si="20"/>
        <v>1027.5</v>
      </c>
      <c r="M125" s="24" t="s">
        <v>1175</v>
      </c>
      <c r="N125" s="16" t="s">
        <v>1173</v>
      </c>
      <c r="O125" s="6" t="s">
        <v>1174</v>
      </c>
      <c r="P125" s="6" t="s">
        <v>1128</v>
      </c>
      <c r="Z125" s="19" t="str">
        <f ca="1">HYPERLINK("#"&amp;단가산출근거목록표!J2&amp;"!A"&amp;ROW(단가산출근거목록표!A33),"산근   30 →")</f>
        <v>산근   30 →</v>
      </c>
    </row>
    <row r="126" spans="1:26" ht="28.7" customHeight="1" x14ac:dyDescent="0.3">
      <c r="A126" s="9" t="s">
        <v>12</v>
      </c>
      <c r="B126" s="9" t="s">
        <v>13</v>
      </c>
      <c r="C126" s="86">
        <v>0.157</v>
      </c>
      <c r="D126" s="33" t="s">
        <v>14</v>
      </c>
      <c r="E126" s="62">
        <f t="shared" si="16"/>
        <v>109259</v>
      </c>
      <c r="F126" s="89">
        <f t="shared" si="17"/>
        <v>17153.599999999999</v>
      </c>
      <c r="G126" s="90">
        <f>일위대가목록표!F4</f>
        <v>109259</v>
      </c>
      <c r="H126" s="92">
        <f t="shared" si="18"/>
        <v>17153.599999999999</v>
      </c>
      <c r="I126" s="90">
        <f>일위대가목록표!G4</f>
        <v>0</v>
      </c>
      <c r="J126" s="92">
        <f t="shared" si="19"/>
        <v>0</v>
      </c>
      <c r="K126" s="90">
        <f>일위대가목록표!H4</f>
        <v>0</v>
      </c>
      <c r="L126" s="92">
        <f t="shared" si="20"/>
        <v>0</v>
      </c>
      <c r="M126" s="24" t="s">
        <v>1212</v>
      </c>
      <c r="N126" s="16" t="s">
        <v>1210</v>
      </c>
      <c r="O126" s="6" t="s">
        <v>1211</v>
      </c>
      <c r="P126" s="6" t="s">
        <v>1128</v>
      </c>
      <c r="Z126" s="19" t="str">
        <f ca="1">HYPERLINK("#"&amp;일위대가목록표!J2&amp;"!A"&amp;ROW(일위대가목록표!A4),"대가    1 →")</f>
        <v>대가    1 →</v>
      </c>
    </row>
    <row r="127" spans="1:26" ht="28.7" customHeight="1" x14ac:dyDescent="0.3">
      <c r="A127" s="9" t="s">
        <v>192</v>
      </c>
      <c r="B127" s="9" t="s">
        <v>193</v>
      </c>
      <c r="C127" s="86">
        <v>3.75</v>
      </c>
      <c r="D127" s="33" t="s">
        <v>14</v>
      </c>
      <c r="E127" s="62">
        <f t="shared" si="16"/>
        <v>12701</v>
      </c>
      <c r="F127" s="89">
        <f t="shared" si="17"/>
        <v>47628.7</v>
      </c>
      <c r="G127" s="90">
        <f>단가산출근거목록표!F10</f>
        <v>7908</v>
      </c>
      <c r="H127" s="92">
        <f t="shared" si="18"/>
        <v>29655</v>
      </c>
      <c r="I127" s="90">
        <f>단가산출근거목록표!G10</f>
        <v>1963</v>
      </c>
      <c r="J127" s="92">
        <f t="shared" si="19"/>
        <v>7361.2</v>
      </c>
      <c r="K127" s="90">
        <f>단가산출근거목록표!H10</f>
        <v>2830</v>
      </c>
      <c r="L127" s="92">
        <f t="shared" si="20"/>
        <v>10612.5</v>
      </c>
      <c r="M127" s="24" t="s">
        <v>1228</v>
      </c>
      <c r="N127" s="16" t="s">
        <v>1226</v>
      </c>
      <c r="O127" s="6" t="s">
        <v>1227</v>
      </c>
      <c r="P127" s="6" t="s">
        <v>1128</v>
      </c>
      <c r="Z127" s="19" t="str">
        <f ca="1">HYPERLINK("#"&amp;단가산출근거목록표!J2&amp;"!A"&amp;ROW(단가산출근거목록표!A10),"산근    7 →")</f>
        <v>산근    7 →</v>
      </c>
    </row>
    <row r="128" spans="1:26" ht="28.7" customHeight="1" x14ac:dyDescent="0.3">
      <c r="A128" s="9" t="s">
        <v>188</v>
      </c>
      <c r="B128" s="9" t="s">
        <v>189</v>
      </c>
      <c r="C128" s="86">
        <v>3.75</v>
      </c>
      <c r="D128" s="33" t="s">
        <v>14</v>
      </c>
      <c r="E128" s="62">
        <f t="shared" si="16"/>
        <v>8328</v>
      </c>
      <c r="F128" s="89">
        <f t="shared" si="17"/>
        <v>31230</v>
      </c>
      <c r="G128" s="90">
        <f>단가산출근거목록표!F9</f>
        <v>6878</v>
      </c>
      <c r="H128" s="92">
        <f t="shared" si="18"/>
        <v>25792.5</v>
      </c>
      <c r="I128" s="90">
        <f>단가산출근거목록표!G9</f>
        <v>538</v>
      </c>
      <c r="J128" s="92">
        <f t="shared" si="19"/>
        <v>2017.5</v>
      </c>
      <c r="K128" s="90">
        <f>단가산출근거목록표!H9</f>
        <v>912</v>
      </c>
      <c r="L128" s="92">
        <f t="shared" si="20"/>
        <v>3420</v>
      </c>
      <c r="M128" s="24" t="s">
        <v>1231</v>
      </c>
      <c r="N128" s="16" t="s">
        <v>1229</v>
      </c>
      <c r="O128" s="6" t="s">
        <v>1230</v>
      </c>
      <c r="P128" s="6" t="s">
        <v>1128</v>
      </c>
      <c r="Z128" s="19" t="str">
        <f ca="1">HYPERLINK("#"&amp;단가산출근거목록표!J2&amp;"!A"&amp;ROW(단가산출근거목록표!A9),"산근    6 →")</f>
        <v>산근    6 →</v>
      </c>
    </row>
    <row r="129" spans="1:26" ht="28.7" customHeight="1" x14ac:dyDescent="0.3">
      <c r="A129" s="9" t="s">
        <v>204</v>
      </c>
      <c r="B129" s="9" t="s">
        <v>193</v>
      </c>
      <c r="C129" s="86">
        <v>2.54</v>
      </c>
      <c r="D129" s="33" t="s">
        <v>14</v>
      </c>
      <c r="E129" s="62">
        <f t="shared" si="16"/>
        <v>24816</v>
      </c>
      <c r="F129" s="89">
        <f t="shared" si="17"/>
        <v>63032.5</v>
      </c>
      <c r="G129" s="90">
        <f>단가산출근거목록표!F13</f>
        <v>18084</v>
      </c>
      <c r="H129" s="92">
        <f t="shared" si="18"/>
        <v>45933.3</v>
      </c>
      <c r="I129" s="90">
        <f>단가산출근거목록표!G13</f>
        <v>2498</v>
      </c>
      <c r="J129" s="92">
        <f t="shared" si="19"/>
        <v>6344.9</v>
      </c>
      <c r="K129" s="90">
        <f>단가산출근거목록표!H13</f>
        <v>4234</v>
      </c>
      <c r="L129" s="92">
        <f t="shared" si="20"/>
        <v>10754.3</v>
      </c>
      <c r="M129" s="24" t="s">
        <v>1209</v>
      </c>
      <c r="N129" s="16" t="s">
        <v>1207</v>
      </c>
      <c r="O129" s="6" t="s">
        <v>1208</v>
      </c>
      <c r="P129" s="6" t="s">
        <v>1128</v>
      </c>
      <c r="Z129" s="19" t="str">
        <f ca="1">HYPERLINK("#"&amp;단가산출근거목록표!J2&amp;"!A"&amp;ROW(단가산출근거목록표!A13),"산근   10 →")</f>
        <v>산근   10 →</v>
      </c>
    </row>
    <row r="130" spans="1:26" ht="28.7" customHeight="1" x14ac:dyDescent="0.3">
      <c r="A130" s="9" t="s">
        <v>472</v>
      </c>
      <c r="B130" s="9" t="s">
        <v>473</v>
      </c>
      <c r="C130" s="86">
        <v>5.25</v>
      </c>
      <c r="D130" s="33" t="s">
        <v>474</v>
      </c>
      <c r="E130" s="62">
        <f t="shared" si="16"/>
        <v>1912</v>
      </c>
      <c r="F130" s="88">
        <f t="shared" si="17"/>
        <v>10038</v>
      </c>
      <c r="G130" s="59">
        <v>0</v>
      </c>
      <c r="H130" s="89">
        <f t="shared" si="18"/>
        <v>0</v>
      </c>
      <c r="I130" s="90">
        <f>재료비목록표!E12</f>
        <v>1912</v>
      </c>
      <c r="J130" s="91">
        <f t="shared" si="19"/>
        <v>10038</v>
      </c>
      <c r="K130" s="59">
        <v>0</v>
      </c>
      <c r="L130" s="89">
        <f t="shared" si="20"/>
        <v>0</v>
      </c>
      <c r="M130" s="24" t="s">
        <v>1234</v>
      </c>
      <c r="N130" s="16" t="s">
        <v>1232</v>
      </c>
      <c r="O130" s="6" t="s">
        <v>1233</v>
      </c>
      <c r="P130" s="6" t="s">
        <v>1128</v>
      </c>
      <c r="Z130" s="19" t="str">
        <f ca="1">HYPERLINK("#"&amp;재료비목록표!G2&amp;"!A"&amp;ROW(재료비목록표!A12),"자재    9 →")</f>
        <v>자재    9 →</v>
      </c>
    </row>
    <row r="131" spans="1:26" ht="28.7" customHeight="1" x14ac:dyDescent="0.3">
      <c r="A131" s="24" t="s">
        <v>6</v>
      </c>
      <c r="B131" s="58"/>
      <c r="C131" s="58"/>
      <c r="D131" s="58"/>
      <c r="E131" s="58"/>
      <c r="F131" s="55">
        <f>J131+H131+L131</f>
        <v>1937206</v>
      </c>
      <c r="G131" s="58"/>
      <c r="H131" s="55">
        <f>ROUNDDOWN(SUMIF(P120:P130,O131,H120:H130),0)</f>
        <v>1445580</v>
      </c>
      <c r="I131" s="58"/>
      <c r="J131" s="55">
        <f>ROUNDDOWN(SUMIF(P120:P130,O131,J120:J130),0)</f>
        <v>201781</v>
      </c>
      <c r="K131" s="58"/>
      <c r="L131" s="55">
        <f>ROUNDDOWN(SUMIF(P120:P130,O131,L120:L130),0)</f>
        <v>289845</v>
      </c>
      <c r="M131" s="58"/>
      <c r="O131" s="6" t="s">
        <v>1128</v>
      </c>
    </row>
    <row r="132" spans="1:26" ht="28.7" customHeight="1" x14ac:dyDescent="0.3">
      <c r="A132" s="83" t="s">
        <v>88</v>
      </c>
      <c r="B132" s="83"/>
      <c r="C132" s="84"/>
      <c r="D132" s="84"/>
      <c r="E132" s="84"/>
      <c r="F132" s="84"/>
      <c r="G132" s="84"/>
      <c r="H132" s="84"/>
      <c r="I132" s="84"/>
      <c r="J132" s="84"/>
      <c r="K132" s="84"/>
      <c r="L132" s="84"/>
      <c r="M132" s="84"/>
      <c r="N132" s="36" t="str">
        <f>HYPERLINK("#N"&amp;ROW(N141),"_x0005_`BDCOD|B01180_x0007_`POSS|"&amp;ROW(N134)&amp;"_x0007_`POSE|"&amp;ROW(N141)&amp;"_x0007_`")</f>
        <v>_x0005_`BDCOD|B01180_x0007_`POSS|134_x0007_`POSE|141_x0007_`</v>
      </c>
    </row>
    <row r="133" spans="1:26" ht="28.7" customHeight="1" x14ac:dyDescent="0.3">
      <c r="A133" s="43" t="s">
        <v>90</v>
      </c>
      <c r="B133" s="43" t="s">
        <v>91</v>
      </c>
      <c r="C133" s="85"/>
      <c r="D133" s="87" t="s">
        <v>20</v>
      </c>
      <c r="E133" s="85"/>
      <c r="F133" s="85"/>
      <c r="G133" s="85"/>
      <c r="H133" s="85"/>
      <c r="I133" s="85"/>
      <c r="J133" s="85"/>
      <c r="K133" s="85"/>
      <c r="L133" s="85"/>
      <c r="M133" s="87" t="s">
        <v>92</v>
      </c>
      <c r="O133" s="6" t="s">
        <v>1236</v>
      </c>
    </row>
    <row r="134" spans="1:26" ht="28.7" customHeight="1" x14ac:dyDescent="0.3">
      <c r="A134" s="9" t="s">
        <v>547</v>
      </c>
      <c r="B134" s="9" t="s">
        <v>499</v>
      </c>
      <c r="C134" s="86">
        <v>1.57</v>
      </c>
      <c r="D134" s="33" t="s">
        <v>548</v>
      </c>
      <c r="E134" s="62">
        <f t="shared" ref="E134:F141" si="21">I134+G134+K134</f>
        <v>0</v>
      </c>
      <c r="F134" s="88">
        <f t="shared" si="21"/>
        <v>0</v>
      </c>
      <c r="G134" s="59">
        <v>0</v>
      </c>
      <c r="H134" s="89">
        <f t="shared" ref="H134:H141" si="22">IF(C134=0,0,ROUNDDOWN(G134*C134,1))</f>
        <v>0</v>
      </c>
      <c r="I134" s="90">
        <f>재료비목록표!E28</f>
        <v>0</v>
      </c>
      <c r="J134" s="91">
        <f t="shared" ref="J134:J141" si="23">IF(C134=0,0,ROUNDDOWN(I134*C134,1))</f>
        <v>0</v>
      </c>
      <c r="K134" s="59">
        <v>0</v>
      </c>
      <c r="L134" s="89">
        <f t="shared" ref="L134:L141" si="24">IF(C134=0,0,ROUNDDOWN(K134*C134,1))</f>
        <v>0</v>
      </c>
      <c r="M134" s="24" t="s">
        <v>1239</v>
      </c>
      <c r="N134" s="16" t="s">
        <v>1237</v>
      </c>
      <c r="O134" s="6" t="s">
        <v>1238</v>
      </c>
      <c r="P134" s="6" t="s">
        <v>1128</v>
      </c>
      <c r="Z134" s="19" t="str">
        <f ca="1">HYPERLINK("#"&amp;재료비목록표!G2&amp;"!A"&amp;ROW(재료비목록표!A28),"자재   25 →")</f>
        <v>자재   25 →</v>
      </c>
    </row>
    <row r="135" spans="1:26" ht="28.7" customHeight="1" x14ac:dyDescent="0.3">
      <c r="A135" s="9" t="s">
        <v>40</v>
      </c>
      <c r="B135" s="9" t="s">
        <v>41</v>
      </c>
      <c r="C135" s="86">
        <v>1.57</v>
      </c>
      <c r="D135" s="33" t="s">
        <v>42</v>
      </c>
      <c r="E135" s="62">
        <f t="shared" si="21"/>
        <v>52995</v>
      </c>
      <c r="F135" s="89">
        <f t="shared" si="21"/>
        <v>83202</v>
      </c>
      <c r="G135" s="90">
        <f>일위대가목록표!F9</f>
        <v>39641</v>
      </c>
      <c r="H135" s="92">
        <f t="shared" si="22"/>
        <v>62236.3</v>
      </c>
      <c r="I135" s="90">
        <f>일위대가목록표!G9</f>
        <v>4939</v>
      </c>
      <c r="J135" s="92">
        <f t="shared" si="23"/>
        <v>7754.2</v>
      </c>
      <c r="K135" s="90">
        <f>일위대가목록표!H9</f>
        <v>8415</v>
      </c>
      <c r="L135" s="92">
        <f t="shared" si="24"/>
        <v>13211.5</v>
      </c>
      <c r="M135" s="24" t="s">
        <v>1219</v>
      </c>
      <c r="N135" s="16" t="s">
        <v>1217</v>
      </c>
      <c r="O135" s="6" t="s">
        <v>1218</v>
      </c>
      <c r="P135" s="6" t="s">
        <v>1128</v>
      </c>
      <c r="Z135" s="19" t="str">
        <f ca="1">HYPERLINK("#"&amp;일위대가목록표!J2&amp;"!A"&amp;ROW(일위대가목록표!A9),"대가    6 →")</f>
        <v>대가    6 →</v>
      </c>
    </row>
    <row r="136" spans="1:26" ht="28.7" customHeight="1" x14ac:dyDescent="0.3">
      <c r="A136" s="9" t="s">
        <v>204</v>
      </c>
      <c r="B136" s="9" t="s">
        <v>193</v>
      </c>
      <c r="C136" s="86">
        <v>0.24</v>
      </c>
      <c r="D136" s="33" t="s">
        <v>14</v>
      </c>
      <c r="E136" s="62">
        <f t="shared" si="21"/>
        <v>24816</v>
      </c>
      <c r="F136" s="89">
        <f t="shared" si="21"/>
        <v>5955.7000000000007</v>
      </c>
      <c r="G136" s="90">
        <f>단가산출근거목록표!F13</f>
        <v>18084</v>
      </c>
      <c r="H136" s="92">
        <f t="shared" si="22"/>
        <v>4340.1000000000004</v>
      </c>
      <c r="I136" s="90">
        <f>단가산출근거목록표!G13</f>
        <v>2498</v>
      </c>
      <c r="J136" s="92">
        <f t="shared" si="23"/>
        <v>599.5</v>
      </c>
      <c r="K136" s="90">
        <f>단가산출근거목록표!H13</f>
        <v>4234</v>
      </c>
      <c r="L136" s="92">
        <f t="shared" si="24"/>
        <v>1016.1</v>
      </c>
      <c r="M136" s="24" t="s">
        <v>1209</v>
      </c>
      <c r="N136" s="16" t="s">
        <v>1207</v>
      </c>
      <c r="O136" s="6" t="s">
        <v>1208</v>
      </c>
      <c r="P136" s="6" t="s">
        <v>1128</v>
      </c>
      <c r="Z136" s="19" t="str">
        <f ca="1">HYPERLINK("#"&amp;단가산출근거목록표!J2&amp;"!A"&amp;ROW(단가산출근거목록표!A13),"산근   10 →")</f>
        <v>산근   10 →</v>
      </c>
    </row>
    <row r="137" spans="1:26" ht="28.7" customHeight="1" x14ac:dyDescent="0.3">
      <c r="A137" s="9" t="s">
        <v>188</v>
      </c>
      <c r="B137" s="9" t="s">
        <v>189</v>
      </c>
      <c r="C137" s="86">
        <v>0.56000000000000005</v>
      </c>
      <c r="D137" s="33" t="s">
        <v>14</v>
      </c>
      <c r="E137" s="62">
        <f t="shared" si="21"/>
        <v>8328</v>
      </c>
      <c r="F137" s="89">
        <f t="shared" si="21"/>
        <v>4663.5</v>
      </c>
      <c r="G137" s="90">
        <f>단가산출근거목록표!F9</f>
        <v>6878</v>
      </c>
      <c r="H137" s="92">
        <f t="shared" si="22"/>
        <v>3851.6</v>
      </c>
      <c r="I137" s="90">
        <f>단가산출근거목록표!G9</f>
        <v>538</v>
      </c>
      <c r="J137" s="92">
        <f t="shared" si="23"/>
        <v>301.2</v>
      </c>
      <c r="K137" s="90">
        <f>단가산출근거목록표!H9</f>
        <v>912</v>
      </c>
      <c r="L137" s="92">
        <f t="shared" si="24"/>
        <v>510.7</v>
      </c>
      <c r="M137" s="24" t="s">
        <v>1231</v>
      </c>
      <c r="N137" s="16" t="s">
        <v>1229</v>
      </c>
      <c r="O137" s="6" t="s">
        <v>1230</v>
      </c>
      <c r="P137" s="6" t="s">
        <v>1128</v>
      </c>
      <c r="Z137" s="19" t="str">
        <f ca="1">HYPERLINK("#"&amp;단가산출근거목록표!J2&amp;"!A"&amp;ROW(단가산출근거목록표!A9),"산근    6 →")</f>
        <v>산근    6 →</v>
      </c>
    </row>
    <row r="138" spans="1:26" ht="28.7" customHeight="1" x14ac:dyDescent="0.3">
      <c r="A138" s="9" t="s">
        <v>192</v>
      </c>
      <c r="B138" s="9" t="s">
        <v>193</v>
      </c>
      <c r="C138" s="86">
        <v>0.56000000000000005</v>
      </c>
      <c r="D138" s="33" t="s">
        <v>14</v>
      </c>
      <c r="E138" s="62">
        <f t="shared" si="21"/>
        <v>12701</v>
      </c>
      <c r="F138" s="89">
        <f t="shared" si="21"/>
        <v>7112.4</v>
      </c>
      <c r="G138" s="90">
        <f>단가산출근거목록표!F10</f>
        <v>7908</v>
      </c>
      <c r="H138" s="92">
        <f t="shared" si="22"/>
        <v>4428.3999999999996</v>
      </c>
      <c r="I138" s="90">
        <f>단가산출근거목록표!G10</f>
        <v>1963</v>
      </c>
      <c r="J138" s="92">
        <f t="shared" si="23"/>
        <v>1099.2</v>
      </c>
      <c r="K138" s="90">
        <f>단가산출근거목록표!H10</f>
        <v>2830</v>
      </c>
      <c r="L138" s="92">
        <f t="shared" si="24"/>
        <v>1584.8</v>
      </c>
      <c r="M138" s="24" t="s">
        <v>1228</v>
      </c>
      <c r="N138" s="16" t="s">
        <v>1226</v>
      </c>
      <c r="O138" s="6" t="s">
        <v>1227</v>
      </c>
      <c r="P138" s="6" t="s">
        <v>1128</v>
      </c>
      <c r="Z138" s="19" t="str">
        <f ca="1">HYPERLINK("#"&amp;단가산출근거목록표!J2&amp;"!A"&amp;ROW(단가산출근거목록표!A10),"산근    7 →")</f>
        <v>산근    7 →</v>
      </c>
    </row>
    <row r="139" spans="1:26" ht="28.7" customHeight="1" x14ac:dyDescent="0.3">
      <c r="A139" s="9" t="s">
        <v>472</v>
      </c>
      <c r="B139" s="9" t="s">
        <v>473</v>
      </c>
      <c r="C139" s="86">
        <v>0.65</v>
      </c>
      <c r="D139" s="33" t="s">
        <v>474</v>
      </c>
      <c r="E139" s="62">
        <f t="shared" si="21"/>
        <v>1912</v>
      </c>
      <c r="F139" s="88">
        <f t="shared" si="21"/>
        <v>1242.8</v>
      </c>
      <c r="G139" s="59">
        <v>0</v>
      </c>
      <c r="H139" s="89">
        <f t="shared" si="22"/>
        <v>0</v>
      </c>
      <c r="I139" s="90">
        <f>재료비목록표!E12</f>
        <v>1912</v>
      </c>
      <c r="J139" s="91">
        <f t="shared" si="23"/>
        <v>1242.8</v>
      </c>
      <c r="K139" s="59">
        <v>0</v>
      </c>
      <c r="L139" s="89">
        <f t="shared" si="24"/>
        <v>0</v>
      </c>
      <c r="M139" s="24" t="s">
        <v>1234</v>
      </c>
      <c r="N139" s="16" t="s">
        <v>1232</v>
      </c>
      <c r="O139" s="6" t="s">
        <v>1233</v>
      </c>
      <c r="P139" s="6" t="s">
        <v>1128</v>
      </c>
      <c r="Z139" s="19" t="str">
        <f ca="1">HYPERLINK("#"&amp;재료비목록표!G2&amp;"!A"&amp;ROW(재료비목록표!A12),"자재    9 →")</f>
        <v>자재    9 →</v>
      </c>
    </row>
    <row r="140" spans="1:26" ht="28.7" customHeight="1" x14ac:dyDescent="0.3">
      <c r="A140" s="9" t="s">
        <v>108</v>
      </c>
      <c r="B140" s="9" t="s">
        <v>275</v>
      </c>
      <c r="C140" s="86">
        <v>0.31</v>
      </c>
      <c r="D140" s="33" t="s">
        <v>14</v>
      </c>
      <c r="E140" s="62">
        <f t="shared" si="21"/>
        <v>67383</v>
      </c>
      <c r="F140" s="89">
        <f t="shared" si="21"/>
        <v>20888.600000000002</v>
      </c>
      <c r="G140" s="90">
        <f>단가산출근거목록표!F33</f>
        <v>66071</v>
      </c>
      <c r="H140" s="92">
        <f t="shared" si="22"/>
        <v>20482</v>
      </c>
      <c r="I140" s="90">
        <f>단가산출근거목록표!G33</f>
        <v>1008</v>
      </c>
      <c r="J140" s="92">
        <f t="shared" si="23"/>
        <v>312.39999999999998</v>
      </c>
      <c r="K140" s="90">
        <f>단가산출근거목록표!H33</f>
        <v>304</v>
      </c>
      <c r="L140" s="92">
        <f t="shared" si="24"/>
        <v>94.2</v>
      </c>
      <c r="M140" s="24" t="s">
        <v>1175</v>
      </c>
      <c r="N140" s="16" t="s">
        <v>1173</v>
      </c>
      <c r="O140" s="6" t="s">
        <v>1174</v>
      </c>
      <c r="P140" s="6" t="s">
        <v>1128</v>
      </c>
      <c r="Z140" s="19" t="str">
        <f ca="1">HYPERLINK("#"&amp;단가산출근거목록표!J2&amp;"!A"&amp;ROW(단가산출근거목록표!A33),"산근   30 →")</f>
        <v>산근   30 →</v>
      </c>
    </row>
    <row r="141" spans="1:26" ht="28.7" customHeight="1" x14ac:dyDescent="0.3">
      <c r="A141" s="9" t="s">
        <v>12</v>
      </c>
      <c r="B141" s="9" t="s">
        <v>13</v>
      </c>
      <c r="C141" s="86">
        <v>1.4E-2</v>
      </c>
      <c r="D141" s="33" t="s">
        <v>14</v>
      </c>
      <c r="E141" s="62">
        <f t="shared" si="21"/>
        <v>109259</v>
      </c>
      <c r="F141" s="89">
        <f t="shared" si="21"/>
        <v>1529.6</v>
      </c>
      <c r="G141" s="90">
        <f>일위대가목록표!F4</f>
        <v>109259</v>
      </c>
      <c r="H141" s="92">
        <f t="shared" si="22"/>
        <v>1529.6</v>
      </c>
      <c r="I141" s="90">
        <f>일위대가목록표!G4</f>
        <v>0</v>
      </c>
      <c r="J141" s="92">
        <f t="shared" si="23"/>
        <v>0</v>
      </c>
      <c r="K141" s="90">
        <f>일위대가목록표!H4</f>
        <v>0</v>
      </c>
      <c r="L141" s="92">
        <f t="shared" si="24"/>
        <v>0</v>
      </c>
      <c r="M141" s="24" t="s">
        <v>1212</v>
      </c>
      <c r="N141" s="16" t="s">
        <v>1210</v>
      </c>
      <c r="O141" s="6" t="s">
        <v>1211</v>
      </c>
      <c r="P141" s="6" t="s">
        <v>1128</v>
      </c>
      <c r="Z141" s="19" t="str">
        <f ca="1">HYPERLINK("#"&amp;일위대가목록표!J2&amp;"!A"&amp;ROW(일위대가목록표!A4),"대가    1 →")</f>
        <v>대가    1 →</v>
      </c>
    </row>
    <row r="142" spans="1:26" ht="28.7" customHeight="1" x14ac:dyDescent="0.3">
      <c r="A142" s="24" t="s">
        <v>6</v>
      </c>
      <c r="B142" s="58"/>
      <c r="C142" s="58"/>
      <c r="D142" s="58"/>
      <c r="E142" s="58"/>
      <c r="F142" s="55">
        <f>J142+H142+L142</f>
        <v>124594</v>
      </c>
      <c r="G142" s="58"/>
      <c r="H142" s="55">
        <f>ROUNDDOWN(SUMIF(P134:P141,O142,H134:H141),0)</f>
        <v>96868</v>
      </c>
      <c r="I142" s="58"/>
      <c r="J142" s="55">
        <f>ROUNDDOWN(SUMIF(P134:P141,O142,J134:J141),0)</f>
        <v>11309</v>
      </c>
      <c r="K142" s="58"/>
      <c r="L142" s="55">
        <f>ROUNDDOWN(SUMIF(P134:P141,O142,L134:L141),0)</f>
        <v>16417</v>
      </c>
      <c r="M142" s="58"/>
      <c r="O142" s="6" t="s">
        <v>1128</v>
      </c>
    </row>
    <row r="143" spans="1:26" ht="28.7" customHeight="1" x14ac:dyDescent="0.3">
      <c r="A143" s="83" t="s">
        <v>93</v>
      </c>
      <c r="B143" s="83"/>
      <c r="C143" s="84"/>
      <c r="D143" s="84"/>
      <c r="E143" s="84"/>
      <c r="F143" s="84"/>
      <c r="G143" s="84"/>
      <c r="H143" s="84"/>
      <c r="I143" s="84"/>
      <c r="J143" s="84"/>
      <c r="K143" s="84"/>
      <c r="L143" s="84"/>
      <c r="M143" s="84"/>
      <c r="N143" s="36" t="str">
        <f>HYPERLINK("#N"&amp;ROW(N149),"_x0005_`BDCOD|B01183_x0007_`POSS|"&amp;ROW(N145)&amp;"_x0007_`POSE|"&amp;ROW(N149)&amp;"_x0007_`")</f>
        <v>_x0005_`BDCOD|B01183_x0007_`POSS|145_x0007_`POSE|149_x0007_`</v>
      </c>
    </row>
    <row r="144" spans="1:26" ht="28.7" customHeight="1" x14ac:dyDescent="0.3">
      <c r="A144" s="43" t="s">
        <v>95</v>
      </c>
      <c r="B144" s="43" t="s">
        <v>96</v>
      </c>
      <c r="C144" s="85"/>
      <c r="D144" s="87" t="s">
        <v>20</v>
      </c>
      <c r="E144" s="85"/>
      <c r="F144" s="85"/>
      <c r="G144" s="85"/>
      <c r="H144" s="85"/>
      <c r="I144" s="85"/>
      <c r="J144" s="85"/>
      <c r="K144" s="85"/>
      <c r="L144" s="85"/>
      <c r="M144" s="87" t="s">
        <v>97</v>
      </c>
      <c r="O144" s="6" t="s">
        <v>1240</v>
      </c>
    </row>
    <row r="145" spans="1:26" ht="28.7" customHeight="1" x14ac:dyDescent="0.3">
      <c r="A145" s="9" t="s">
        <v>547</v>
      </c>
      <c r="B145" s="9" t="s">
        <v>499</v>
      </c>
      <c r="C145" s="86">
        <v>2.09</v>
      </c>
      <c r="D145" s="33" t="s">
        <v>548</v>
      </c>
      <c r="E145" s="62">
        <f t="shared" ref="E145:F149" si="25">I145+G145+K145</f>
        <v>0</v>
      </c>
      <c r="F145" s="88">
        <f t="shared" si="25"/>
        <v>0</v>
      </c>
      <c r="G145" s="59">
        <v>0</v>
      </c>
      <c r="H145" s="89">
        <f>IF(C145=0,0,ROUNDDOWN(G145*C145,1))</f>
        <v>0</v>
      </c>
      <c r="I145" s="90">
        <f>재료비목록표!E28</f>
        <v>0</v>
      </c>
      <c r="J145" s="91">
        <f>IF(C145=0,0,ROUNDDOWN(I145*C145,1))</f>
        <v>0</v>
      </c>
      <c r="K145" s="59">
        <v>0</v>
      </c>
      <c r="L145" s="89">
        <f>IF(C145=0,0,ROUNDDOWN(K145*C145,1))</f>
        <v>0</v>
      </c>
      <c r="M145" s="24" t="s">
        <v>1239</v>
      </c>
      <c r="N145" s="16" t="s">
        <v>1237</v>
      </c>
      <c r="O145" s="6" t="s">
        <v>1238</v>
      </c>
      <c r="P145" s="6" t="s">
        <v>1128</v>
      </c>
      <c r="Z145" s="19" t="str">
        <f ca="1">HYPERLINK("#"&amp;재료비목록표!G2&amp;"!A"&amp;ROW(재료비목록표!A28),"자재   25 →")</f>
        <v>자재   25 →</v>
      </c>
    </row>
    <row r="146" spans="1:26" ht="28.7" customHeight="1" x14ac:dyDescent="0.3">
      <c r="A146" s="9" t="s">
        <v>63</v>
      </c>
      <c r="B146" s="9" t="s">
        <v>41</v>
      </c>
      <c r="C146" s="86">
        <v>2.09</v>
      </c>
      <c r="D146" s="33" t="s">
        <v>42</v>
      </c>
      <c r="E146" s="62">
        <f t="shared" si="25"/>
        <v>68835</v>
      </c>
      <c r="F146" s="89">
        <f t="shared" si="25"/>
        <v>143865</v>
      </c>
      <c r="G146" s="90">
        <f>일위대가목록표!F14</f>
        <v>50534</v>
      </c>
      <c r="H146" s="92">
        <f>IF(C146=0,0,ROUNDDOWN(G146*C146,1))</f>
        <v>105616</v>
      </c>
      <c r="I146" s="90">
        <f>일위대가목록표!G14</f>
        <v>6769</v>
      </c>
      <c r="J146" s="92">
        <f>IF(C146=0,0,ROUNDDOWN(I146*C146,1))</f>
        <v>14147.2</v>
      </c>
      <c r="K146" s="90">
        <f>일위대가목록표!H14</f>
        <v>11532</v>
      </c>
      <c r="L146" s="92">
        <f>IF(C146=0,0,ROUNDDOWN(K146*C146,1))</f>
        <v>24101.8</v>
      </c>
      <c r="M146" s="24" t="s">
        <v>1243</v>
      </c>
      <c r="N146" s="16" t="s">
        <v>1241</v>
      </c>
      <c r="O146" s="6" t="s">
        <v>1242</v>
      </c>
      <c r="P146" s="6" t="s">
        <v>1128</v>
      </c>
      <c r="Z146" s="19" t="str">
        <f ca="1">HYPERLINK("#"&amp;일위대가목록표!J2&amp;"!A"&amp;ROW(일위대가목록표!A14),"대가   11 →")</f>
        <v>대가   11 →</v>
      </c>
    </row>
    <row r="147" spans="1:26" ht="28.7" customHeight="1" x14ac:dyDescent="0.3">
      <c r="A147" s="9" t="s">
        <v>204</v>
      </c>
      <c r="B147" s="9" t="s">
        <v>193</v>
      </c>
      <c r="C147" s="86">
        <v>0.31</v>
      </c>
      <c r="D147" s="33" t="s">
        <v>14</v>
      </c>
      <c r="E147" s="62">
        <f t="shared" si="25"/>
        <v>24816</v>
      </c>
      <c r="F147" s="89">
        <f t="shared" si="25"/>
        <v>7692.8</v>
      </c>
      <c r="G147" s="90">
        <f>단가산출근거목록표!F13</f>
        <v>18084</v>
      </c>
      <c r="H147" s="92">
        <f>IF(C147=0,0,ROUNDDOWN(G147*C147,1))</f>
        <v>5606</v>
      </c>
      <c r="I147" s="90">
        <f>단가산출근거목록표!G13</f>
        <v>2498</v>
      </c>
      <c r="J147" s="92">
        <f>IF(C147=0,0,ROUNDDOWN(I147*C147,1))</f>
        <v>774.3</v>
      </c>
      <c r="K147" s="90">
        <f>단가산출근거목록표!H13</f>
        <v>4234</v>
      </c>
      <c r="L147" s="92">
        <f>IF(C147=0,0,ROUNDDOWN(K147*C147,1))</f>
        <v>1312.5</v>
      </c>
      <c r="M147" s="24" t="s">
        <v>1209</v>
      </c>
      <c r="N147" s="16" t="s">
        <v>1207</v>
      </c>
      <c r="O147" s="6" t="s">
        <v>1208</v>
      </c>
      <c r="P147" s="6" t="s">
        <v>1128</v>
      </c>
      <c r="Z147" s="19" t="str">
        <f ca="1">HYPERLINK("#"&amp;단가산출근거목록표!J2&amp;"!A"&amp;ROW(단가산출근거목록표!A13),"산근   10 →")</f>
        <v>산근   10 →</v>
      </c>
    </row>
    <row r="148" spans="1:26" ht="28.7" customHeight="1" x14ac:dyDescent="0.3">
      <c r="A148" s="9" t="s">
        <v>188</v>
      </c>
      <c r="B148" s="9" t="s">
        <v>189</v>
      </c>
      <c r="C148" s="86">
        <v>0.75</v>
      </c>
      <c r="D148" s="33" t="s">
        <v>14</v>
      </c>
      <c r="E148" s="62">
        <f t="shared" si="25"/>
        <v>8328</v>
      </c>
      <c r="F148" s="89">
        <f t="shared" si="25"/>
        <v>6246</v>
      </c>
      <c r="G148" s="90">
        <f>단가산출근거목록표!F9</f>
        <v>6878</v>
      </c>
      <c r="H148" s="92">
        <f>IF(C148=0,0,ROUNDDOWN(G148*C148,1))</f>
        <v>5158.5</v>
      </c>
      <c r="I148" s="90">
        <f>단가산출근거목록표!G9</f>
        <v>538</v>
      </c>
      <c r="J148" s="92">
        <f>IF(C148=0,0,ROUNDDOWN(I148*C148,1))</f>
        <v>403.5</v>
      </c>
      <c r="K148" s="90">
        <f>단가산출근거목록표!H9</f>
        <v>912</v>
      </c>
      <c r="L148" s="92">
        <f>IF(C148=0,0,ROUNDDOWN(K148*C148,1))</f>
        <v>684</v>
      </c>
      <c r="M148" s="24" t="s">
        <v>1231</v>
      </c>
      <c r="N148" s="16" t="s">
        <v>1229</v>
      </c>
      <c r="O148" s="6" t="s">
        <v>1230</v>
      </c>
      <c r="P148" s="6" t="s">
        <v>1128</v>
      </c>
      <c r="Z148" s="19" t="str">
        <f ca="1">HYPERLINK("#"&amp;단가산출근거목록표!J2&amp;"!A"&amp;ROW(단가산출근거목록표!A9),"산근    6 →")</f>
        <v>산근    6 →</v>
      </c>
    </row>
    <row r="149" spans="1:26" ht="28.7" customHeight="1" x14ac:dyDescent="0.3">
      <c r="A149" s="9" t="s">
        <v>192</v>
      </c>
      <c r="B149" s="9" t="s">
        <v>193</v>
      </c>
      <c r="C149" s="86">
        <v>0.75</v>
      </c>
      <c r="D149" s="33" t="s">
        <v>14</v>
      </c>
      <c r="E149" s="62">
        <f t="shared" si="25"/>
        <v>12701</v>
      </c>
      <c r="F149" s="89">
        <f t="shared" si="25"/>
        <v>9525.7000000000007</v>
      </c>
      <c r="G149" s="90">
        <f>단가산출근거목록표!F10</f>
        <v>7908</v>
      </c>
      <c r="H149" s="92">
        <f>IF(C149=0,0,ROUNDDOWN(G149*C149,1))</f>
        <v>5931</v>
      </c>
      <c r="I149" s="90">
        <f>단가산출근거목록표!G10</f>
        <v>1963</v>
      </c>
      <c r="J149" s="92">
        <f>IF(C149=0,0,ROUNDDOWN(I149*C149,1))</f>
        <v>1472.2</v>
      </c>
      <c r="K149" s="90">
        <f>단가산출근거목록표!H10</f>
        <v>2830</v>
      </c>
      <c r="L149" s="92">
        <f>IF(C149=0,0,ROUNDDOWN(K149*C149,1))</f>
        <v>2122.5</v>
      </c>
      <c r="M149" s="24" t="s">
        <v>1228</v>
      </c>
      <c r="N149" s="16" t="s">
        <v>1226</v>
      </c>
      <c r="O149" s="6" t="s">
        <v>1227</v>
      </c>
      <c r="P149" s="6" t="s">
        <v>1128</v>
      </c>
      <c r="Z149" s="19" t="str">
        <f ca="1">HYPERLINK("#"&amp;단가산출근거목록표!J2&amp;"!A"&amp;ROW(단가산출근거목록표!A10),"산근    7 →")</f>
        <v>산근    7 →</v>
      </c>
    </row>
    <row r="150" spans="1:26" ht="28.7" customHeight="1" x14ac:dyDescent="0.3">
      <c r="A150" s="24" t="s">
        <v>6</v>
      </c>
      <c r="B150" s="58"/>
      <c r="C150" s="58"/>
      <c r="D150" s="58"/>
      <c r="E150" s="58"/>
      <c r="F150" s="55">
        <f>J150+H150+L150</f>
        <v>167328</v>
      </c>
      <c r="G150" s="58"/>
      <c r="H150" s="55">
        <f>ROUNDDOWN(SUMIF(P145:P149,O150,H145:H149),0)</f>
        <v>122311</v>
      </c>
      <c r="I150" s="58"/>
      <c r="J150" s="55">
        <f>ROUNDDOWN(SUMIF(P145:P149,O150,J145:J149),0)</f>
        <v>16797</v>
      </c>
      <c r="K150" s="58"/>
      <c r="L150" s="55">
        <f>ROUNDDOWN(SUMIF(P145:P149,O150,L145:L149),0)</f>
        <v>28220</v>
      </c>
      <c r="M150" s="58"/>
      <c r="O150" s="6" t="s">
        <v>1128</v>
      </c>
    </row>
    <row r="151" spans="1:26" ht="28.7" customHeight="1" x14ac:dyDescent="0.3">
      <c r="A151" s="83" t="s">
        <v>98</v>
      </c>
      <c r="B151" s="83"/>
      <c r="C151" s="84"/>
      <c r="D151" s="84"/>
      <c r="E151" s="84"/>
      <c r="F151" s="84"/>
      <c r="G151" s="84"/>
      <c r="H151" s="84"/>
      <c r="I151" s="84"/>
      <c r="J151" s="84"/>
      <c r="K151" s="84"/>
      <c r="L151" s="84"/>
      <c r="M151" s="84"/>
      <c r="N151" s="36" t="str">
        <f>HYPERLINK("#N"&amp;ROW(N157),"_x0005_`BDCOD|B01184_x0007_`POSS|"&amp;ROW(N153)&amp;"_x0007_`POSE|"&amp;ROW(N157)&amp;"_x0007_`")</f>
        <v>_x0005_`BDCOD|B01184_x0007_`POSS|153_x0007_`POSE|157_x0007_`</v>
      </c>
    </row>
    <row r="152" spans="1:26" ht="28.7" customHeight="1" x14ac:dyDescent="0.3">
      <c r="A152" s="43" t="s">
        <v>95</v>
      </c>
      <c r="B152" s="43" t="s">
        <v>100</v>
      </c>
      <c r="C152" s="85"/>
      <c r="D152" s="87" t="s">
        <v>20</v>
      </c>
      <c r="E152" s="85"/>
      <c r="F152" s="85"/>
      <c r="G152" s="85"/>
      <c r="H152" s="85"/>
      <c r="I152" s="85"/>
      <c r="J152" s="85"/>
      <c r="K152" s="85"/>
      <c r="L152" s="85"/>
      <c r="M152" s="87" t="s">
        <v>101</v>
      </c>
      <c r="O152" s="6" t="s">
        <v>1244</v>
      </c>
    </row>
    <row r="153" spans="1:26" ht="28.7" customHeight="1" x14ac:dyDescent="0.3">
      <c r="A153" s="9" t="s">
        <v>547</v>
      </c>
      <c r="B153" s="9" t="s">
        <v>499</v>
      </c>
      <c r="C153" s="86">
        <v>2.61</v>
      </c>
      <c r="D153" s="33" t="s">
        <v>548</v>
      </c>
      <c r="E153" s="62">
        <f t="shared" ref="E153:F157" si="26">I153+G153+K153</f>
        <v>0</v>
      </c>
      <c r="F153" s="88">
        <f t="shared" si="26"/>
        <v>0</v>
      </c>
      <c r="G153" s="59">
        <v>0</v>
      </c>
      <c r="H153" s="89">
        <f>IF(C153=0,0,ROUNDDOWN(G153*C153,1))</f>
        <v>0</v>
      </c>
      <c r="I153" s="90">
        <f>재료비목록표!E28</f>
        <v>0</v>
      </c>
      <c r="J153" s="91">
        <f>IF(C153=0,0,ROUNDDOWN(I153*C153,1))</f>
        <v>0</v>
      </c>
      <c r="K153" s="59">
        <v>0</v>
      </c>
      <c r="L153" s="89">
        <f>IF(C153=0,0,ROUNDDOWN(K153*C153,1))</f>
        <v>0</v>
      </c>
      <c r="M153" s="24" t="s">
        <v>1239</v>
      </c>
      <c r="N153" s="16" t="s">
        <v>1237</v>
      </c>
      <c r="O153" s="6" t="s">
        <v>1238</v>
      </c>
      <c r="P153" s="6" t="s">
        <v>1128</v>
      </c>
      <c r="Z153" s="19" t="str">
        <f ca="1">HYPERLINK("#"&amp;재료비목록표!G2&amp;"!A"&amp;ROW(재료비목록표!A28),"자재   25 →")</f>
        <v>자재   25 →</v>
      </c>
    </row>
    <row r="154" spans="1:26" ht="28.7" customHeight="1" x14ac:dyDescent="0.3">
      <c r="A154" s="9" t="s">
        <v>63</v>
      </c>
      <c r="B154" s="9" t="s">
        <v>41</v>
      </c>
      <c r="C154" s="86">
        <v>2.61</v>
      </c>
      <c r="D154" s="33" t="s">
        <v>42</v>
      </c>
      <c r="E154" s="62">
        <f t="shared" si="26"/>
        <v>68835</v>
      </c>
      <c r="F154" s="89">
        <f t="shared" si="26"/>
        <v>179659.2</v>
      </c>
      <c r="G154" s="90">
        <f>일위대가목록표!F14</f>
        <v>50534</v>
      </c>
      <c r="H154" s="92">
        <f>IF(C154=0,0,ROUNDDOWN(G154*C154,1))</f>
        <v>131893.70000000001</v>
      </c>
      <c r="I154" s="90">
        <f>일위대가목록표!G14</f>
        <v>6769</v>
      </c>
      <c r="J154" s="92">
        <f>IF(C154=0,0,ROUNDDOWN(I154*C154,1))</f>
        <v>17667</v>
      </c>
      <c r="K154" s="90">
        <f>일위대가목록표!H14</f>
        <v>11532</v>
      </c>
      <c r="L154" s="92">
        <f>IF(C154=0,0,ROUNDDOWN(K154*C154,1))</f>
        <v>30098.5</v>
      </c>
      <c r="M154" s="24" t="s">
        <v>1243</v>
      </c>
      <c r="N154" s="16" t="s">
        <v>1241</v>
      </c>
      <c r="O154" s="6" t="s">
        <v>1242</v>
      </c>
      <c r="P154" s="6" t="s">
        <v>1128</v>
      </c>
      <c r="Z154" s="19" t="str">
        <f ca="1">HYPERLINK("#"&amp;일위대가목록표!J2&amp;"!A"&amp;ROW(일위대가목록표!A14),"대가   11 →")</f>
        <v>대가   11 →</v>
      </c>
    </row>
    <row r="155" spans="1:26" ht="28.7" customHeight="1" x14ac:dyDescent="0.3">
      <c r="A155" s="9" t="s">
        <v>204</v>
      </c>
      <c r="B155" s="9" t="s">
        <v>193</v>
      </c>
      <c r="C155" s="86">
        <v>0.39</v>
      </c>
      <c r="D155" s="33" t="s">
        <v>14</v>
      </c>
      <c r="E155" s="62">
        <f t="shared" si="26"/>
        <v>24816</v>
      </c>
      <c r="F155" s="89">
        <f t="shared" si="26"/>
        <v>9678.1</v>
      </c>
      <c r="G155" s="90">
        <f>단가산출근거목록표!F13</f>
        <v>18084</v>
      </c>
      <c r="H155" s="92">
        <f>IF(C155=0,0,ROUNDDOWN(G155*C155,1))</f>
        <v>7052.7</v>
      </c>
      <c r="I155" s="90">
        <f>단가산출근거목록표!G13</f>
        <v>2498</v>
      </c>
      <c r="J155" s="92">
        <f>IF(C155=0,0,ROUNDDOWN(I155*C155,1))</f>
        <v>974.2</v>
      </c>
      <c r="K155" s="90">
        <f>단가산출근거목록표!H13</f>
        <v>4234</v>
      </c>
      <c r="L155" s="92">
        <f>IF(C155=0,0,ROUNDDOWN(K155*C155,1))</f>
        <v>1651.2</v>
      </c>
      <c r="M155" s="24" t="s">
        <v>1209</v>
      </c>
      <c r="N155" s="16" t="s">
        <v>1207</v>
      </c>
      <c r="O155" s="6" t="s">
        <v>1208</v>
      </c>
      <c r="P155" s="6" t="s">
        <v>1128</v>
      </c>
      <c r="Z155" s="19" t="str">
        <f ca="1">HYPERLINK("#"&amp;단가산출근거목록표!J2&amp;"!A"&amp;ROW(단가산출근거목록표!A13),"산근   10 →")</f>
        <v>산근   10 →</v>
      </c>
    </row>
    <row r="156" spans="1:26" ht="28.7" customHeight="1" x14ac:dyDescent="0.3">
      <c r="A156" s="9" t="s">
        <v>188</v>
      </c>
      <c r="B156" s="9" t="s">
        <v>189</v>
      </c>
      <c r="C156" s="86">
        <v>0.94</v>
      </c>
      <c r="D156" s="33" t="s">
        <v>14</v>
      </c>
      <c r="E156" s="62">
        <f t="shared" si="26"/>
        <v>8328</v>
      </c>
      <c r="F156" s="89">
        <f t="shared" si="26"/>
        <v>7828.2</v>
      </c>
      <c r="G156" s="90">
        <f>단가산출근거목록표!F9</f>
        <v>6878</v>
      </c>
      <c r="H156" s="92">
        <f>IF(C156=0,0,ROUNDDOWN(G156*C156,1))</f>
        <v>6465.3</v>
      </c>
      <c r="I156" s="90">
        <f>단가산출근거목록표!G9</f>
        <v>538</v>
      </c>
      <c r="J156" s="92">
        <f>IF(C156=0,0,ROUNDDOWN(I156*C156,1))</f>
        <v>505.7</v>
      </c>
      <c r="K156" s="90">
        <f>단가산출근거목록표!H9</f>
        <v>912</v>
      </c>
      <c r="L156" s="92">
        <f>IF(C156=0,0,ROUNDDOWN(K156*C156,1))</f>
        <v>857.2</v>
      </c>
      <c r="M156" s="24" t="s">
        <v>1231</v>
      </c>
      <c r="N156" s="16" t="s">
        <v>1229</v>
      </c>
      <c r="O156" s="6" t="s">
        <v>1230</v>
      </c>
      <c r="P156" s="6" t="s">
        <v>1128</v>
      </c>
      <c r="Z156" s="19" t="str">
        <f ca="1">HYPERLINK("#"&amp;단가산출근거목록표!J2&amp;"!A"&amp;ROW(단가산출근거목록표!A9),"산근    6 →")</f>
        <v>산근    6 →</v>
      </c>
    </row>
    <row r="157" spans="1:26" ht="28.7" customHeight="1" x14ac:dyDescent="0.3">
      <c r="A157" s="9" t="s">
        <v>192</v>
      </c>
      <c r="B157" s="9" t="s">
        <v>193</v>
      </c>
      <c r="C157" s="86">
        <v>0.94</v>
      </c>
      <c r="D157" s="33" t="s">
        <v>14</v>
      </c>
      <c r="E157" s="62">
        <f t="shared" si="26"/>
        <v>12701</v>
      </c>
      <c r="F157" s="89">
        <f t="shared" si="26"/>
        <v>11938.900000000001</v>
      </c>
      <c r="G157" s="90">
        <f>단가산출근거목록표!F10</f>
        <v>7908</v>
      </c>
      <c r="H157" s="92">
        <f>IF(C157=0,0,ROUNDDOWN(G157*C157,1))</f>
        <v>7433.5</v>
      </c>
      <c r="I157" s="90">
        <f>단가산출근거목록표!G10</f>
        <v>1963</v>
      </c>
      <c r="J157" s="92">
        <f>IF(C157=0,0,ROUNDDOWN(I157*C157,1))</f>
        <v>1845.2</v>
      </c>
      <c r="K157" s="90">
        <f>단가산출근거목록표!H10</f>
        <v>2830</v>
      </c>
      <c r="L157" s="92">
        <f>IF(C157=0,0,ROUNDDOWN(K157*C157,1))</f>
        <v>2660.2</v>
      </c>
      <c r="M157" s="24" t="s">
        <v>1228</v>
      </c>
      <c r="N157" s="16" t="s">
        <v>1226</v>
      </c>
      <c r="O157" s="6" t="s">
        <v>1227</v>
      </c>
      <c r="P157" s="6" t="s">
        <v>1128</v>
      </c>
      <c r="Z157" s="19" t="str">
        <f ca="1">HYPERLINK("#"&amp;단가산출근거목록표!J2&amp;"!A"&amp;ROW(단가산출근거목록표!A10),"산근    7 →")</f>
        <v>산근    7 →</v>
      </c>
    </row>
    <row r="158" spans="1:26" ht="28.7" customHeight="1" x14ac:dyDescent="0.3">
      <c r="A158" s="24" t="s">
        <v>6</v>
      </c>
      <c r="B158" s="58"/>
      <c r="C158" s="58"/>
      <c r="D158" s="58"/>
      <c r="E158" s="58"/>
      <c r="F158" s="55">
        <f>J158+H158+L158</f>
        <v>209104</v>
      </c>
      <c r="G158" s="58"/>
      <c r="H158" s="55">
        <f>ROUNDDOWN(SUMIF(P153:P157,O158,H153:H157),0)</f>
        <v>152845</v>
      </c>
      <c r="I158" s="58"/>
      <c r="J158" s="55">
        <f>ROUNDDOWN(SUMIF(P153:P157,O158,J153:J157),0)</f>
        <v>20992</v>
      </c>
      <c r="K158" s="58"/>
      <c r="L158" s="55">
        <f>ROUNDDOWN(SUMIF(P153:P157,O158,L153:L157),0)</f>
        <v>35267</v>
      </c>
      <c r="M158" s="58"/>
      <c r="O158" s="6" t="s">
        <v>1128</v>
      </c>
    </row>
    <row r="159" spans="1:26" ht="28.7" customHeight="1" x14ac:dyDescent="0.3">
      <c r="A159" s="83" t="s">
        <v>102</v>
      </c>
      <c r="B159" s="83"/>
      <c r="C159" s="84"/>
      <c r="D159" s="84"/>
      <c r="E159" s="84"/>
      <c r="F159" s="84"/>
      <c r="G159" s="84"/>
      <c r="H159" s="84"/>
      <c r="I159" s="84"/>
      <c r="J159" s="84"/>
      <c r="K159" s="84"/>
      <c r="L159" s="84"/>
      <c r="M159" s="84"/>
      <c r="N159" s="36" t="str">
        <f>HYPERLINK("#N"&amp;ROW(N164),"_x0005_`BDCOD|B01189_x0007_`POSS|"&amp;ROW(N161)&amp;"_x0007_`POSE|"&amp;ROW(N164)&amp;"_x0007_`")</f>
        <v>_x0005_`BDCOD|B01189_x0007_`POSS|161_x0007_`POSE|164_x0007_`</v>
      </c>
    </row>
    <row r="160" spans="1:26" ht="28.7" customHeight="1" x14ac:dyDescent="0.3">
      <c r="A160" s="43" t="s">
        <v>104</v>
      </c>
      <c r="B160" s="43"/>
      <c r="C160" s="85"/>
      <c r="D160" s="87" t="s">
        <v>36</v>
      </c>
      <c r="E160" s="85"/>
      <c r="F160" s="85"/>
      <c r="G160" s="85"/>
      <c r="H160" s="85"/>
      <c r="I160" s="85"/>
      <c r="J160" s="85"/>
      <c r="K160" s="85"/>
      <c r="L160" s="85"/>
      <c r="M160" s="87" t="s">
        <v>105</v>
      </c>
      <c r="O160" s="6" t="s">
        <v>1245</v>
      </c>
    </row>
    <row r="161" spans="1:26" ht="28.7" customHeight="1" x14ac:dyDescent="0.3">
      <c r="A161" s="9" t="s">
        <v>288</v>
      </c>
      <c r="B161" s="9" t="s">
        <v>289</v>
      </c>
      <c r="C161" s="86">
        <v>7.7999999999999996E-3</v>
      </c>
      <c r="D161" s="33" t="s">
        <v>229</v>
      </c>
      <c r="E161" s="62">
        <f t="shared" ref="E161:F164" si="27">I161+G161+K161</f>
        <v>970987</v>
      </c>
      <c r="F161" s="89">
        <f t="shared" si="27"/>
        <v>7573.5999999999995</v>
      </c>
      <c r="G161" s="90">
        <f>단가산출근거목록표!F37</f>
        <v>922307</v>
      </c>
      <c r="H161" s="92">
        <f>IF(C161=0,0,ROUNDDOWN(G161*C161,1))</f>
        <v>7193.9</v>
      </c>
      <c r="I161" s="90">
        <f>단가산출근거목록표!G37</f>
        <v>13680</v>
      </c>
      <c r="J161" s="92">
        <f>IF(C161=0,0,ROUNDDOWN(I161*C161,1))</f>
        <v>106.7</v>
      </c>
      <c r="K161" s="90">
        <f>단가산출근거목록표!H37</f>
        <v>35000</v>
      </c>
      <c r="L161" s="92">
        <f>IF(C161=0,0,ROUNDDOWN(K161*C161,1))</f>
        <v>273</v>
      </c>
      <c r="M161" s="24" t="s">
        <v>1249</v>
      </c>
      <c r="N161" s="16" t="s">
        <v>1246</v>
      </c>
      <c r="O161" s="6" t="s">
        <v>1248</v>
      </c>
      <c r="P161" s="6" t="s">
        <v>1128</v>
      </c>
      <c r="Q161" s="6" t="s">
        <v>1247</v>
      </c>
      <c r="Z161" s="19" t="str">
        <f ca="1">HYPERLINK("#"&amp;단가산출근거목록표!J2&amp;"!A"&amp;ROW(단가산출근거목록표!A37),"산근   34 →")</f>
        <v>산근   34 →</v>
      </c>
    </row>
    <row r="162" spans="1:26" ht="28.7" customHeight="1" x14ac:dyDescent="0.3">
      <c r="A162" s="9" t="s">
        <v>108</v>
      </c>
      <c r="B162" s="9" t="s">
        <v>109</v>
      </c>
      <c r="C162" s="86">
        <v>0.32</v>
      </c>
      <c r="D162" s="33" t="s">
        <v>14</v>
      </c>
      <c r="E162" s="62">
        <f t="shared" si="27"/>
        <v>122871</v>
      </c>
      <c r="F162" s="89">
        <f t="shared" si="27"/>
        <v>39318.5</v>
      </c>
      <c r="G162" s="90">
        <f>일위대가목록표!F24</f>
        <v>121559</v>
      </c>
      <c r="H162" s="92">
        <f>IF(C162=0,0,ROUNDDOWN(G162*C162,1))</f>
        <v>38898.800000000003</v>
      </c>
      <c r="I162" s="90">
        <f>일위대가목록표!G24</f>
        <v>1008</v>
      </c>
      <c r="J162" s="92">
        <f>IF(C162=0,0,ROUNDDOWN(I162*C162,1))</f>
        <v>322.5</v>
      </c>
      <c r="K162" s="90">
        <f>일위대가목록표!H24</f>
        <v>304</v>
      </c>
      <c r="L162" s="92">
        <f>IF(C162=0,0,ROUNDDOWN(K162*C162,1))</f>
        <v>97.2</v>
      </c>
      <c r="M162" s="24" t="s">
        <v>1225</v>
      </c>
      <c r="N162" s="16" t="s">
        <v>1223</v>
      </c>
      <c r="O162" s="6" t="s">
        <v>1224</v>
      </c>
      <c r="P162" s="6" t="s">
        <v>1128</v>
      </c>
      <c r="Z162" s="19" t="str">
        <f ca="1">HYPERLINK("#"&amp;일위대가목록표!J2&amp;"!A"&amp;ROW(일위대가목록표!A24),"대가   21 →")</f>
        <v>대가   21 →</v>
      </c>
    </row>
    <row r="163" spans="1:26" ht="28.7" customHeight="1" x14ac:dyDescent="0.3">
      <c r="A163" s="9" t="s">
        <v>271</v>
      </c>
      <c r="B163" s="9" t="s">
        <v>281</v>
      </c>
      <c r="C163" s="86">
        <v>3.2</v>
      </c>
      <c r="D163" s="33" t="s">
        <v>42</v>
      </c>
      <c r="E163" s="62">
        <f t="shared" si="27"/>
        <v>41739</v>
      </c>
      <c r="F163" s="89">
        <f t="shared" si="27"/>
        <v>133564.79999999999</v>
      </c>
      <c r="G163" s="90">
        <f>단가산출근거목록표!F35</f>
        <v>36155</v>
      </c>
      <c r="H163" s="92">
        <f>IF(C163=0,0,ROUNDDOWN(G163*C163,1))</f>
        <v>115696</v>
      </c>
      <c r="I163" s="90">
        <f>단가산출근거목록표!G35</f>
        <v>4500</v>
      </c>
      <c r="J163" s="92">
        <f>IF(C163=0,0,ROUNDDOWN(I163*C163,1))</f>
        <v>14400</v>
      </c>
      <c r="K163" s="90">
        <f>단가산출근거목록표!H35</f>
        <v>1084</v>
      </c>
      <c r="L163" s="92">
        <f>IF(C163=0,0,ROUNDDOWN(K163*C163,1))</f>
        <v>3468.8</v>
      </c>
      <c r="M163" s="24" t="s">
        <v>1252</v>
      </c>
      <c r="N163" s="16" t="s">
        <v>1250</v>
      </c>
      <c r="O163" s="6" t="s">
        <v>1251</v>
      </c>
      <c r="P163" s="6" t="s">
        <v>1128</v>
      </c>
      <c r="Z163" s="19" t="str">
        <f ca="1">HYPERLINK("#"&amp;단가산출근거목록표!J2&amp;"!A"&amp;ROW(단가산출근거목록표!A35),"산근   32 →")</f>
        <v>산근   32 →</v>
      </c>
    </row>
    <row r="164" spans="1:26" ht="28.7" customHeight="1" x14ac:dyDescent="0.3">
      <c r="A164" s="9" t="s">
        <v>575</v>
      </c>
      <c r="B164" s="9" t="s">
        <v>576</v>
      </c>
      <c r="C164" s="86">
        <v>18.3</v>
      </c>
      <c r="D164" s="33" t="s">
        <v>474</v>
      </c>
      <c r="E164" s="62">
        <f t="shared" si="27"/>
        <v>142</v>
      </c>
      <c r="F164" s="88">
        <f t="shared" si="27"/>
        <v>2598.6</v>
      </c>
      <c r="G164" s="59">
        <v>0</v>
      </c>
      <c r="H164" s="89">
        <f>IF(C164=0,0,ROUNDDOWN(G164*C164,1))</f>
        <v>0</v>
      </c>
      <c r="I164" s="90">
        <f>재료비목록표!E34</f>
        <v>142</v>
      </c>
      <c r="J164" s="91">
        <f>IF(C164=0,0,ROUNDDOWN(I164*C164,1))</f>
        <v>2598.6</v>
      </c>
      <c r="K164" s="59">
        <v>0</v>
      </c>
      <c r="L164" s="89">
        <f>IF(C164=0,0,ROUNDDOWN(K164*C164,1))</f>
        <v>0</v>
      </c>
      <c r="M164" s="24" t="s">
        <v>1255</v>
      </c>
      <c r="N164" s="16" t="s">
        <v>1253</v>
      </c>
      <c r="O164" s="6" t="s">
        <v>1254</v>
      </c>
      <c r="P164" s="6" t="s">
        <v>1128</v>
      </c>
      <c r="Z164" s="19" t="str">
        <f ca="1">HYPERLINK("#"&amp;재료비목록표!G2&amp;"!A"&amp;ROW(재료비목록표!A34),"자재   31 →")</f>
        <v>자재   31 →</v>
      </c>
    </row>
    <row r="165" spans="1:26" ht="28.7" customHeight="1" x14ac:dyDescent="0.3">
      <c r="A165" s="24" t="s">
        <v>6</v>
      </c>
      <c r="B165" s="58"/>
      <c r="C165" s="58"/>
      <c r="D165" s="58"/>
      <c r="E165" s="58"/>
      <c r="F165" s="55">
        <f>J165+H165+L165</f>
        <v>183054</v>
      </c>
      <c r="G165" s="58"/>
      <c r="H165" s="55">
        <f>ROUNDDOWN(SUMIF(P161:P164,O165,H161:H164),0)</f>
        <v>161788</v>
      </c>
      <c r="I165" s="58"/>
      <c r="J165" s="55">
        <f>ROUNDDOWN(SUMIF(P161:P164,O165,J161:J164),0)</f>
        <v>17427</v>
      </c>
      <c r="K165" s="58"/>
      <c r="L165" s="55">
        <f>ROUNDDOWN(SUMIF(P161:P164,O165,L161:L164),0)</f>
        <v>3839</v>
      </c>
      <c r="M165" s="58"/>
      <c r="O165" s="6" t="s">
        <v>1128</v>
      </c>
    </row>
    <row r="166" spans="1:26" ht="28.7" customHeight="1" x14ac:dyDescent="0.3">
      <c r="A166" s="83" t="s">
        <v>106</v>
      </c>
      <c r="B166" s="83"/>
      <c r="C166" s="84"/>
      <c r="D166" s="84"/>
      <c r="E166" s="84"/>
      <c r="F166" s="84"/>
      <c r="G166" s="84"/>
      <c r="H166" s="84"/>
      <c r="I166" s="84"/>
      <c r="J166" s="84"/>
      <c r="K166" s="84"/>
      <c r="L166" s="84"/>
      <c r="M166" s="84"/>
      <c r="N166" s="36" t="str">
        <f>HYPERLINK("#N"&amp;ROW(N174),"_x0005_`BDCOD|B01190_x0007_`POSS|"&amp;ROW(N168)&amp;"_x0007_`POSE|"&amp;ROW(N174)&amp;"_x0007_`")</f>
        <v>_x0005_`BDCOD|B01190_x0007_`POSS|168_x0007_`POSE|174_x0007_`</v>
      </c>
    </row>
    <row r="167" spans="1:26" ht="28.7" customHeight="1" x14ac:dyDescent="0.3">
      <c r="A167" s="43" t="s">
        <v>108</v>
      </c>
      <c r="B167" s="43" t="s">
        <v>109</v>
      </c>
      <c r="C167" s="85"/>
      <c r="D167" s="87" t="s">
        <v>14</v>
      </c>
      <c r="E167" s="85"/>
      <c r="F167" s="85"/>
      <c r="G167" s="85"/>
      <c r="H167" s="85"/>
      <c r="I167" s="85"/>
      <c r="J167" s="85"/>
      <c r="K167" s="85"/>
      <c r="L167" s="85"/>
      <c r="M167" s="87" t="s">
        <v>110</v>
      </c>
      <c r="O167" s="6" t="s">
        <v>1256</v>
      </c>
    </row>
    <row r="168" spans="1:26" ht="28.7" customHeight="1" x14ac:dyDescent="0.3">
      <c r="A168" s="9" t="s">
        <v>1114</v>
      </c>
      <c r="B168" s="9" t="s">
        <v>1257</v>
      </c>
      <c r="C168" s="86">
        <v>0</v>
      </c>
      <c r="D168" s="33"/>
      <c r="E168" s="23">
        <v>0</v>
      </c>
      <c r="F168" s="10">
        <v>0</v>
      </c>
      <c r="G168" s="45"/>
      <c r="H168" s="10">
        <v>0</v>
      </c>
      <c r="I168" s="45"/>
      <c r="J168" s="23">
        <v>0</v>
      </c>
      <c r="K168" s="50"/>
      <c r="L168" s="23">
        <v>0</v>
      </c>
      <c r="M168" s="24" t="s">
        <v>1118</v>
      </c>
      <c r="N168" s="16" t="s">
        <v>1116</v>
      </c>
      <c r="O168" s="6" t="s">
        <v>1117</v>
      </c>
      <c r="P168" s="6" t="s">
        <v>1117</v>
      </c>
    </row>
    <row r="169" spans="1:26" ht="28.7" customHeight="1" x14ac:dyDescent="0.3">
      <c r="A169" s="9" t="s">
        <v>498</v>
      </c>
      <c r="B169" s="9" t="s">
        <v>499</v>
      </c>
      <c r="C169" s="86">
        <v>323</v>
      </c>
      <c r="D169" s="33" t="s">
        <v>448</v>
      </c>
      <c r="E169" s="62">
        <f t="shared" ref="E169:F174" si="28">I169+G169+K169</f>
        <v>0</v>
      </c>
      <c r="F169" s="88">
        <f t="shared" si="28"/>
        <v>0</v>
      </c>
      <c r="G169" s="59">
        <v>0</v>
      </c>
      <c r="H169" s="89">
        <f t="shared" ref="H169:H174" si="29">IF(C169=0,0,ROUNDDOWN(G169*C169,1))</f>
        <v>0</v>
      </c>
      <c r="I169" s="90">
        <f>재료비목록표!E17</f>
        <v>0</v>
      </c>
      <c r="J169" s="91">
        <f t="shared" ref="J169:J174" si="30">IF(C169=0,0,ROUNDDOWN(I169*C169,1))</f>
        <v>0</v>
      </c>
      <c r="K169" s="59">
        <v>0</v>
      </c>
      <c r="L169" s="89">
        <f t="shared" ref="L169:L174" si="31">IF(C169=0,0,ROUNDDOWN(K169*C169,1))</f>
        <v>0</v>
      </c>
      <c r="M169" s="24" t="s">
        <v>1121</v>
      </c>
      <c r="N169" s="16" t="s">
        <v>1119</v>
      </c>
      <c r="O169" s="6" t="s">
        <v>1120</v>
      </c>
      <c r="P169" s="6" t="s">
        <v>1128</v>
      </c>
      <c r="Z169" s="19" t="str">
        <f ca="1">HYPERLINK("#"&amp;재료비목록표!G2&amp;"!A"&amp;ROW(재료비목록표!A17),"자재   14 →")</f>
        <v>자재   14 →</v>
      </c>
    </row>
    <row r="170" spans="1:26" ht="28.7" customHeight="1" x14ac:dyDescent="0.3">
      <c r="A170" s="9" t="s">
        <v>503</v>
      </c>
      <c r="B170" s="9" t="s">
        <v>499</v>
      </c>
      <c r="C170" s="86">
        <v>0.48</v>
      </c>
      <c r="D170" s="33" t="s">
        <v>442</v>
      </c>
      <c r="E170" s="62">
        <f t="shared" si="28"/>
        <v>0</v>
      </c>
      <c r="F170" s="88">
        <f t="shared" si="28"/>
        <v>0</v>
      </c>
      <c r="G170" s="59">
        <v>0</v>
      </c>
      <c r="H170" s="89">
        <f t="shared" si="29"/>
        <v>0</v>
      </c>
      <c r="I170" s="90">
        <f>재료비목록표!E18</f>
        <v>0</v>
      </c>
      <c r="J170" s="91">
        <f t="shared" si="30"/>
        <v>0</v>
      </c>
      <c r="K170" s="59">
        <v>0</v>
      </c>
      <c r="L170" s="89">
        <f t="shared" si="31"/>
        <v>0</v>
      </c>
      <c r="M170" s="24" t="s">
        <v>1124</v>
      </c>
      <c r="N170" s="16" t="s">
        <v>1122</v>
      </c>
      <c r="O170" s="6" t="s">
        <v>1123</v>
      </c>
      <c r="P170" s="6" t="s">
        <v>1128</v>
      </c>
      <c r="Z170" s="19" t="str">
        <f ca="1">HYPERLINK("#"&amp;재료비목록표!G2&amp;"!A"&amp;ROW(재료비목록표!A18),"자재   15 →")</f>
        <v>자재   15 →</v>
      </c>
    </row>
    <row r="171" spans="1:26" ht="28.7" customHeight="1" x14ac:dyDescent="0.3">
      <c r="A171" s="9" t="s">
        <v>589</v>
      </c>
      <c r="B171" s="9" t="s">
        <v>499</v>
      </c>
      <c r="C171" s="86">
        <v>0.65</v>
      </c>
      <c r="D171" s="33" t="s">
        <v>442</v>
      </c>
      <c r="E171" s="62">
        <f t="shared" si="28"/>
        <v>0</v>
      </c>
      <c r="F171" s="88">
        <f t="shared" si="28"/>
        <v>0</v>
      </c>
      <c r="G171" s="59">
        <v>0</v>
      </c>
      <c r="H171" s="89">
        <f t="shared" si="29"/>
        <v>0</v>
      </c>
      <c r="I171" s="90">
        <f>재료비목록표!E37</f>
        <v>0</v>
      </c>
      <c r="J171" s="91">
        <f t="shared" si="30"/>
        <v>0</v>
      </c>
      <c r="K171" s="59">
        <v>0</v>
      </c>
      <c r="L171" s="89">
        <f t="shared" si="31"/>
        <v>0</v>
      </c>
      <c r="M171" s="24" t="s">
        <v>1260</v>
      </c>
      <c r="N171" s="16" t="s">
        <v>1258</v>
      </c>
      <c r="O171" s="6" t="s">
        <v>1259</v>
      </c>
      <c r="P171" s="6" t="s">
        <v>1128</v>
      </c>
      <c r="Z171" s="19" t="str">
        <f ca="1">HYPERLINK("#"&amp;재료비목록표!G2&amp;"!A"&amp;ROW(재료비목록표!A37),"자재   34 →")</f>
        <v>자재   34 →</v>
      </c>
    </row>
    <row r="172" spans="1:26" ht="28.7" customHeight="1" x14ac:dyDescent="0.3">
      <c r="A172" s="9" t="s">
        <v>656</v>
      </c>
      <c r="B172" s="9"/>
      <c r="C172" s="86">
        <v>0.15</v>
      </c>
      <c r="D172" s="33" t="s">
        <v>647</v>
      </c>
      <c r="E172" s="62">
        <f t="shared" si="28"/>
        <v>261283</v>
      </c>
      <c r="F172" s="89">
        <f t="shared" si="28"/>
        <v>39192.400000000001</v>
      </c>
      <c r="G172" s="90">
        <f>노무비목록표!E7</f>
        <v>261283</v>
      </c>
      <c r="H172" s="91">
        <f t="shared" si="29"/>
        <v>39192.400000000001</v>
      </c>
      <c r="I172" s="59">
        <v>0</v>
      </c>
      <c r="J172" s="88">
        <f t="shared" si="30"/>
        <v>0</v>
      </c>
      <c r="K172" s="59">
        <v>0</v>
      </c>
      <c r="L172" s="89">
        <f t="shared" si="31"/>
        <v>0</v>
      </c>
      <c r="M172" s="24" t="s">
        <v>1263</v>
      </c>
      <c r="N172" s="16" t="s">
        <v>1261</v>
      </c>
      <c r="O172" s="6" t="s">
        <v>1262</v>
      </c>
      <c r="P172" s="6" t="s">
        <v>1128</v>
      </c>
      <c r="Z172" s="19" t="str">
        <f ca="1">HYPERLINK("#"&amp;노무비목록표!G2&amp;"!A"&amp;ROW(노무비목록표!A7),"노무    4 →")</f>
        <v>노무    4 →</v>
      </c>
    </row>
    <row r="173" spans="1:26" ht="28.7" customHeight="1" x14ac:dyDescent="0.3">
      <c r="A173" s="9" t="s">
        <v>662</v>
      </c>
      <c r="B173" s="9"/>
      <c r="C173" s="86">
        <v>0.46</v>
      </c>
      <c r="D173" s="33" t="s">
        <v>647</v>
      </c>
      <c r="E173" s="62">
        <f t="shared" si="28"/>
        <v>165545</v>
      </c>
      <c r="F173" s="89">
        <f t="shared" si="28"/>
        <v>76150.7</v>
      </c>
      <c r="G173" s="90">
        <f>노무비목록표!E9</f>
        <v>165545</v>
      </c>
      <c r="H173" s="91">
        <f t="shared" si="29"/>
        <v>76150.7</v>
      </c>
      <c r="I173" s="59">
        <v>0</v>
      </c>
      <c r="J173" s="88">
        <f t="shared" si="30"/>
        <v>0</v>
      </c>
      <c r="K173" s="59">
        <v>0</v>
      </c>
      <c r="L173" s="89">
        <f t="shared" si="31"/>
        <v>0</v>
      </c>
      <c r="M173" s="24" t="s">
        <v>1127</v>
      </c>
      <c r="N173" s="16" t="s">
        <v>1125</v>
      </c>
      <c r="O173" s="6" t="s">
        <v>1126</v>
      </c>
      <c r="P173" s="6" t="s">
        <v>1128</v>
      </c>
      <c r="Z173" s="19" t="str">
        <f ca="1">HYPERLINK("#"&amp;노무비목록표!G2&amp;"!A"&amp;ROW(노무비목록표!A9),"노무    6 →")</f>
        <v>노무    6 →</v>
      </c>
    </row>
    <row r="174" spans="1:26" ht="28.7" customHeight="1" x14ac:dyDescent="0.3">
      <c r="A174" s="9" t="s">
        <v>180</v>
      </c>
      <c r="B174" s="9" t="s">
        <v>181</v>
      </c>
      <c r="C174" s="86">
        <v>1</v>
      </c>
      <c r="D174" s="33" t="s">
        <v>14</v>
      </c>
      <c r="E174" s="62">
        <f t="shared" si="28"/>
        <v>7528</v>
      </c>
      <c r="F174" s="89">
        <f t="shared" si="28"/>
        <v>7528</v>
      </c>
      <c r="G174" s="90">
        <f>단가산출근거목록표!F7</f>
        <v>6216</v>
      </c>
      <c r="H174" s="92">
        <f t="shared" si="29"/>
        <v>6216</v>
      </c>
      <c r="I174" s="90">
        <f>단가산출근거목록표!G7</f>
        <v>1008</v>
      </c>
      <c r="J174" s="92">
        <f t="shared" si="30"/>
        <v>1008</v>
      </c>
      <c r="K174" s="90">
        <f>단가산출근거목록표!H7</f>
        <v>304</v>
      </c>
      <c r="L174" s="92">
        <f t="shared" si="31"/>
        <v>304</v>
      </c>
      <c r="M174" s="24" t="s">
        <v>1266</v>
      </c>
      <c r="N174" s="16" t="s">
        <v>1264</v>
      </c>
      <c r="O174" s="6" t="s">
        <v>1265</v>
      </c>
      <c r="P174" s="6" t="s">
        <v>1128</v>
      </c>
      <c r="Z174" s="19" t="str">
        <f ca="1">HYPERLINK("#"&amp;단가산출근거목록표!J2&amp;"!A"&amp;ROW(단가산출근거목록표!A7),"산근    4 →")</f>
        <v>산근    4 →</v>
      </c>
    </row>
    <row r="175" spans="1:26" ht="28.7" customHeight="1" x14ac:dyDescent="0.3">
      <c r="A175" s="24" t="s">
        <v>6</v>
      </c>
      <c r="B175" s="58"/>
      <c r="C175" s="58"/>
      <c r="D175" s="58"/>
      <c r="E175" s="58"/>
      <c r="F175" s="55">
        <f>J175+H175+L175</f>
        <v>122871</v>
      </c>
      <c r="G175" s="58"/>
      <c r="H175" s="55">
        <f>ROUNDDOWN(SUMIF(P168:P174,O175,H168:H174),0)</f>
        <v>121559</v>
      </c>
      <c r="I175" s="58"/>
      <c r="J175" s="55">
        <f>ROUNDDOWN(SUMIF(P168:P174,O175,J168:J174),0)</f>
        <v>1008</v>
      </c>
      <c r="K175" s="58"/>
      <c r="L175" s="55">
        <f>ROUNDDOWN(SUMIF(P168:P174,O175,L168:L174),0)</f>
        <v>304</v>
      </c>
      <c r="M175" s="58"/>
      <c r="O175" s="6" t="s">
        <v>1128</v>
      </c>
    </row>
    <row r="176" spans="1:26" ht="28.7" customHeight="1" x14ac:dyDescent="0.3">
      <c r="A176" s="83" t="s">
        <v>111</v>
      </c>
      <c r="B176" s="83"/>
      <c r="C176" s="84"/>
      <c r="D176" s="84"/>
      <c r="E176" s="84"/>
      <c r="F176" s="84"/>
      <c r="G176" s="84"/>
      <c r="H176" s="84"/>
      <c r="I176" s="84"/>
      <c r="J176" s="84"/>
      <c r="K176" s="84"/>
      <c r="L176" s="84"/>
      <c r="M176" s="84"/>
      <c r="N176" s="36" t="str">
        <f>HYPERLINK("#N"&amp;ROW(N179),"_x0005_`BDCOD|B01191_x0007_`POSS|"&amp;ROW(N178)&amp;"_x0007_`POSE|"&amp;ROW(N179)&amp;"_x0007_`")</f>
        <v>_x0005_`BDCOD|B01191_x0007_`POSS|178_x0007_`POSE|179_x0007_`</v>
      </c>
    </row>
    <row r="177" spans="1:26" ht="28.7" customHeight="1" x14ac:dyDescent="0.3">
      <c r="A177" s="43" t="s">
        <v>113</v>
      </c>
      <c r="B177" s="43" t="s">
        <v>114</v>
      </c>
      <c r="C177" s="85"/>
      <c r="D177" s="87" t="s">
        <v>42</v>
      </c>
      <c r="E177" s="85"/>
      <c r="F177" s="85"/>
      <c r="G177" s="85"/>
      <c r="H177" s="85"/>
      <c r="I177" s="85"/>
      <c r="J177" s="85"/>
      <c r="K177" s="85"/>
      <c r="L177" s="85"/>
      <c r="M177" s="87" t="s">
        <v>115</v>
      </c>
      <c r="O177" s="6" t="s">
        <v>1267</v>
      </c>
    </row>
    <row r="178" spans="1:26" ht="28.7" customHeight="1" x14ac:dyDescent="0.3">
      <c r="A178" s="9" t="s">
        <v>108</v>
      </c>
      <c r="B178" s="9" t="s">
        <v>109</v>
      </c>
      <c r="C178" s="86">
        <v>0.2</v>
      </c>
      <c r="D178" s="33" t="s">
        <v>14</v>
      </c>
      <c r="E178" s="62">
        <f>I178+G178+K178</f>
        <v>122871</v>
      </c>
      <c r="F178" s="89">
        <f>J178+H178+L178</f>
        <v>24574.199999999997</v>
      </c>
      <c r="G178" s="90">
        <f>일위대가목록표!F24</f>
        <v>121559</v>
      </c>
      <c r="H178" s="92">
        <f>IF(C178=0,0,ROUNDDOWN(G178*C178,1))</f>
        <v>24311.8</v>
      </c>
      <c r="I178" s="90">
        <f>일위대가목록표!G24</f>
        <v>1008</v>
      </c>
      <c r="J178" s="92">
        <f>IF(C178=0,0,ROUNDDOWN(I178*C178,1))</f>
        <v>201.6</v>
      </c>
      <c r="K178" s="90">
        <f>일위대가목록표!H24</f>
        <v>304</v>
      </c>
      <c r="L178" s="92">
        <f>IF(C178=0,0,ROUNDDOWN(K178*C178,1))</f>
        <v>60.8</v>
      </c>
      <c r="M178" s="24" t="s">
        <v>1225</v>
      </c>
      <c r="N178" s="16" t="s">
        <v>1223</v>
      </c>
      <c r="O178" s="6" t="s">
        <v>1224</v>
      </c>
      <c r="P178" s="6" t="s">
        <v>1128</v>
      </c>
      <c r="Z178" s="19" t="str">
        <f ca="1">HYPERLINK("#"&amp;일위대가목록표!J2&amp;"!A"&amp;ROW(일위대가목록표!A24),"대가   21 →")</f>
        <v>대가   21 →</v>
      </c>
    </row>
    <row r="179" spans="1:26" ht="28.7" customHeight="1" x14ac:dyDescent="0.3">
      <c r="A179" s="9" t="s">
        <v>284</v>
      </c>
      <c r="B179" s="9" t="s">
        <v>285</v>
      </c>
      <c r="C179" s="86">
        <v>1</v>
      </c>
      <c r="D179" s="33" t="s">
        <v>42</v>
      </c>
      <c r="E179" s="62">
        <f>I179+G179+K179</f>
        <v>5621</v>
      </c>
      <c r="F179" s="89">
        <f>J179+H179+L179</f>
        <v>5621</v>
      </c>
      <c r="G179" s="90">
        <f>단가산출근거목록표!F36</f>
        <v>5458</v>
      </c>
      <c r="H179" s="92">
        <f>IF(C179=0,0,ROUNDDOWN(G179*C179,1))</f>
        <v>5458</v>
      </c>
      <c r="I179" s="90">
        <f>단가산출근거목록표!G36</f>
        <v>0</v>
      </c>
      <c r="J179" s="92">
        <f>IF(C179=0,0,ROUNDDOWN(I179*C179,1))</f>
        <v>0</v>
      </c>
      <c r="K179" s="90">
        <f>단가산출근거목록표!H36</f>
        <v>163</v>
      </c>
      <c r="L179" s="92">
        <f>IF(C179=0,0,ROUNDDOWN(K179*C179,1))</f>
        <v>163</v>
      </c>
      <c r="M179" s="24" t="s">
        <v>1270</v>
      </c>
      <c r="N179" s="16" t="s">
        <v>1268</v>
      </c>
      <c r="O179" s="6" t="s">
        <v>1269</v>
      </c>
      <c r="P179" s="6" t="s">
        <v>1128</v>
      </c>
      <c r="Z179" s="19" t="str">
        <f ca="1">HYPERLINK("#"&amp;단가산출근거목록표!J2&amp;"!A"&amp;ROW(단가산출근거목록표!A36),"산근   33 →")</f>
        <v>산근   33 →</v>
      </c>
    </row>
    <row r="180" spans="1:26" ht="28.7" customHeight="1" x14ac:dyDescent="0.3">
      <c r="A180" s="24" t="s">
        <v>6</v>
      </c>
      <c r="B180" s="58"/>
      <c r="C180" s="58"/>
      <c r="D180" s="58"/>
      <c r="E180" s="58"/>
      <c r="F180" s="55">
        <f>J180+H180+L180</f>
        <v>30193</v>
      </c>
      <c r="G180" s="58"/>
      <c r="H180" s="55">
        <f>ROUNDDOWN(SUMIF(P178:P179,O180,H178:H179),0)</f>
        <v>29769</v>
      </c>
      <c r="I180" s="58"/>
      <c r="J180" s="55">
        <f>ROUNDDOWN(SUMIF(P178:P179,O180,J178:J179),0)</f>
        <v>201</v>
      </c>
      <c r="K180" s="58"/>
      <c r="L180" s="55">
        <f>ROUNDDOWN(SUMIF(P178:P179,O180,L178:L179),0)</f>
        <v>223</v>
      </c>
      <c r="M180" s="58"/>
      <c r="O180" s="6" t="s">
        <v>1128</v>
      </c>
    </row>
    <row r="181" spans="1:26" ht="28.7" customHeight="1" x14ac:dyDescent="0.3">
      <c r="A181" s="83" t="s">
        <v>116</v>
      </c>
      <c r="B181" s="83"/>
      <c r="C181" s="84"/>
      <c r="D181" s="84"/>
      <c r="E181" s="84"/>
      <c r="F181" s="84"/>
      <c r="G181" s="84"/>
      <c r="H181" s="84"/>
      <c r="I181" s="84"/>
      <c r="J181" s="84"/>
      <c r="K181" s="84"/>
      <c r="L181" s="84"/>
      <c r="M181" s="84"/>
      <c r="N181" s="36" t="str">
        <f>HYPERLINK("#N"&amp;ROW(N185),"_x0005_`BDCOD|B01192_x0007_`POSS|"&amp;ROW(N183)&amp;"_x0007_`POSE|"&amp;ROW(N185)&amp;"_x0007_`")</f>
        <v>_x0005_`BDCOD|B01192_x0007_`POSS|183_x0007_`POSE|185_x0007_`</v>
      </c>
    </row>
    <row r="182" spans="1:26" ht="28.7" customHeight="1" x14ac:dyDescent="0.3">
      <c r="A182" s="43" t="s">
        <v>118</v>
      </c>
      <c r="B182" s="43" t="s">
        <v>119</v>
      </c>
      <c r="C182" s="85"/>
      <c r="D182" s="87" t="s">
        <v>20</v>
      </c>
      <c r="E182" s="85"/>
      <c r="F182" s="85"/>
      <c r="G182" s="85"/>
      <c r="H182" s="85"/>
      <c r="I182" s="85"/>
      <c r="J182" s="85"/>
      <c r="K182" s="85"/>
      <c r="L182" s="85"/>
      <c r="M182" s="87" t="s">
        <v>120</v>
      </c>
      <c r="O182" s="6" t="s">
        <v>1271</v>
      </c>
    </row>
    <row r="183" spans="1:26" ht="28.7" customHeight="1" x14ac:dyDescent="0.3">
      <c r="A183" s="9" t="s">
        <v>1114</v>
      </c>
      <c r="B183" s="9" t="s">
        <v>1272</v>
      </c>
      <c r="C183" s="86">
        <v>0</v>
      </c>
      <c r="D183" s="33"/>
      <c r="E183" s="23">
        <v>0</v>
      </c>
      <c r="F183" s="10">
        <v>0</v>
      </c>
      <c r="G183" s="45"/>
      <c r="H183" s="10">
        <v>0</v>
      </c>
      <c r="I183" s="45"/>
      <c r="J183" s="23">
        <v>0</v>
      </c>
      <c r="K183" s="50"/>
      <c r="L183" s="23">
        <v>0</v>
      </c>
      <c r="M183" s="24" t="s">
        <v>1118</v>
      </c>
      <c r="N183" s="16" t="s">
        <v>1116</v>
      </c>
      <c r="O183" s="6" t="s">
        <v>1117</v>
      </c>
      <c r="P183" s="6" t="s">
        <v>1117</v>
      </c>
    </row>
    <row r="184" spans="1:26" ht="28.7" customHeight="1" x14ac:dyDescent="0.3">
      <c r="A184" s="9" t="s">
        <v>271</v>
      </c>
      <c r="B184" s="9" t="s">
        <v>272</v>
      </c>
      <c r="C184" s="86">
        <v>0.4</v>
      </c>
      <c r="D184" s="33" t="s">
        <v>42</v>
      </c>
      <c r="E184" s="62">
        <f>I184+G184+K184</f>
        <v>36282</v>
      </c>
      <c r="F184" s="89">
        <f>J184+H184+L184</f>
        <v>14512.8</v>
      </c>
      <c r="G184" s="90">
        <f>단가산출근거목록표!F32</f>
        <v>31636</v>
      </c>
      <c r="H184" s="92">
        <f>IF(C184=0,0,ROUNDDOWN(G184*C184,1))</f>
        <v>12654.4</v>
      </c>
      <c r="I184" s="90">
        <f>단가산출근거목록표!G32</f>
        <v>3697</v>
      </c>
      <c r="J184" s="92">
        <f>IF(C184=0,0,ROUNDDOWN(I184*C184,1))</f>
        <v>1478.8</v>
      </c>
      <c r="K184" s="90">
        <f>단가산출근거목록표!H32</f>
        <v>949</v>
      </c>
      <c r="L184" s="92">
        <f>IF(C184=0,0,ROUNDDOWN(K184*C184,1))</f>
        <v>379.6</v>
      </c>
      <c r="M184" s="24" t="s">
        <v>1178</v>
      </c>
      <c r="N184" s="16" t="s">
        <v>1176</v>
      </c>
      <c r="O184" s="6" t="s">
        <v>1177</v>
      </c>
      <c r="P184" s="6" t="s">
        <v>1128</v>
      </c>
      <c r="Z184" s="19" t="str">
        <f ca="1">HYPERLINK("#"&amp;단가산출근거목록표!J2&amp;"!A"&amp;ROW(단가산출근거목록표!A32),"산근   29 →")</f>
        <v>산근   29 →</v>
      </c>
    </row>
    <row r="185" spans="1:26" ht="28.7" customHeight="1" x14ac:dyDescent="0.3">
      <c r="A185" s="9" t="s">
        <v>575</v>
      </c>
      <c r="B185" s="9" t="s">
        <v>576</v>
      </c>
      <c r="C185" s="86">
        <v>1</v>
      </c>
      <c r="D185" s="33" t="s">
        <v>474</v>
      </c>
      <c r="E185" s="62">
        <f>I185+G185+K185</f>
        <v>142</v>
      </c>
      <c r="F185" s="88">
        <f>J185+H185+L185</f>
        <v>142</v>
      </c>
      <c r="G185" s="59">
        <v>0</v>
      </c>
      <c r="H185" s="89">
        <f>IF(C185=0,0,ROUNDDOWN(G185*C185,1))</f>
        <v>0</v>
      </c>
      <c r="I185" s="90">
        <f>재료비목록표!E34</f>
        <v>142</v>
      </c>
      <c r="J185" s="91">
        <f>IF(C185=0,0,ROUNDDOWN(I185*C185,1))</f>
        <v>142</v>
      </c>
      <c r="K185" s="59">
        <v>0</v>
      </c>
      <c r="L185" s="89">
        <f>IF(C185=0,0,ROUNDDOWN(K185*C185,1))</f>
        <v>0</v>
      </c>
      <c r="M185" s="24" t="s">
        <v>1255</v>
      </c>
      <c r="N185" s="16" t="s">
        <v>1253</v>
      </c>
      <c r="O185" s="6" t="s">
        <v>1254</v>
      </c>
      <c r="P185" s="6" t="s">
        <v>1128</v>
      </c>
      <c r="Z185" s="19" t="str">
        <f ca="1">HYPERLINK("#"&amp;재료비목록표!G2&amp;"!A"&amp;ROW(재료비목록표!A34),"자재   31 →")</f>
        <v>자재   31 →</v>
      </c>
    </row>
    <row r="186" spans="1:26" ht="28.7" customHeight="1" x14ac:dyDescent="0.3">
      <c r="A186" s="24" t="s">
        <v>6</v>
      </c>
      <c r="B186" s="58"/>
      <c r="C186" s="58"/>
      <c r="D186" s="58"/>
      <c r="E186" s="58"/>
      <c r="F186" s="55">
        <f>J186+H186+L186</f>
        <v>14653</v>
      </c>
      <c r="G186" s="58"/>
      <c r="H186" s="55">
        <f>ROUNDDOWN(SUMIF(P183:P185,O186,H183:H185),0)</f>
        <v>12654</v>
      </c>
      <c r="I186" s="58"/>
      <c r="J186" s="55">
        <f>ROUNDDOWN(SUMIF(P183:P185,O186,J183:J185),0)</f>
        <v>1620</v>
      </c>
      <c r="K186" s="58"/>
      <c r="L186" s="55">
        <f>ROUNDDOWN(SUMIF(P183:P185,O186,L183:L185),0)</f>
        <v>379</v>
      </c>
      <c r="M186" s="58"/>
      <c r="O186" s="6" t="s">
        <v>1128</v>
      </c>
    </row>
    <row r="187" spans="1:26" ht="28.7" customHeight="1" x14ac:dyDescent="0.3">
      <c r="A187" s="83" t="s">
        <v>121</v>
      </c>
      <c r="B187" s="83"/>
      <c r="C187" s="84"/>
      <c r="D187" s="84"/>
      <c r="E187" s="84"/>
      <c r="F187" s="84"/>
      <c r="G187" s="84"/>
      <c r="H187" s="84"/>
      <c r="I187" s="84"/>
      <c r="J187" s="84"/>
      <c r="K187" s="84"/>
      <c r="L187" s="84"/>
      <c r="M187" s="84"/>
      <c r="N187" s="36" t="str">
        <f>HYPERLINK("#N"&amp;ROW(N196),"_x0005_`BDCOD|B01195_x0007_`POSS|"&amp;ROW(N189)&amp;"_x0007_`POSE|"&amp;ROW(N196)&amp;"_x0007_`")</f>
        <v>_x0005_`BDCOD|B01195_x0007_`POSS|189_x0007_`POSE|196_x0007_`</v>
      </c>
    </row>
    <row r="188" spans="1:26" ht="28.7" customHeight="1" x14ac:dyDescent="0.3">
      <c r="A188" s="43" t="s">
        <v>90</v>
      </c>
      <c r="B188" s="43" t="s">
        <v>96</v>
      </c>
      <c r="C188" s="85"/>
      <c r="D188" s="87" t="s">
        <v>20</v>
      </c>
      <c r="E188" s="85"/>
      <c r="F188" s="85"/>
      <c r="G188" s="85"/>
      <c r="H188" s="85"/>
      <c r="I188" s="85"/>
      <c r="J188" s="85"/>
      <c r="K188" s="85"/>
      <c r="L188" s="85"/>
      <c r="M188" s="87" t="s">
        <v>123</v>
      </c>
      <c r="O188" s="6" t="s">
        <v>1273</v>
      </c>
    </row>
    <row r="189" spans="1:26" ht="28.7" customHeight="1" x14ac:dyDescent="0.3">
      <c r="A189" s="9" t="s">
        <v>547</v>
      </c>
      <c r="B189" s="9" t="s">
        <v>499</v>
      </c>
      <c r="C189" s="86">
        <v>2.09</v>
      </c>
      <c r="D189" s="33" t="s">
        <v>548</v>
      </c>
      <c r="E189" s="62">
        <f t="shared" ref="E189:F196" si="32">I189+G189+K189</f>
        <v>0</v>
      </c>
      <c r="F189" s="88">
        <f t="shared" si="32"/>
        <v>0</v>
      </c>
      <c r="G189" s="59">
        <v>0</v>
      </c>
      <c r="H189" s="89">
        <f t="shared" ref="H189:H196" si="33">IF(C189=0,0,ROUNDDOWN(G189*C189,1))</f>
        <v>0</v>
      </c>
      <c r="I189" s="90">
        <f>재료비목록표!E28</f>
        <v>0</v>
      </c>
      <c r="J189" s="91">
        <f t="shared" ref="J189:J196" si="34">IF(C189=0,0,ROUNDDOWN(I189*C189,1))</f>
        <v>0</v>
      </c>
      <c r="K189" s="59">
        <v>0</v>
      </c>
      <c r="L189" s="89">
        <f t="shared" ref="L189:L196" si="35">IF(C189=0,0,ROUNDDOWN(K189*C189,1))</f>
        <v>0</v>
      </c>
      <c r="M189" s="24" t="s">
        <v>1239</v>
      </c>
      <c r="N189" s="16" t="s">
        <v>1237</v>
      </c>
      <c r="O189" s="6" t="s">
        <v>1238</v>
      </c>
      <c r="P189" s="6" t="s">
        <v>1128</v>
      </c>
      <c r="Z189" s="19" t="str">
        <f ca="1">HYPERLINK("#"&amp;재료비목록표!G2&amp;"!A"&amp;ROW(재료비목록표!A28),"자재   25 →")</f>
        <v>자재   25 →</v>
      </c>
    </row>
    <row r="190" spans="1:26" ht="28.7" customHeight="1" x14ac:dyDescent="0.3">
      <c r="A190" s="9" t="s">
        <v>40</v>
      </c>
      <c r="B190" s="9" t="s">
        <v>41</v>
      </c>
      <c r="C190" s="86">
        <v>2.09</v>
      </c>
      <c r="D190" s="33" t="s">
        <v>42</v>
      </c>
      <c r="E190" s="62">
        <f t="shared" si="32"/>
        <v>52995</v>
      </c>
      <c r="F190" s="89">
        <f t="shared" si="32"/>
        <v>110759.40000000001</v>
      </c>
      <c r="G190" s="90">
        <f>일위대가목록표!F9</f>
        <v>39641</v>
      </c>
      <c r="H190" s="92">
        <f t="shared" si="33"/>
        <v>82849.600000000006</v>
      </c>
      <c r="I190" s="90">
        <f>일위대가목록표!G9</f>
        <v>4939</v>
      </c>
      <c r="J190" s="92">
        <f t="shared" si="34"/>
        <v>10322.5</v>
      </c>
      <c r="K190" s="90">
        <f>일위대가목록표!H9</f>
        <v>8415</v>
      </c>
      <c r="L190" s="92">
        <f t="shared" si="35"/>
        <v>17587.3</v>
      </c>
      <c r="M190" s="24" t="s">
        <v>1219</v>
      </c>
      <c r="N190" s="16" t="s">
        <v>1217</v>
      </c>
      <c r="O190" s="6" t="s">
        <v>1218</v>
      </c>
      <c r="P190" s="6" t="s">
        <v>1128</v>
      </c>
      <c r="Z190" s="19" t="str">
        <f ca="1">HYPERLINK("#"&amp;일위대가목록표!J2&amp;"!A"&amp;ROW(일위대가목록표!A9),"대가    6 →")</f>
        <v>대가    6 →</v>
      </c>
    </row>
    <row r="191" spans="1:26" ht="28.7" customHeight="1" x14ac:dyDescent="0.3">
      <c r="A191" s="9" t="s">
        <v>204</v>
      </c>
      <c r="B191" s="9" t="s">
        <v>193</v>
      </c>
      <c r="C191" s="86">
        <v>0.31</v>
      </c>
      <c r="D191" s="33" t="s">
        <v>14</v>
      </c>
      <c r="E191" s="62">
        <f t="shared" si="32"/>
        <v>24816</v>
      </c>
      <c r="F191" s="89">
        <f t="shared" si="32"/>
        <v>7692.8</v>
      </c>
      <c r="G191" s="90">
        <f>단가산출근거목록표!F13</f>
        <v>18084</v>
      </c>
      <c r="H191" s="92">
        <f t="shared" si="33"/>
        <v>5606</v>
      </c>
      <c r="I191" s="90">
        <f>단가산출근거목록표!G13</f>
        <v>2498</v>
      </c>
      <c r="J191" s="92">
        <f t="shared" si="34"/>
        <v>774.3</v>
      </c>
      <c r="K191" s="90">
        <f>단가산출근거목록표!H13</f>
        <v>4234</v>
      </c>
      <c r="L191" s="92">
        <f t="shared" si="35"/>
        <v>1312.5</v>
      </c>
      <c r="M191" s="24" t="s">
        <v>1209</v>
      </c>
      <c r="N191" s="16" t="s">
        <v>1207</v>
      </c>
      <c r="O191" s="6" t="s">
        <v>1208</v>
      </c>
      <c r="P191" s="6" t="s">
        <v>1128</v>
      </c>
      <c r="Z191" s="19" t="str">
        <f ca="1">HYPERLINK("#"&amp;단가산출근거목록표!J2&amp;"!A"&amp;ROW(단가산출근거목록표!A13),"산근   10 →")</f>
        <v>산근   10 →</v>
      </c>
    </row>
    <row r="192" spans="1:26" ht="28.7" customHeight="1" x14ac:dyDescent="0.3">
      <c r="A192" s="9" t="s">
        <v>188</v>
      </c>
      <c r="B192" s="9" t="s">
        <v>189</v>
      </c>
      <c r="C192" s="86">
        <v>0.75</v>
      </c>
      <c r="D192" s="33" t="s">
        <v>14</v>
      </c>
      <c r="E192" s="62">
        <f t="shared" si="32"/>
        <v>8328</v>
      </c>
      <c r="F192" s="89">
        <f t="shared" si="32"/>
        <v>6246</v>
      </c>
      <c r="G192" s="90">
        <f>단가산출근거목록표!F9</f>
        <v>6878</v>
      </c>
      <c r="H192" s="92">
        <f t="shared" si="33"/>
        <v>5158.5</v>
      </c>
      <c r="I192" s="90">
        <f>단가산출근거목록표!G9</f>
        <v>538</v>
      </c>
      <c r="J192" s="92">
        <f t="shared" si="34"/>
        <v>403.5</v>
      </c>
      <c r="K192" s="90">
        <f>단가산출근거목록표!H9</f>
        <v>912</v>
      </c>
      <c r="L192" s="92">
        <f t="shared" si="35"/>
        <v>684</v>
      </c>
      <c r="M192" s="24" t="s">
        <v>1231</v>
      </c>
      <c r="N192" s="16" t="s">
        <v>1229</v>
      </c>
      <c r="O192" s="6" t="s">
        <v>1230</v>
      </c>
      <c r="P192" s="6" t="s">
        <v>1128</v>
      </c>
      <c r="Z192" s="19" t="str">
        <f ca="1">HYPERLINK("#"&amp;단가산출근거목록표!J2&amp;"!A"&amp;ROW(단가산출근거목록표!A9),"산근    6 →")</f>
        <v>산근    6 →</v>
      </c>
    </row>
    <row r="193" spans="1:26" ht="28.7" customHeight="1" x14ac:dyDescent="0.3">
      <c r="A193" s="9" t="s">
        <v>192</v>
      </c>
      <c r="B193" s="9" t="s">
        <v>193</v>
      </c>
      <c r="C193" s="86">
        <v>0.75</v>
      </c>
      <c r="D193" s="33" t="s">
        <v>14</v>
      </c>
      <c r="E193" s="62">
        <f t="shared" si="32"/>
        <v>12701</v>
      </c>
      <c r="F193" s="89">
        <f t="shared" si="32"/>
        <v>9525.7000000000007</v>
      </c>
      <c r="G193" s="90">
        <f>단가산출근거목록표!F10</f>
        <v>7908</v>
      </c>
      <c r="H193" s="92">
        <f t="shared" si="33"/>
        <v>5931</v>
      </c>
      <c r="I193" s="90">
        <f>단가산출근거목록표!G10</f>
        <v>1963</v>
      </c>
      <c r="J193" s="92">
        <f t="shared" si="34"/>
        <v>1472.2</v>
      </c>
      <c r="K193" s="90">
        <f>단가산출근거목록표!H10</f>
        <v>2830</v>
      </c>
      <c r="L193" s="92">
        <f t="shared" si="35"/>
        <v>2122.5</v>
      </c>
      <c r="M193" s="24" t="s">
        <v>1228</v>
      </c>
      <c r="N193" s="16" t="s">
        <v>1226</v>
      </c>
      <c r="O193" s="6" t="s">
        <v>1227</v>
      </c>
      <c r="P193" s="6" t="s">
        <v>1128</v>
      </c>
      <c r="Z193" s="19" t="str">
        <f ca="1">HYPERLINK("#"&amp;단가산출근거목록표!J2&amp;"!A"&amp;ROW(단가산출근거목록표!A10),"산근    7 →")</f>
        <v>산근    7 →</v>
      </c>
    </row>
    <row r="194" spans="1:26" ht="28.7" customHeight="1" x14ac:dyDescent="0.3">
      <c r="A194" s="9" t="s">
        <v>472</v>
      </c>
      <c r="B194" s="9" t="s">
        <v>473</v>
      </c>
      <c r="C194" s="86">
        <v>0.87</v>
      </c>
      <c r="D194" s="33" t="s">
        <v>474</v>
      </c>
      <c r="E194" s="62">
        <f t="shared" si="32"/>
        <v>1912</v>
      </c>
      <c r="F194" s="88">
        <f t="shared" si="32"/>
        <v>1663.4</v>
      </c>
      <c r="G194" s="59">
        <v>0</v>
      </c>
      <c r="H194" s="89">
        <f t="shared" si="33"/>
        <v>0</v>
      </c>
      <c r="I194" s="90">
        <f>재료비목록표!E12</f>
        <v>1912</v>
      </c>
      <c r="J194" s="91">
        <f t="shared" si="34"/>
        <v>1663.4</v>
      </c>
      <c r="K194" s="59">
        <v>0</v>
      </c>
      <c r="L194" s="89">
        <f t="shared" si="35"/>
        <v>0</v>
      </c>
      <c r="M194" s="24" t="s">
        <v>1234</v>
      </c>
      <c r="N194" s="16" t="s">
        <v>1232</v>
      </c>
      <c r="O194" s="6" t="s">
        <v>1233</v>
      </c>
      <c r="P194" s="6" t="s">
        <v>1128</v>
      </c>
      <c r="Z194" s="19" t="str">
        <f ca="1">HYPERLINK("#"&amp;재료비목록표!G2&amp;"!A"&amp;ROW(재료비목록표!A12),"자재    9 →")</f>
        <v>자재    9 →</v>
      </c>
    </row>
    <row r="195" spans="1:26" ht="28.7" customHeight="1" x14ac:dyDescent="0.3">
      <c r="A195" s="9" t="s">
        <v>108</v>
      </c>
      <c r="B195" s="9" t="s">
        <v>275</v>
      </c>
      <c r="C195" s="86">
        <v>0.42</v>
      </c>
      <c r="D195" s="33" t="s">
        <v>14</v>
      </c>
      <c r="E195" s="62">
        <f t="shared" si="32"/>
        <v>67383</v>
      </c>
      <c r="F195" s="89">
        <f t="shared" si="32"/>
        <v>28300.699999999997</v>
      </c>
      <c r="G195" s="90">
        <f>단가산출근거목록표!F33</f>
        <v>66071</v>
      </c>
      <c r="H195" s="92">
        <f t="shared" si="33"/>
        <v>27749.8</v>
      </c>
      <c r="I195" s="90">
        <f>단가산출근거목록표!G33</f>
        <v>1008</v>
      </c>
      <c r="J195" s="92">
        <f t="shared" si="34"/>
        <v>423.3</v>
      </c>
      <c r="K195" s="90">
        <f>단가산출근거목록표!H33</f>
        <v>304</v>
      </c>
      <c r="L195" s="92">
        <f t="shared" si="35"/>
        <v>127.6</v>
      </c>
      <c r="M195" s="24" t="s">
        <v>1175</v>
      </c>
      <c r="N195" s="16" t="s">
        <v>1173</v>
      </c>
      <c r="O195" s="6" t="s">
        <v>1174</v>
      </c>
      <c r="P195" s="6" t="s">
        <v>1128</v>
      </c>
      <c r="Z195" s="19" t="str">
        <f ca="1">HYPERLINK("#"&amp;단가산출근거목록표!J2&amp;"!A"&amp;ROW(단가산출근거목록표!A33),"산근   30 →")</f>
        <v>산근   30 →</v>
      </c>
    </row>
    <row r="196" spans="1:26" ht="28.7" customHeight="1" x14ac:dyDescent="0.3">
      <c r="A196" s="9" t="s">
        <v>12</v>
      </c>
      <c r="B196" s="9" t="s">
        <v>13</v>
      </c>
      <c r="C196" s="86">
        <v>1.9E-2</v>
      </c>
      <c r="D196" s="33" t="s">
        <v>14</v>
      </c>
      <c r="E196" s="62">
        <f t="shared" si="32"/>
        <v>109259</v>
      </c>
      <c r="F196" s="89">
        <f t="shared" si="32"/>
        <v>2075.9</v>
      </c>
      <c r="G196" s="90">
        <f>일위대가목록표!F4</f>
        <v>109259</v>
      </c>
      <c r="H196" s="92">
        <f t="shared" si="33"/>
        <v>2075.9</v>
      </c>
      <c r="I196" s="90">
        <f>일위대가목록표!G4</f>
        <v>0</v>
      </c>
      <c r="J196" s="92">
        <f t="shared" si="34"/>
        <v>0</v>
      </c>
      <c r="K196" s="90">
        <f>일위대가목록표!H4</f>
        <v>0</v>
      </c>
      <c r="L196" s="92">
        <f t="shared" si="35"/>
        <v>0</v>
      </c>
      <c r="M196" s="24" t="s">
        <v>1212</v>
      </c>
      <c r="N196" s="16" t="s">
        <v>1210</v>
      </c>
      <c r="O196" s="6" t="s">
        <v>1211</v>
      </c>
      <c r="P196" s="6" t="s">
        <v>1128</v>
      </c>
      <c r="Z196" s="19" t="str">
        <f ca="1">HYPERLINK("#"&amp;일위대가목록표!J2&amp;"!A"&amp;ROW(일위대가목록표!A4),"대가    1 →")</f>
        <v>대가    1 →</v>
      </c>
    </row>
    <row r="197" spans="1:26" ht="28.7" customHeight="1" x14ac:dyDescent="0.3">
      <c r="A197" s="24" t="s">
        <v>6</v>
      </c>
      <c r="B197" s="58"/>
      <c r="C197" s="58"/>
      <c r="D197" s="58"/>
      <c r="E197" s="58"/>
      <c r="F197" s="55">
        <f>J197+H197+L197</f>
        <v>166262</v>
      </c>
      <c r="G197" s="58"/>
      <c r="H197" s="55">
        <f>ROUNDDOWN(SUMIF(P189:P196,O197,H189:H196),0)</f>
        <v>129370</v>
      </c>
      <c r="I197" s="58"/>
      <c r="J197" s="55">
        <f>ROUNDDOWN(SUMIF(P189:P196,O197,J189:J196),0)</f>
        <v>15059</v>
      </c>
      <c r="K197" s="58"/>
      <c r="L197" s="55">
        <f>ROUNDDOWN(SUMIF(P189:P196,O197,L189:L196),0)</f>
        <v>21833</v>
      </c>
      <c r="M197" s="58"/>
      <c r="O197" s="6" t="s">
        <v>1128</v>
      </c>
    </row>
    <row r="198" spans="1:26" ht="28.7" customHeight="1" x14ac:dyDescent="0.3">
      <c r="A198" s="83" t="s">
        <v>124</v>
      </c>
      <c r="B198" s="83"/>
      <c r="C198" s="84"/>
      <c r="D198" s="84"/>
      <c r="E198" s="84"/>
      <c r="F198" s="84"/>
      <c r="G198" s="84"/>
      <c r="H198" s="84"/>
      <c r="I198" s="84"/>
      <c r="J198" s="84"/>
      <c r="K198" s="84"/>
      <c r="L198" s="84"/>
      <c r="M198" s="84"/>
      <c r="N198" s="36" t="str">
        <f>HYPERLINK("#N"&amp;ROW(N207),"_x0005_`BDCOD|B01196_x0007_`POSS|"&amp;ROW(N200)&amp;"_x0007_`POSE|"&amp;ROW(N207)&amp;"_x0007_`")</f>
        <v>_x0005_`BDCOD|B01196_x0007_`POSS|200_x0007_`POSE|207_x0007_`</v>
      </c>
    </row>
    <row r="199" spans="1:26" ht="28.7" customHeight="1" x14ac:dyDescent="0.3">
      <c r="A199" s="43" t="s">
        <v>90</v>
      </c>
      <c r="B199" s="43" t="s">
        <v>100</v>
      </c>
      <c r="C199" s="85"/>
      <c r="D199" s="87" t="s">
        <v>20</v>
      </c>
      <c r="E199" s="85"/>
      <c r="F199" s="85"/>
      <c r="G199" s="85"/>
      <c r="H199" s="85"/>
      <c r="I199" s="85"/>
      <c r="J199" s="85"/>
      <c r="K199" s="85"/>
      <c r="L199" s="85"/>
      <c r="M199" s="87" t="s">
        <v>126</v>
      </c>
      <c r="O199" s="6" t="s">
        <v>1274</v>
      </c>
    </row>
    <row r="200" spans="1:26" ht="28.7" customHeight="1" x14ac:dyDescent="0.3">
      <c r="A200" s="9" t="s">
        <v>547</v>
      </c>
      <c r="B200" s="9" t="s">
        <v>499</v>
      </c>
      <c r="C200" s="86">
        <v>2.61</v>
      </c>
      <c r="D200" s="33" t="s">
        <v>548</v>
      </c>
      <c r="E200" s="62">
        <f t="shared" ref="E200:F207" si="36">I200+G200+K200</f>
        <v>0</v>
      </c>
      <c r="F200" s="88">
        <f t="shared" si="36"/>
        <v>0</v>
      </c>
      <c r="G200" s="59">
        <v>0</v>
      </c>
      <c r="H200" s="89">
        <f t="shared" ref="H200:H207" si="37">IF(C200=0,0,ROUNDDOWN(G200*C200,1))</f>
        <v>0</v>
      </c>
      <c r="I200" s="90">
        <f>재료비목록표!E28</f>
        <v>0</v>
      </c>
      <c r="J200" s="91">
        <f t="shared" ref="J200:J207" si="38">IF(C200=0,0,ROUNDDOWN(I200*C200,1))</f>
        <v>0</v>
      </c>
      <c r="K200" s="59">
        <v>0</v>
      </c>
      <c r="L200" s="89">
        <f t="shared" ref="L200:L207" si="39">IF(C200=0,0,ROUNDDOWN(K200*C200,1))</f>
        <v>0</v>
      </c>
      <c r="M200" s="24" t="s">
        <v>1239</v>
      </c>
      <c r="N200" s="16" t="s">
        <v>1237</v>
      </c>
      <c r="O200" s="6" t="s">
        <v>1238</v>
      </c>
      <c r="P200" s="6" t="s">
        <v>1128</v>
      </c>
      <c r="Z200" s="19" t="str">
        <f ca="1">HYPERLINK("#"&amp;재료비목록표!G2&amp;"!A"&amp;ROW(재료비목록표!A28),"자재   25 →")</f>
        <v>자재   25 →</v>
      </c>
    </row>
    <row r="201" spans="1:26" ht="28.7" customHeight="1" x14ac:dyDescent="0.3">
      <c r="A201" s="9" t="s">
        <v>40</v>
      </c>
      <c r="B201" s="9" t="s">
        <v>41</v>
      </c>
      <c r="C201" s="86">
        <v>2.61</v>
      </c>
      <c r="D201" s="33" t="s">
        <v>42</v>
      </c>
      <c r="E201" s="62">
        <f t="shared" si="36"/>
        <v>52995</v>
      </c>
      <c r="F201" s="89">
        <f t="shared" si="36"/>
        <v>138316.79999999999</v>
      </c>
      <c r="G201" s="90">
        <f>일위대가목록표!F9</f>
        <v>39641</v>
      </c>
      <c r="H201" s="92">
        <f t="shared" si="37"/>
        <v>103463</v>
      </c>
      <c r="I201" s="90">
        <f>일위대가목록표!G9</f>
        <v>4939</v>
      </c>
      <c r="J201" s="92">
        <f t="shared" si="38"/>
        <v>12890.7</v>
      </c>
      <c r="K201" s="90">
        <f>일위대가목록표!H9</f>
        <v>8415</v>
      </c>
      <c r="L201" s="92">
        <f t="shared" si="39"/>
        <v>21963.1</v>
      </c>
      <c r="M201" s="24" t="s">
        <v>1219</v>
      </c>
      <c r="N201" s="16" t="s">
        <v>1217</v>
      </c>
      <c r="O201" s="6" t="s">
        <v>1218</v>
      </c>
      <c r="P201" s="6" t="s">
        <v>1128</v>
      </c>
      <c r="Z201" s="19" t="str">
        <f ca="1">HYPERLINK("#"&amp;일위대가목록표!J2&amp;"!A"&amp;ROW(일위대가목록표!A9),"대가    6 →")</f>
        <v>대가    6 →</v>
      </c>
    </row>
    <row r="202" spans="1:26" ht="28.7" customHeight="1" x14ac:dyDescent="0.3">
      <c r="A202" s="9" t="s">
        <v>204</v>
      </c>
      <c r="B202" s="9" t="s">
        <v>193</v>
      </c>
      <c r="C202" s="86">
        <v>0.39</v>
      </c>
      <c r="D202" s="33" t="s">
        <v>14</v>
      </c>
      <c r="E202" s="62">
        <f t="shared" si="36"/>
        <v>24816</v>
      </c>
      <c r="F202" s="89">
        <f t="shared" si="36"/>
        <v>9678.1</v>
      </c>
      <c r="G202" s="90">
        <f>단가산출근거목록표!F13</f>
        <v>18084</v>
      </c>
      <c r="H202" s="92">
        <f t="shared" si="37"/>
        <v>7052.7</v>
      </c>
      <c r="I202" s="90">
        <f>단가산출근거목록표!G13</f>
        <v>2498</v>
      </c>
      <c r="J202" s="92">
        <f t="shared" si="38"/>
        <v>974.2</v>
      </c>
      <c r="K202" s="90">
        <f>단가산출근거목록표!H13</f>
        <v>4234</v>
      </c>
      <c r="L202" s="92">
        <f t="shared" si="39"/>
        <v>1651.2</v>
      </c>
      <c r="M202" s="24" t="s">
        <v>1209</v>
      </c>
      <c r="N202" s="16" t="s">
        <v>1207</v>
      </c>
      <c r="O202" s="6" t="s">
        <v>1208</v>
      </c>
      <c r="P202" s="6" t="s">
        <v>1128</v>
      </c>
      <c r="Z202" s="19" t="str">
        <f ca="1">HYPERLINK("#"&amp;단가산출근거목록표!J2&amp;"!A"&amp;ROW(단가산출근거목록표!A13),"산근   10 →")</f>
        <v>산근   10 →</v>
      </c>
    </row>
    <row r="203" spans="1:26" ht="28.7" customHeight="1" x14ac:dyDescent="0.3">
      <c r="A203" s="9" t="s">
        <v>188</v>
      </c>
      <c r="B203" s="9" t="s">
        <v>189</v>
      </c>
      <c r="C203" s="86">
        <v>0.94</v>
      </c>
      <c r="D203" s="33" t="s">
        <v>14</v>
      </c>
      <c r="E203" s="62">
        <f t="shared" si="36"/>
        <v>8328</v>
      </c>
      <c r="F203" s="89">
        <f t="shared" si="36"/>
        <v>7828.2</v>
      </c>
      <c r="G203" s="90">
        <f>단가산출근거목록표!F9</f>
        <v>6878</v>
      </c>
      <c r="H203" s="92">
        <f t="shared" si="37"/>
        <v>6465.3</v>
      </c>
      <c r="I203" s="90">
        <f>단가산출근거목록표!G9</f>
        <v>538</v>
      </c>
      <c r="J203" s="92">
        <f t="shared" si="38"/>
        <v>505.7</v>
      </c>
      <c r="K203" s="90">
        <f>단가산출근거목록표!H9</f>
        <v>912</v>
      </c>
      <c r="L203" s="92">
        <f t="shared" si="39"/>
        <v>857.2</v>
      </c>
      <c r="M203" s="24" t="s">
        <v>1231</v>
      </c>
      <c r="N203" s="16" t="s">
        <v>1229</v>
      </c>
      <c r="O203" s="6" t="s">
        <v>1230</v>
      </c>
      <c r="P203" s="6" t="s">
        <v>1128</v>
      </c>
      <c r="Z203" s="19" t="str">
        <f ca="1">HYPERLINK("#"&amp;단가산출근거목록표!J2&amp;"!A"&amp;ROW(단가산출근거목록표!A9),"산근    6 →")</f>
        <v>산근    6 →</v>
      </c>
    </row>
    <row r="204" spans="1:26" ht="28.7" customHeight="1" x14ac:dyDescent="0.3">
      <c r="A204" s="9" t="s">
        <v>192</v>
      </c>
      <c r="B204" s="9" t="s">
        <v>193</v>
      </c>
      <c r="C204" s="86">
        <v>0.94</v>
      </c>
      <c r="D204" s="33" t="s">
        <v>14</v>
      </c>
      <c r="E204" s="62">
        <f t="shared" si="36"/>
        <v>12701</v>
      </c>
      <c r="F204" s="89">
        <f t="shared" si="36"/>
        <v>11938.900000000001</v>
      </c>
      <c r="G204" s="90">
        <f>단가산출근거목록표!F10</f>
        <v>7908</v>
      </c>
      <c r="H204" s="92">
        <f t="shared" si="37"/>
        <v>7433.5</v>
      </c>
      <c r="I204" s="90">
        <f>단가산출근거목록표!G10</f>
        <v>1963</v>
      </c>
      <c r="J204" s="92">
        <f t="shared" si="38"/>
        <v>1845.2</v>
      </c>
      <c r="K204" s="90">
        <f>단가산출근거목록표!H10</f>
        <v>2830</v>
      </c>
      <c r="L204" s="92">
        <f t="shared" si="39"/>
        <v>2660.2</v>
      </c>
      <c r="M204" s="24" t="s">
        <v>1228</v>
      </c>
      <c r="N204" s="16" t="s">
        <v>1226</v>
      </c>
      <c r="O204" s="6" t="s">
        <v>1227</v>
      </c>
      <c r="P204" s="6" t="s">
        <v>1128</v>
      </c>
      <c r="Z204" s="19" t="str">
        <f ca="1">HYPERLINK("#"&amp;단가산출근거목록표!J2&amp;"!A"&amp;ROW(단가산출근거목록표!A10),"산근    7 →")</f>
        <v>산근    7 →</v>
      </c>
    </row>
    <row r="205" spans="1:26" ht="28.7" customHeight="1" x14ac:dyDescent="0.3">
      <c r="A205" s="9" t="s">
        <v>472</v>
      </c>
      <c r="B205" s="9" t="s">
        <v>473</v>
      </c>
      <c r="C205" s="86">
        <v>1.08</v>
      </c>
      <c r="D205" s="33" t="s">
        <v>474</v>
      </c>
      <c r="E205" s="62">
        <f t="shared" si="36"/>
        <v>1912</v>
      </c>
      <c r="F205" s="88">
        <f t="shared" si="36"/>
        <v>2064.9</v>
      </c>
      <c r="G205" s="59">
        <v>0</v>
      </c>
      <c r="H205" s="89">
        <f t="shared" si="37"/>
        <v>0</v>
      </c>
      <c r="I205" s="90">
        <f>재료비목록표!E12</f>
        <v>1912</v>
      </c>
      <c r="J205" s="91">
        <f t="shared" si="38"/>
        <v>2064.9</v>
      </c>
      <c r="K205" s="59">
        <v>0</v>
      </c>
      <c r="L205" s="89">
        <f t="shared" si="39"/>
        <v>0</v>
      </c>
      <c r="M205" s="24" t="s">
        <v>1234</v>
      </c>
      <c r="N205" s="16" t="s">
        <v>1232</v>
      </c>
      <c r="O205" s="6" t="s">
        <v>1233</v>
      </c>
      <c r="P205" s="6" t="s">
        <v>1128</v>
      </c>
      <c r="Z205" s="19" t="str">
        <f ca="1">HYPERLINK("#"&amp;재료비목록표!G2&amp;"!A"&amp;ROW(재료비목록표!A12),"자재    9 →")</f>
        <v>자재    9 →</v>
      </c>
    </row>
    <row r="206" spans="1:26" ht="28.7" customHeight="1" x14ac:dyDescent="0.3">
      <c r="A206" s="9" t="s">
        <v>108</v>
      </c>
      <c r="B206" s="9" t="s">
        <v>275</v>
      </c>
      <c r="C206" s="86">
        <v>0.52</v>
      </c>
      <c r="D206" s="33" t="s">
        <v>14</v>
      </c>
      <c r="E206" s="62">
        <f t="shared" si="36"/>
        <v>67383</v>
      </c>
      <c r="F206" s="89">
        <f t="shared" si="36"/>
        <v>35039</v>
      </c>
      <c r="G206" s="90">
        <f>단가산출근거목록표!F33</f>
        <v>66071</v>
      </c>
      <c r="H206" s="92">
        <f t="shared" si="37"/>
        <v>34356.9</v>
      </c>
      <c r="I206" s="90">
        <f>단가산출근거목록표!G33</f>
        <v>1008</v>
      </c>
      <c r="J206" s="92">
        <f t="shared" si="38"/>
        <v>524.1</v>
      </c>
      <c r="K206" s="90">
        <f>단가산출근거목록표!H33</f>
        <v>304</v>
      </c>
      <c r="L206" s="92">
        <f t="shared" si="39"/>
        <v>158</v>
      </c>
      <c r="M206" s="24" t="s">
        <v>1175</v>
      </c>
      <c r="N206" s="16" t="s">
        <v>1173</v>
      </c>
      <c r="O206" s="6" t="s">
        <v>1174</v>
      </c>
      <c r="P206" s="6" t="s">
        <v>1128</v>
      </c>
      <c r="Z206" s="19" t="str">
        <f ca="1">HYPERLINK("#"&amp;단가산출근거목록표!J2&amp;"!A"&amp;ROW(단가산출근거목록표!A33),"산근   30 →")</f>
        <v>산근   30 →</v>
      </c>
    </row>
    <row r="207" spans="1:26" ht="28.7" customHeight="1" x14ac:dyDescent="0.3">
      <c r="A207" s="9" t="s">
        <v>12</v>
      </c>
      <c r="B207" s="9" t="s">
        <v>13</v>
      </c>
      <c r="C207" s="86">
        <v>2.3E-2</v>
      </c>
      <c r="D207" s="33" t="s">
        <v>14</v>
      </c>
      <c r="E207" s="62">
        <f t="shared" si="36"/>
        <v>109259</v>
      </c>
      <c r="F207" s="89">
        <f t="shared" si="36"/>
        <v>2512.9</v>
      </c>
      <c r="G207" s="90">
        <f>일위대가목록표!F4</f>
        <v>109259</v>
      </c>
      <c r="H207" s="92">
        <f t="shared" si="37"/>
        <v>2512.9</v>
      </c>
      <c r="I207" s="90">
        <f>일위대가목록표!G4</f>
        <v>0</v>
      </c>
      <c r="J207" s="92">
        <f t="shared" si="38"/>
        <v>0</v>
      </c>
      <c r="K207" s="90">
        <f>일위대가목록표!H4</f>
        <v>0</v>
      </c>
      <c r="L207" s="92">
        <f t="shared" si="39"/>
        <v>0</v>
      </c>
      <c r="M207" s="24" t="s">
        <v>1212</v>
      </c>
      <c r="N207" s="16" t="s">
        <v>1210</v>
      </c>
      <c r="O207" s="6" t="s">
        <v>1211</v>
      </c>
      <c r="P207" s="6" t="s">
        <v>1128</v>
      </c>
      <c r="Z207" s="19" t="str">
        <f ca="1">HYPERLINK("#"&amp;일위대가목록표!J2&amp;"!A"&amp;ROW(일위대가목록표!A4),"대가    1 →")</f>
        <v>대가    1 →</v>
      </c>
    </row>
    <row r="208" spans="1:26" ht="28.7" customHeight="1" x14ac:dyDescent="0.3">
      <c r="A208" s="24" t="s">
        <v>6</v>
      </c>
      <c r="B208" s="58"/>
      <c r="C208" s="58"/>
      <c r="D208" s="58"/>
      <c r="E208" s="58"/>
      <c r="F208" s="55">
        <f>J208+H208+L208</f>
        <v>207377</v>
      </c>
      <c r="G208" s="58"/>
      <c r="H208" s="55">
        <f>ROUNDDOWN(SUMIF(P200:P207,O208,H200:H207),0)</f>
        <v>161284</v>
      </c>
      <c r="I208" s="58"/>
      <c r="J208" s="55">
        <f>ROUNDDOWN(SUMIF(P200:P207,O208,J200:J207),0)</f>
        <v>18804</v>
      </c>
      <c r="K208" s="58"/>
      <c r="L208" s="55">
        <f>ROUNDDOWN(SUMIF(P200:P207,O208,L200:L207),0)</f>
        <v>27289</v>
      </c>
      <c r="M208" s="58"/>
      <c r="O208" s="6" t="s">
        <v>1128</v>
      </c>
    </row>
    <row r="209" spans="1:26" ht="28.7" customHeight="1" x14ac:dyDescent="0.3">
      <c r="A209" s="83" t="s">
        <v>127</v>
      </c>
      <c r="B209" s="83"/>
      <c r="C209" s="84"/>
      <c r="D209" s="84"/>
      <c r="E209" s="84"/>
      <c r="F209" s="84"/>
      <c r="G209" s="84"/>
      <c r="H209" s="84"/>
      <c r="I209" s="84"/>
      <c r="J209" s="84"/>
      <c r="K209" s="84"/>
      <c r="L209" s="84"/>
      <c r="M209" s="84"/>
      <c r="N209" s="36" t="str">
        <f>HYPERLINK("#N"&amp;ROW(N215),"_x0005_`BDCOD|B01197_x0007_`POSS|"&amp;ROW(N211)&amp;"_x0007_`POSE|"&amp;ROW(N215)&amp;"_x0007_`")</f>
        <v>_x0005_`BDCOD|B01197_x0007_`POSS|211_x0007_`POSE|215_x0007_`</v>
      </c>
    </row>
    <row r="210" spans="1:26" ht="28.7" customHeight="1" x14ac:dyDescent="0.3">
      <c r="A210" s="43" t="s">
        <v>95</v>
      </c>
      <c r="B210" s="43" t="s">
        <v>91</v>
      </c>
      <c r="C210" s="85"/>
      <c r="D210" s="87" t="s">
        <v>20</v>
      </c>
      <c r="E210" s="85"/>
      <c r="F210" s="85"/>
      <c r="G210" s="85"/>
      <c r="H210" s="85"/>
      <c r="I210" s="85"/>
      <c r="J210" s="85"/>
      <c r="K210" s="85"/>
      <c r="L210" s="85"/>
      <c r="M210" s="87" t="s">
        <v>129</v>
      </c>
      <c r="O210" s="6" t="s">
        <v>1275</v>
      </c>
    </row>
    <row r="211" spans="1:26" ht="28.7" customHeight="1" x14ac:dyDescent="0.3">
      <c r="A211" s="9" t="s">
        <v>547</v>
      </c>
      <c r="B211" s="9" t="s">
        <v>499</v>
      </c>
      <c r="C211" s="86">
        <v>1.57</v>
      </c>
      <c r="D211" s="33" t="s">
        <v>548</v>
      </c>
      <c r="E211" s="62">
        <f t="shared" ref="E211:F215" si="40">I211+G211+K211</f>
        <v>0</v>
      </c>
      <c r="F211" s="88">
        <f t="shared" si="40"/>
        <v>0</v>
      </c>
      <c r="G211" s="59">
        <v>0</v>
      </c>
      <c r="H211" s="89">
        <f>IF(C211=0,0,ROUNDDOWN(G211*C211,1))</f>
        <v>0</v>
      </c>
      <c r="I211" s="90">
        <f>재료비목록표!E28</f>
        <v>0</v>
      </c>
      <c r="J211" s="91">
        <f>IF(C211=0,0,ROUNDDOWN(I211*C211,1))</f>
        <v>0</v>
      </c>
      <c r="K211" s="59">
        <v>0</v>
      </c>
      <c r="L211" s="89">
        <f>IF(C211=0,0,ROUNDDOWN(K211*C211,1))</f>
        <v>0</v>
      </c>
      <c r="M211" s="24" t="s">
        <v>1239</v>
      </c>
      <c r="N211" s="16" t="s">
        <v>1237</v>
      </c>
      <c r="O211" s="6" t="s">
        <v>1238</v>
      </c>
      <c r="P211" s="6" t="s">
        <v>1128</v>
      </c>
      <c r="Z211" s="19" t="str">
        <f ca="1">HYPERLINK("#"&amp;재료비목록표!G2&amp;"!A"&amp;ROW(재료비목록표!A28),"자재   25 →")</f>
        <v>자재   25 →</v>
      </c>
    </row>
    <row r="212" spans="1:26" ht="28.7" customHeight="1" x14ac:dyDescent="0.3">
      <c r="A212" s="9" t="s">
        <v>63</v>
      </c>
      <c r="B212" s="9" t="s">
        <v>41</v>
      </c>
      <c r="C212" s="86">
        <v>1.57</v>
      </c>
      <c r="D212" s="33" t="s">
        <v>42</v>
      </c>
      <c r="E212" s="62">
        <f t="shared" si="40"/>
        <v>68835</v>
      </c>
      <c r="F212" s="89">
        <f t="shared" si="40"/>
        <v>108070.8</v>
      </c>
      <c r="G212" s="90">
        <f>일위대가목록표!F14</f>
        <v>50534</v>
      </c>
      <c r="H212" s="92">
        <f>IF(C212=0,0,ROUNDDOWN(G212*C212,1))</f>
        <v>79338.3</v>
      </c>
      <c r="I212" s="90">
        <f>일위대가목록표!G14</f>
        <v>6769</v>
      </c>
      <c r="J212" s="92">
        <f>IF(C212=0,0,ROUNDDOWN(I212*C212,1))</f>
        <v>10627.3</v>
      </c>
      <c r="K212" s="90">
        <f>일위대가목록표!H14</f>
        <v>11532</v>
      </c>
      <c r="L212" s="92">
        <f>IF(C212=0,0,ROUNDDOWN(K212*C212,1))</f>
        <v>18105.2</v>
      </c>
      <c r="M212" s="24" t="s">
        <v>1243</v>
      </c>
      <c r="N212" s="16" t="s">
        <v>1241</v>
      </c>
      <c r="O212" s="6" t="s">
        <v>1242</v>
      </c>
      <c r="P212" s="6" t="s">
        <v>1128</v>
      </c>
      <c r="Z212" s="19" t="str">
        <f ca="1">HYPERLINK("#"&amp;일위대가목록표!J2&amp;"!A"&amp;ROW(일위대가목록표!A14),"대가   11 →")</f>
        <v>대가   11 →</v>
      </c>
    </row>
    <row r="213" spans="1:26" ht="28.7" customHeight="1" x14ac:dyDescent="0.3">
      <c r="A213" s="9" t="s">
        <v>204</v>
      </c>
      <c r="B213" s="9" t="s">
        <v>193</v>
      </c>
      <c r="C213" s="86">
        <v>0.24</v>
      </c>
      <c r="D213" s="33" t="s">
        <v>14</v>
      </c>
      <c r="E213" s="62">
        <f t="shared" si="40"/>
        <v>24816</v>
      </c>
      <c r="F213" s="89">
        <f t="shared" si="40"/>
        <v>5955.7000000000007</v>
      </c>
      <c r="G213" s="90">
        <f>단가산출근거목록표!F13</f>
        <v>18084</v>
      </c>
      <c r="H213" s="92">
        <f>IF(C213=0,0,ROUNDDOWN(G213*C213,1))</f>
        <v>4340.1000000000004</v>
      </c>
      <c r="I213" s="90">
        <f>단가산출근거목록표!G13</f>
        <v>2498</v>
      </c>
      <c r="J213" s="92">
        <f>IF(C213=0,0,ROUNDDOWN(I213*C213,1))</f>
        <v>599.5</v>
      </c>
      <c r="K213" s="90">
        <f>단가산출근거목록표!H13</f>
        <v>4234</v>
      </c>
      <c r="L213" s="92">
        <f>IF(C213=0,0,ROUNDDOWN(K213*C213,1))</f>
        <v>1016.1</v>
      </c>
      <c r="M213" s="24" t="s">
        <v>1209</v>
      </c>
      <c r="N213" s="16" t="s">
        <v>1207</v>
      </c>
      <c r="O213" s="6" t="s">
        <v>1208</v>
      </c>
      <c r="P213" s="6" t="s">
        <v>1128</v>
      </c>
      <c r="Z213" s="19" t="str">
        <f ca="1">HYPERLINK("#"&amp;단가산출근거목록표!J2&amp;"!A"&amp;ROW(단가산출근거목록표!A13),"산근   10 →")</f>
        <v>산근   10 →</v>
      </c>
    </row>
    <row r="214" spans="1:26" ht="28.7" customHeight="1" x14ac:dyDescent="0.3">
      <c r="A214" s="9" t="s">
        <v>188</v>
      </c>
      <c r="B214" s="9" t="s">
        <v>189</v>
      </c>
      <c r="C214" s="86">
        <v>0.56000000000000005</v>
      </c>
      <c r="D214" s="33" t="s">
        <v>14</v>
      </c>
      <c r="E214" s="62">
        <f t="shared" si="40"/>
        <v>8328</v>
      </c>
      <c r="F214" s="89">
        <f t="shared" si="40"/>
        <v>4663.5</v>
      </c>
      <c r="G214" s="90">
        <f>단가산출근거목록표!F9</f>
        <v>6878</v>
      </c>
      <c r="H214" s="92">
        <f>IF(C214=0,0,ROUNDDOWN(G214*C214,1))</f>
        <v>3851.6</v>
      </c>
      <c r="I214" s="90">
        <f>단가산출근거목록표!G9</f>
        <v>538</v>
      </c>
      <c r="J214" s="92">
        <f>IF(C214=0,0,ROUNDDOWN(I214*C214,1))</f>
        <v>301.2</v>
      </c>
      <c r="K214" s="90">
        <f>단가산출근거목록표!H9</f>
        <v>912</v>
      </c>
      <c r="L214" s="92">
        <f>IF(C214=0,0,ROUNDDOWN(K214*C214,1))</f>
        <v>510.7</v>
      </c>
      <c r="M214" s="24" t="s">
        <v>1231</v>
      </c>
      <c r="N214" s="16" t="s">
        <v>1229</v>
      </c>
      <c r="O214" s="6" t="s">
        <v>1230</v>
      </c>
      <c r="P214" s="6" t="s">
        <v>1128</v>
      </c>
      <c r="Z214" s="19" t="str">
        <f ca="1">HYPERLINK("#"&amp;단가산출근거목록표!J2&amp;"!A"&amp;ROW(단가산출근거목록표!A9),"산근    6 →")</f>
        <v>산근    6 →</v>
      </c>
    </row>
    <row r="215" spans="1:26" ht="28.7" customHeight="1" x14ac:dyDescent="0.3">
      <c r="A215" s="9" t="s">
        <v>192</v>
      </c>
      <c r="B215" s="9" t="s">
        <v>193</v>
      </c>
      <c r="C215" s="86">
        <v>0.56000000000000005</v>
      </c>
      <c r="D215" s="33" t="s">
        <v>14</v>
      </c>
      <c r="E215" s="62">
        <f t="shared" si="40"/>
        <v>12701</v>
      </c>
      <c r="F215" s="89">
        <f t="shared" si="40"/>
        <v>7112.4</v>
      </c>
      <c r="G215" s="90">
        <f>단가산출근거목록표!F10</f>
        <v>7908</v>
      </c>
      <c r="H215" s="92">
        <f>IF(C215=0,0,ROUNDDOWN(G215*C215,1))</f>
        <v>4428.3999999999996</v>
      </c>
      <c r="I215" s="90">
        <f>단가산출근거목록표!G10</f>
        <v>1963</v>
      </c>
      <c r="J215" s="92">
        <f>IF(C215=0,0,ROUNDDOWN(I215*C215,1))</f>
        <v>1099.2</v>
      </c>
      <c r="K215" s="90">
        <f>단가산출근거목록표!H10</f>
        <v>2830</v>
      </c>
      <c r="L215" s="92">
        <f>IF(C215=0,0,ROUNDDOWN(K215*C215,1))</f>
        <v>1584.8</v>
      </c>
      <c r="M215" s="24" t="s">
        <v>1228</v>
      </c>
      <c r="N215" s="16" t="s">
        <v>1226</v>
      </c>
      <c r="O215" s="6" t="s">
        <v>1227</v>
      </c>
      <c r="P215" s="6" t="s">
        <v>1128</v>
      </c>
      <c r="Z215" s="19" t="str">
        <f ca="1">HYPERLINK("#"&amp;단가산출근거목록표!J2&amp;"!A"&amp;ROW(단가산출근거목록표!A10),"산근    7 →")</f>
        <v>산근    7 →</v>
      </c>
    </row>
    <row r="216" spans="1:26" ht="28.7" customHeight="1" x14ac:dyDescent="0.3">
      <c r="A216" s="24" t="s">
        <v>6</v>
      </c>
      <c r="B216" s="58"/>
      <c r="C216" s="58"/>
      <c r="D216" s="58"/>
      <c r="E216" s="58"/>
      <c r="F216" s="55">
        <f>J216+H216+L216</f>
        <v>125801</v>
      </c>
      <c r="G216" s="58"/>
      <c r="H216" s="55">
        <f>ROUNDDOWN(SUMIF(P211:P215,O216,H211:H215),0)</f>
        <v>91958</v>
      </c>
      <c r="I216" s="58"/>
      <c r="J216" s="55">
        <f>ROUNDDOWN(SUMIF(P211:P215,O216,J211:J215),0)</f>
        <v>12627</v>
      </c>
      <c r="K216" s="58"/>
      <c r="L216" s="55">
        <f>ROUNDDOWN(SUMIF(P211:P215,O216,L211:L215),0)</f>
        <v>21216</v>
      </c>
      <c r="M216" s="58"/>
      <c r="O216" s="6" t="s">
        <v>1128</v>
      </c>
    </row>
    <row r="217" spans="1:26" ht="28.7" customHeight="1" x14ac:dyDescent="0.3">
      <c r="A217" s="83" t="s">
        <v>130</v>
      </c>
      <c r="B217" s="83"/>
      <c r="C217" s="84"/>
      <c r="D217" s="84"/>
      <c r="E217" s="84"/>
      <c r="F217" s="84"/>
      <c r="G217" s="84"/>
      <c r="H217" s="84"/>
      <c r="I217" s="84"/>
      <c r="J217" s="84"/>
      <c r="K217" s="84"/>
      <c r="L217" s="84"/>
      <c r="M217" s="84"/>
      <c r="N217" s="36" t="str">
        <f>HYPERLINK("#N"&amp;ROW(N222),"_x0005_`BDCOD|B01198_x0007_`POSS|"&amp;ROW(N219)&amp;"_x0007_`POSE|"&amp;ROW(N222)&amp;"_x0007_`")</f>
        <v>_x0005_`BDCOD|B01198_x0007_`POSS|219_x0007_`POSE|222_x0007_`</v>
      </c>
    </row>
    <row r="218" spans="1:26" ht="28.7" customHeight="1" x14ac:dyDescent="0.3">
      <c r="A218" s="43" t="s">
        <v>132</v>
      </c>
      <c r="B218" s="43" t="s">
        <v>41</v>
      </c>
      <c r="C218" s="85"/>
      <c r="D218" s="87" t="s">
        <v>42</v>
      </c>
      <c r="E218" s="85"/>
      <c r="F218" s="85"/>
      <c r="G218" s="85"/>
      <c r="H218" s="85"/>
      <c r="I218" s="85"/>
      <c r="J218" s="85"/>
      <c r="K218" s="85"/>
      <c r="L218" s="85"/>
      <c r="M218" s="87" t="s">
        <v>133</v>
      </c>
      <c r="O218" s="6" t="s">
        <v>1276</v>
      </c>
    </row>
    <row r="219" spans="1:26" ht="28.7" customHeight="1" x14ac:dyDescent="0.3">
      <c r="A219" s="9" t="s">
        <v>1114</v>
      </c>
      <c r="B219" s="9" t="s">
        <v>1277</v>
      </c>
      <c r="C219" s="86">
        <v>0</v>
      </c>
      <c r="D219" s="33"/>
      <c r="E219" s="23">
        <v>0</v>
      </c>
      <c r="F219" s="10">
        <v>0</v>
      </c>
      <c r="G219" s="45"/>
      <c r="H219" s="10">
        <v>0</v>
      </c>
      <c r="I219" s="45"/>
      <c r="J219" s="23">
        <v>0</v>
      </c>
      <c r="K219" s="50"/>
      <c r="L219" s="23">
        <v>0</v>
      </c>
      <c r="M219" s="24" t="s">
        <v>1118</v>
      </c>
      <c r="N219" s="16" t="s">
        <v>1116</v>
      </c>
      <c r="O219" s="6" t="s">
        <v>1117</v>
      </c>
      <c r="P219" s="6" t="s">
        <v>1117</v>
      </c>
    </row>
    <row r="220" spans="1:26" ht="28.7" customHeight="1" x14ac:dyDescent="0.3">
      <c r="A220" s="9" t="s">
        <v>653</v>
      </c>
      <c r="B220" s="9"/>
      <c r="C220" s="86">
        <v>0.12</v>
      </c>
      <c r="D220" s="33" t="s">
        <v>647</v>
      </c>
      <c r="E220" s="62">
        <f t="shared" ref="E220:F222" si="41">I220+G220+K220</f>
        <v>258935</v>
      </c>
      <c r="F220" s="89">
        <f t="shared" si="41"/>
        <v>31072.2</v>
      </c>
      <c r="G220" s="90">
        <f>노무비목록표!E6</f>
        <v>258935</v>
      </c>
      <c r="H220" s="91">
        <f>IF(C220=0,0,ROUNDDOWN(G220*C220,1))</f>
        <v>31072.2</v>
      </c>
      <c r="I220" s="59">
        <v>0</v>
      </c>
      <c r="J220" s="88">
        <f>IF(C220=0,0,ROUNDDOWN(I220*C220,1))</f>
        <v>0</v>
      </c>
      <c r="K220" s="59">
        <v>0</v>
      </c>
      <c r="L220" s="89">
        <f>IF(C220=0,0,ROUNDDOWN(K220*C220,1))</f>
        <v>0</v>
      </c>
      <c r="M220" s="24" t="s">
        <v>1150</v>
      </c>
      <c r="N220" s="16" t="s">
        <v>1148</v>
      </c>
      <c r="O220" s="6" t="s">
        <v>1149</v>
      </c>
      <c r="P220" s="6" t="s">
        <v>1128</v>
      </c>
      <c r="Z220" s="19" t="str">
        <f ca="1">HYPERLINK("#"&amp;노무비목록표!G2&amp;"!A"&amp;ROW(노무비목록표!A6),"노무    3 →")</f>
        <v>노무    3 →</v>
      </c>
    </row>
    <row r="221" spans="1:26" ht="28.7" customHeight="1" x14ac:dyDescent="0.3">
      <c r="A221" s="9" t="s">
        <v>662</v>
      </c>
      <c r="B221" s="9"/>
      <c r="C221" s="86">
        <v>0.03</v>
      </c>
      <c r="D221" s="33" t="s">
        <v>647</v>
      </c>
      <c r="E221" s="62">
        <f t="shared" si="41"/>
        <v>165545</v>
      </c>
      <c r="F221" s="89">
        <f t="shared" si="41"/>
        <v>4966.3</v>
      </c>
      <c r="G221" s="90">
        <f>노무비목록표!E9</f>
        <v>165545</v>
      </c>
      <c r="H221" s="91">
        <f>IF(C221=0,0,ROUNDDOWN(G221*C221,1))</f>
        <v>4966.3</v>
      </c>
      <c r="I221" s="59">
        <v>0</v>
      </c>
      <c r="J221" s="88">
        <f>IF(C221=0,0,ROUNDDOWN(I221*C221,1))</f>
        <v>0</v>
      </c>
      <c r="K221" s="59">
        <v>0</v>
      </c>
      <c r="L221" s="89">
        <f>IF(C221=0,0,ROUNDDOWN(K221*C221,1))</f>
        <v>0</v>
      </c>
      <c r="M221" s="24" t="s">
        <v>1127</v>
      </c>
      <c r="N221" s="16" t="s">
        <v>1125</v>
      </c>
      <c r="O221" s="6" t="s">
        <v>1126</v>
      </c>
      <c r="P221" s="6" t="s">
        <v>1128</v>
      </c>
      <c r="Z221" s="19" t="str">
        <f ca="1">HYPERLINK("#"&amp;노무비목록표!G2&amp;"!A"&amp;ROW(노무비목록표!A9),"노무    6 →")</f>
        <v>노무    6 →</v>
      </c>
    </row>
    <row r="222" spans="1:26" ht="28.7" customHeight="1" x14ac:dyDescent="0.3">
      <c r="A222" s="9" t="s">
        <v>406</v>
      </c>
      <c r="B222" s="9"/>
      <c r="C222" s="86">
        <v>0.24</v>
      </c>
      <c r="D222" s="33" t="s">
        <v>344</v>
      </c>
      <c r="E222" s="62">
        <f t="shared" si="41"/>
        <v>105164</v>
      </c>
      <c r="F222" s="89">
        <f t="shared" si="41"/>
        <v>25239.3</v>
      </c>
      <c r="G222" s="90">
        <f>중기목록표!F23</f>
        <v>55700</v>
      </c>
      <c r="H222" s="92">
        <f>IF(C222=0,0,ROUNDDOWN(G222*C222,1))</f>
        <v>13368</v>
      </c>
      <c r="I222" s="90">
        <f>중기목록표!G23</f>
        <v>18296</v>
      </c>
      <c r="J222" s="92">
        <f>IF(C222=0,0,ROUNDDOWN(I222*C222,1))</f>
        <v>4391</v>
      </c>
      <c r="K222" s="90">
        <f>중기목록표!H23</f>
        <v>31168</v>
      </c>
      <c r="L222" s="92">
        <f>IF(C222=0,0,ROUNDDOWN(K222*C222,1))</f>
        <v>7480.3</v>
      </c>
      <c r="M222" s="24" t="s">
        <v>1168</v>
      </c>
      <c r="N222" s="16" t="s">
        <v>1166</v>
      </c>
      <c r="O222" s="6" t="s">
        <v>1167</v>
      </c>
      <c r="P222" s="6" t="s">
        <v>1128</v>
      </c>
      <c r="Z222" s="19" t="str">
        <f ca="1">HYPERLINK("#"&amp;중기목록표!J2&amp;"!A"&amp;ROW(중기목록표!A23),"중기   20 →")</f>
        <v>중기   20 →</v>
      </c>
    </row>
    <row r="223" spans="1:26" ht="28.7" customHeight="1" x14ac:dyDescent="0.3">
      <c r="A223" s="24" t="s">
        <v>6</v>
      </c>
      <c r="B223" s="58"/>
      <c r="C223" s="58"/>
      <c r="D223" s="58"/>
      <c r="E223" s="58"/>
      <c r="F223" s="55">
        <f>J223+H223+L223</f>
        <v>61277</v>
      </c>
      <c r="G223" s="58"/>
      <c r="H223" s="55">
        <f>ROUNDDOWN(SUMIF(P219:P222,O223,H219:H222),0)</f>
        <v>49406</v>
      </c>
      <c r="I223" s="58"/>
      <c r="J223" s="55">
        <f>ROUNDDOWN(SUMIF(P219:P222,O223,J219:J222),0)</f>
        <v>4391</v>
      </c>
      <c r="K223" s="58"/>
      <c r="L223" s="55">
        <f>ROUNDDOWN(SUMIF(P219:P222,O223,L219:L222),0)</f>
        <v>7480</v>
      </c>
      <c r="M223" s="58"/>
      <c r="O223" s="6" t="s">
        <v>1128</v>
      </c>
    </row>
    <row r="224" spans="1:26" ht="28.7" customHeight="1" x14ac:dyDescent="0.3">
      <c r="A224" s="83" t="s">
        <v>134</v>
      </c>
      <c r="B224" s="83"/>
      <c r="C224" s="84"/>
      <c r="D224" s="84"/>
      <c r="E224" s="84"/>
      <c r="F224" s="84"/>
      <c r="G224" s="84"/>
      <c r="H224" s="84"/>
      <c r="I224" s="84"/>
      <c r="J224" s="84"/>
      <c r="K224" s="84"/>
      <c r="L224" s="84"/>
      <c r="M224" s="84"/>
      <c r="N224" s="36" t="str">
        <f>HYPERLINK("#N"&amp;ROW(N228),"_x0005_`BDCOD|B01199_x0007_`POSS|"&amp;ROW(N226)&amp;"_x0007_`POSE|"&amp;ROW(N228)&amp;"_x0007_`")</f>
        <v>_x0005_`BDCOD|B01199_x0007_`POSS|226_x0007_`POSE|228_x0007_`</v>
      </c>
    </row>
    <row r="225" spans="1:26" ht="28.7" customHeight="1" x14ac:dyDescent="0.3">
      <c r="A225" s="43" t="s">
        <v>76</v>
      </c>
      <c r="B225" s="43" t="s">
        <v>136</v>
      </c>
      <c r="C225" s="85"/>
      <c r="D225" s="87" t="s">
        <v>42</v>
      </c>
      <c r="E225" s="85"/>
      <c r="F225" s="85"/>
      <c r="G225" s="85"/>
      <c r="H225" s="85"/>
      <c r="I225" s="85"/>
      <c r="J225" s="85"/>
      <c r="K225" s="85"/>
      <c r="L225" s="85"/>
      <c r="M225" s="87" t="s">
        <v>137</v>
      </c>
      <c r="O225" s="6" t="s">
        <v>1278</v>
      </c>
    </row>
    <row r="226" spans="1:26" ht="28.7" customHeight="1" x14ac:dyDescent="0.3">
      <c r="A226" s="9" t="s">
        <v>207</v>
      </c>
      <c r="B226" s="9" t="s">
        <v>208</v>
      </c>
      <c r="C226" s="86">
        <v>1</v>
      </c>
      <c r="D226" s="33" t="s">
        <v>42</v>
      </c>
      <c r="E226" s="62">
        <f t="shared" ref="E226:F228" si="42">I226+G226+K226</f>
        <v>30398</v>
      </c>
      <c r="F226" s="89">
        <f t="shared" si="42"/>
        <v>30398</v>
      </c>
      <c r="G226" s="90">
        <f>단가산출근거목록표!F14</f>
        <v>18289</v>
      </c>
      <c r="H226" s="92">
        <f>IF(C226=0,0,ROUNDDOWN(G226*C226,1))</f>
        <v>18289</v>
      </c>
      <c r="I226" s="90">
        <f>단가산출근거목록표!G14</f>
        <v>5101</v>
      </c>
      <c r="J226" s="92">
        <f>IF(C226=0,0,ROUNDDOWN(I226*C226,1))</f>
        <v>5101</v>
      </c>
      <c r="K226" s="90">
        <f>단가산출근거목록표!H14</f>
        <v>7008</v>
      </c>
      <c r="L226" s="92">
        <f>IF(C226=0,0,ROUNDDOWN(K226*C226,1))</f>
        <v>7008</v>
      </c>
      <c r="M226" s="24" t="s">
        <v>1203</v>
      </c>
      <c r="N226" s="16" t="s">
        <v>1201</v>
      </c>
      <c r="O226" s="6" t="s">
        <v>1202</v>
      </c>
      <c r="P226" s="6" t="s">
        <v>1128</v>
      </c>
      <c r="Z226" s="19" t="str">
        <f ca="1">HYPERLINK("#"&amp;단가산출근거목록표!J2&amp;"!A"&amp;ROW(단가산출근거목록표!A14),"산근   11 →")</f>
        <v>산근   11 →</v>
      </c>
    </row>
    <row r="227" spans="1:26" ht="28.7" customHeight="1" x14ac:dyDescent="0.3">
      <c r="A227" s="9" t="s">
        <v>132</v>
      </c>
      <c r="B227" s="9" t="s">
        <v>41</v>
      </c>
      <c r="C227" s="86">
        <v>1</v>
      </c>
      <c r="D227" s="33" t="s">
        <v>42</v>
      </c>
      <c r="E227" s="62">
        <f t="shared" si="42"/>
        <v>61277</v>
      </c>
      <c r="F227" s="89">
        <f t="shared" si="42"/>
        <v>61277</v>
      </c>
      <c r="G227" s="90">
        <f>일위대가목록표!F30</f>
        <v>49406</v>
      </c>
      <c r="H227" s="92">
        <f>IF(C227=0,0,ROUNDDOWN(G227*C227,1))</f>
        <v>49406</v>
      </c>
      <c r="I227" s="90">
        <f>일위대가목록표!G30</f>
        <v>4391</v>
      </c>
      <c r="J227" s="92">
        <f>IF(C227=0,0,ROUNDDOWN(I227*C227,1))</f>
        <v>4391</v>
      </c>
      <c r="K227" s="90">
        <f>일위대가목록표!H30</f>
        <v>7480</v>
      </c>
      <c r="L227" s="92">
        <f>IF(C227=0,0,ROUNDDOWN(K227*C227,1))</f>
        <v>7480</v>
      </c>
      <c r="M227" s="24" t="s">
        <v>1281</v>
      </c>
      <c r="N227" s="16" t="s">
        <v>1279</v>
      </c>
      <c r="O227" s="6" t="s">
        <v>1280</v>
      </c>
      <c r="P227" s="6" t="s">
        <v>1128</v>
      </c>
      <c r="Z227" s="19" t="str">
        <f ca="1">HYPERLINK("#"&amp;일위대가목록표!J2&amp;"!A"&amp;ROW(일위대가목록표!A30),"대가   27 →")</f>
        <v>대가   27 →</v>
      </c>
    </row>
    <row r="228" spans="1:26" ht="28.7" customHeight="1" x14ac:dyDescent="0.3">
      <c r="A228" s="9" t="s">
        <v>204</v>
      </c>
      <c r="B228" s="9" t="s">
        <v>193</v>
      </c>
      <c r="C228" s="86">
        <v>0.15</v>
      </c>
      <c r="D228" s="33" t="s">
        <v>14</v>
      </c>
      <c r="E228" s="62">
        <f t="shared" si="42"/>
        <v>24816</v>
      </c>
      <c r="F228" s="89">
        <f t="shared" si="42"/>
        <v>3722.3999999999996</v>
      </c>
      <c r="G228" s="90">
        <f>단가산출근거목록표!F13</f>
        <v>18084</v>
      </c>
      <c r="H228" s="92">
        <f>IF(C228=0,0,ROUNDDOWN(G228*C228,1))</f>
        <v>2712.6</v>
      </c>
      <c r="I228" s="90">
        <f>단가산출근거목록표!G13</f>
        <v>2498</v>
      </c>
      <c r="J228" s="92">
        <f>IF(C228=0,0,ROUNDDOWN(I228*C228,1))</f>
        <v>374.7</v>
      </c>
      <c r="K228" s="90">
        <f>단가산출근거목록표!H13</f>
        <v>4234</v>
      </c>
      <c r="L228" s="92">
        <f>IF(C228=0,0,ROUNDDOWN(K228*C228,1))</f>
        <v>635.1</v>
      </c>
      <c r="M228" s="24" t="s">
        <v>1209</v>
      </c>
      <c r="N228" s="16" t="s">
        <v>1207</v>
      </c>
      <c r="O228" s="6" t="s">
        <v>1208</v>
      </c>
      <c r="P228" s="6" t="s">
        <v>1128</v>
      </c>
      <c r="Z228" s="19" t="str">
        <f ca="1">HYPERLINK("#"&amp;단가산출근거목록표!J2&amp;"!A"&amp;ROW(단가산출근거목록표!A13),"산근   10 →")</f>
        <v>산근   10 →</v>
      </c>
    </row>
    <row r="229" spans="1:26" ht="28.7" customHeight="1" x14ac:dyDescent="0.3">
      <c r="A229" s="24" t="s">
        <v>6</v>
      </c>
      <c r="B229" s="58"/>
      <c r="C229" s="58"/>
      <c r="D229" s="58"/>
      <c r="E229" s="58"/>
      <c r="F229" s="55">
        <f>J229+H229+L229</f>
        <v>95396</v>
      </c>
      <c r="G229" s="58"/>
      <c r="H229" s="55">
        <f>ROUNDDOWN(SUMIF(P226:P228,O229,H226:H228),0)</f>
        <v>70407</v>
      </c>
      <c r="I229" s="58"/>
      <c r="J229" s="55">
        <f>ROUNDDOWN(SUMIF(P226:P228,O229,J226:J228),0)</f>
        <v>9866</v>
      </c>
      <c r="K229" s="58"/>
      <c r="L229" s="55">
        <f>ROUNDDOWN(SUMIF(P226:P228,O229,L226:L228),0)</f>
        <v>15123</v>
      </c>
      <c r="M229" s="58"/>
      <c r="O229" s="6" t="s">
        <v>1128</v>
      </c>
    </row>
    <row r="230" spans="1:26" ht="28.7" customHeight="1" x14ac:dyDescent="0.3">
      <c r="A230" s="83" t="s">
        <v>138</v>
      </c>
      <c r="B230" s="83"/>
      <c r="C230" s="84"/>
      <c r="D230" s="84"/>
      <c r="E230" s="84"/>
      <c r="F230" s="84"/>
      <c r="G230" s="84"/>
      <c r="H230" s="84"/>
      <c r="I230" s="84"/>
      <c r="J230" s="84"/>
      <c r="K230" s="84"/>
      <c r="L230" s="84"/>
      <c r="M230" s="84"/>
      <c r="N230" s="36" t="str">
        <f>HYPERLINK("#N"&amp;ROW(N236),"_x0005_`BDCOD|B01201_x0007_`POSS|"&amp;ROW(N232)&amp;"_x0007_`POSE|"&amp;ROW(N236)&amp;"_x0007_`")</f>
        <v>_x0005_`BDCOD|B01201_x0007_`POSS|232_x0007_`POSE|236_x0007_`</v>
      </c>
    </row>
    <row r="231" spans="1:26" ht="28.7" customHeight="1" x14ac:dyDescent="0.3">
      <c r="A231" s="43" t="s">
        <v>18</v>
      </c>
      <c r="B231" s="43" t="s">
        <v>140</v>
      </c>
      <c r="C231" s="85"/>
      <c r="D231" s="87" t="s">
        <v>20</v>
      </c>
      <c r="E231" s="85"/>
      <c r="F231" s="85"/>
      <c r="G231" s="85"/>
      <c r="H231" s="85"/>
      <c r="I231" s="85"/>
      <c r="J231" s="85"/>
      <c r="K231" s="85"/>
      <c r="L231" s="85"/>
      <c r="M231" s="87" t="s">
        <v>141</v>
      </c>
      <c r="O231" s="6" t="s">
        <v>1282</v>
      </c>
    </row>
    <row r="232" spans="1:26" ht="28.7" customHeight="1" x14ac:dyDescent="0.3">
      <c r="A232" s="9" t="s">
        <v>621</v>
      </c>
      <c r="B232" s="9" t="s">
        <v>499</v>
      </c>
      <c r="C232" s="86">
        <v>1</v>
      </c>
      <c r="D232" s="33" t="s">
        <v>474</v>
      </c>
      <c r="E232" s="62">
        <f t="shared" ref="E232:F236" si="43">I232+G232+K232</f>
        <v>0</v>
      </c>
      <c r="F232" s="88">
        <f t="shared" si="43"/>
        <v>0</v>
      </c>
      <c r="G232" s="59">
        <v>0</v>
      </c>
      <c r="H232" s="89">
        <f>IF(C232=0,0,ROUNDDOWN(G232*C232,1))</f>
        <v>0</v>
      </c>
      <c r="I232" s="90">
        <f>재료비목록표!E44</f>
        <v>0</v>
      </c>
      <c r="J232" s="91">
        <f>IF(C232=0,0,ROUNDDOWN(I232*C232,1))</f>
        <v>0</v>
      </c>
      <c r="K232" s="59">
        <v>0</v>
      </c>
      <c r="L232" s="89">
        <f>IF(C232=0,0,ROUNDDOWN(K232*C232,1))</f>
        <v>0</v>
      </c>
      <c r="M232" s="24" t="s">
        <v>1285</v>
      </c>
      <c r="N232" s="16" t="s">
        <v>1283</v>
      </c>
      <c r="O232" s="6" t="s">
        <v>1284</v>
      </c>
      <c r="P232" s="6" t="s">
        <v>1128</v>
      </c>
      <c r="Z232" s="19" t="str">
        <f ca="1">HYPERLINK("#"&amp;재료비목록표!G2&amp;"!A"&amp;ROW(재료비목록표!A44),"자재   41 →")</f>
        <v>자재   41 →</v>
      </c>
    </row>
    <row r="233" spans="1:26" ht="28.7" customHeight="1" x14ac:dyDescent="0.3">
      <c r="A233" s="9" t="s">
        <v>674</v>
      </c>
      <c r="B233" s="9"/>
      <c r="C233" s="86">
        <v>6.5000000000000002E-2</v>
      </c>
      <c r="D233" s="33" t="s">
        <v>647</v>
      </c>
      <c r="E233" s="62">
        <f t="shared" si="43"/>
        <v>243168</v>
      </c>
      <c r="F233" s="89">
        <f t="shared" si="43"/>
        <v>15805.9</v>
      </c>
      <c r="G233" s="90">
        <f>노무비목록표!E13</f>
        <v>243168</v>
      </c>
      <c r="H233" s="91">
        <f>IF(C233=0,0,ROUNDDOWN(G233*C233,1))</f>
        <v>15805.9</v>
      </c>
      <c r="I233" s="59">
        <v>0</v>
      </c>
      <c r="J233" s="88">
        <f>IF(C233=0,0,ROUNDDOWN(I233*C233,1))</f>
        <v>0</v>
      </c>
      <c r="K233" s="59">
        <v>0</v>
      </c>
      <c r="L233" s="89">
        <f>IF(C233=0,0,ROUNDDOWN(K233*C233,1))</f>
        <v>0</v>
      </c>
      <c r="M233" s="24" t="s">
        <v>1136</v>
      </c>
      <c r="N233" s="16" t="s">
        <v>1134</v>
      </c>
      <c r="O233" s="6" t="s">
        <v>1135</v>
      </c>
      <c r="P233" s="6" t="s">
        <v>1128</v>
      </c>
      <c r="Z233" s="19" t="str">
        <f ca="1">HYPERLINK("#"&amp;노무비목록표!G2&amp;"!A"&amp;ROW(노무비목록표!A13),"노무   10 →")</f>
        <v>노무   10 →</v>
      </c>
    </row>
    <row r="234" spans="1:26" ht="28.7" customHeight="1" x14ac:dyDescent="0.3">
      <c r="A234" s="9" t="s">
        <v>662</v>
      </c>
      <c r="B234" s="9"/>
      <c r="C234" s="86">
        <v>3.1660000000000001E-2</v>
      </c>
      <c r="D234" s="33" t="s">
        <v>647</v>
      </c>
      <c r="E234" s="62">
        <f t="shared" si="43"/>
        <v>165545</v>
      </c>
      <c r="F234" s="89">
        <f t="shared" si="43"/>
        <v>5241.1000000000004</v>
      </c>
      <c r="G234" s="90">
        <f>노무비목록표!E9</f>
        <v>165545</v>
      </c>
      <c r="H234" s="91">
        <f>IF(C234=0,0,ROUNDDOWN(G234*C234,1))</f>
        <v>5241.1000000000004</v>
      </c>
      <c r="I234" s="59">
        <v>0</v>
      </c>
      <c r="J234" s="88">
        <f>IF(C234=0,0,ROUNDDOWN(I234*C234,1))</f>
        <v>0</v>
      </c>
      <c r="K234" s="59">
        <v>0</v>
      </c>
      <c r="L234" s="89">
        <f>IF(C234=0,0,ROUNDDOWN(K234*C234,1))</f>
        <v>0</v>
      </c>
      <c r="M234" s="24" t="s">
        <v>1127</v>
      </c>
      <c r="N234" s="16" t="s">
        <v>1125</v>
      </c>
      <c r="O234" s="6" t="s">
        <v>1126</v>
      </c>
      <c r="P234" s="6" t="s">
        <v>1128</v>
      </c>
      <c r="Z234" s="19" t="str">
        <f ca="1">HYPERLINK("#"&amp;노무비목록표!G2&amp;"!A"&amp;ROW(노무비목록표!A9),"노무    6 →")</f>
        <v>노무    6 →</v>
      </c>
    </row>
    <row r="235" spans="1:26" ht="28.7" customHeight="1" x14ac:dyDescent="0.3">
      <c r="A235" s="9" t="s">
        <v>625</v>
      </c>
      <c r="B235" s="9" t="s">
        <v>626</v>
      </c>
      <c r="C235" s="86">
        <v>2</v>
      </c>
      <c r="D235" s="33" t="s">
        <v>480</v>
      </c>
      <c r="E235" s="62">
        <f t="shared" si="43"/>
        <v>21047</v>
      </c>
      <c r="F235" s="88">
        <f t="shared" si="43"/>
        <v>420.9</v>
      </c>
      <c r="G235" s="59">
        <v>0</v>
      </c>
      <c r="H235" s="88">
        <f>IF(C235=0,0,ROUNDDOWN(G235*C235/100,1))</f>
        <v>0</v>
      </c>
      <c r="I235" s="59">
        <v>21047</v>
      </c>
      <c r="J235" s="88">
        <f>IF(C235=0,0,ROUNDDOWN(I235*C235/100,1))</f>
        <v>420.9</v>
      </c>
      <c r="K235" s="59">
        <v>0</v>
      </c>
      <c r="L235" s="89">
        <f>IF(C235=0,0,ROUNDDOWN(K235*C235/100,1))</f>
        <v>0</v>
      </c>
      <c r="M235" s="24" t="s">
        <v>1288</v>
      </c>
      <c r="N235" s="16" t="s">
        <v>1286</v>
      </c>
      <c r="O235" s="6" t="s">
        <v>1287</v>
      </c>
      <c r="P235" s="6" t="s">
        <v>1128</v>
      </c>
      <c r="Z235" s="19" t="str">
        <f ca="1">HYPERLINK("#"&amp;재료비목록표!G2&amp;"!A"&amp;ROW(재료비목록표!A45),"자재   42 →")</f>
        <v>자재   42 →</v>
      </c>
    </row>
    <row r="236" spans="1:26" ht="28.7" customHeight="1" x14ac:dyDescent="0.3">
      <c r="A236" s="9" t="s">
        <v>379</v>
      </c>
      <c r="B236" s="9" t="s">
        <v>380</v>
      </c>
      <c r="C236" s="86">
        <v>5.833E-2</v>
      </c>
      <c r="D236" s="33" t="s">
        <v>344</v>
      </c>
      <c r="E236" s="62">
        <f t="shared" si="43"/>
        <v>65009</v>
      </c>
      <c r="F236" s="89">
        <f t="shared" si="43"/>
        <v>3791.8</v>
      </c>
      <c r="G236" s="90">
        <f>중기목록표!F15</f>
        <v>47231</v>
      </c>
      <c r="H236" s="92">
        <f>IF(C236=0,0,ROUNDDOWN(G236*C236,1))</f>
        <v>2754.9</v>
      </c>
      <c r="I236" s="90">
        <f>중기목록표!G15</f>
        <v>7784</v>
      </c>
      <c r="J236" s="92">
        <f>IF(C236=0,0,ROUNDDOWN(I236*C236,1))</f>
        <v>454</v>
      </c>
      <c r="K236" s="90">
        <f>중기목록표!H15</f>
        <v>9994</v>
      </c>
      <c r="L236" s="92">
        <f>IF(C236=0,0,ROUNDDOWN(K236*C236,1))</f>
        <v>582.9</v>
      </c>
      <c r="M236" s="24" t="s">
        <v>1142</v>
      </c>
      <c r="N236" s="16" t="s">
        <v>1289</v>
      </c>
      <c r="O236" s="6" t="s">
        <v>1141</v>
      </c>
      <c r="P236" s="6" t="s">
        <v>1128</v>
      </c>
      <c r="Z236" s="19" t="str">
        <f ca="1">HYPERLINK("#"&amp;중기목록표!J2&amp;"!A"&amp;ROW(중기목록표!A15),"중기   12 →")</f>
        <v>중기   12 →</v>
      </c>
    </row>
    <row r="237" spans="1:26" ht="28.7" customHeight="1" x14ac:dyDescent="0.3">
      <c r="A237" s="24" t="s">
        <v>6</v>
      </c>
      <c r="B237" s="58"/>
      <c r="C237" s="58"/>
      <c r="D237" s="58"/>
      <c r="E237" s="58"/>
      <c r="F237" s="55">
        <f>J237+H237+L237</f>
        <v>25257</v>
      </c>
      <c r="G237" s="58"/>
      <c r="H237" s="55">
        <f>ROUNDDOWN(SUMIF(P232:P236,O237,H232:H236),0)</f>
        <v>23801</v>
      </c>
      <c r="I237" s="58"/>
      <c r="J237" s="55">
        <f>ROUNDDOWN(SUMIF(P232:P236,O237,J232:J236),0)</f>
        <v>874</v>
      </c>
      <c r="K237" s="58"/>
      <c r="L237" s="55">
        <f>ROUNDDOWN(SUMIF(P232:P236,O237,L232:L236),0)</f>
        <v>582</v>
      </c>
      <c r="M237" s="58"/>
      <c r="O237" s="6" t="s">
        <v>1128</v>
      </c>
    </row>
    <row r="238" spans="1:26" ht="28.7" customHeight="1" x14ac:dyDescent="0.3">
      <c r="A238" s="83" t="s">
        <v>142</v>
      </c>
      <c r="B238" s="83"/>
      <c r="C238" s="84"/>
      <c r="D238" s="84"/>
      <c r="E238" s="84"/>
      <c r="F238" s="84"/>
      <c r="G238" s="84"/>
      <c r="H238" s="84"/>
      <c r="I238" s="84"/>
      <c r="J238" s="84"/>
      <c r="K238" s="84"/>
      <c r="L238" s="84"/>
      <c r="M238" s="84"/>
      <c r="N238" s="36" t="str">
        <f>HYPERLINK("#N"&amp;ROW(N249),"_x0005_`BDCOD|B01202_x0007_`POSS|"&amp;ROW(N240)&amp;"_x0007_`POSE|"&amp;ROW(N249)&amp;"_x0007_`")</f>
        <v>_x0005_`BDCOD|B01202_x0007_`POSS|240_x0007_`POSE|249_x0007_`</v>
      </c>
    </row>
    <row r="239" spans="1:26" ht="28.7" customHeight="1" x14ac:dyDescent="0.3">
      <c r="A239" s="43" t="s">
        <v>144</v>
      </c>
      <c r="B239" s="43" t="s">
        <v>145</v>
      </c>
      <c r="C239" s="85"/>
      <c r="D239" s="87" t="s">
        <v>20</v>
      </c>
      <c r="E239" s="85"/>
      <c r="F239" s="85"/>
      <c r="G239" s="85"/>
      <c r="H239" s="85"/>
      <c r="I239" s="85"/>
      <c r="J239" s="85"/>
      <c r="K239" s="85"/>
      <c r="L239" s="85"/>
      <c r="M239" s="87" t="s">
        <v>146</v>
      </c>
      <c r="O239" s="6" t="s">
        <v>1290</v>
      </c>
    </row>
    <row r="240" spans="1:26" ht="28.7" customHeight="1" x14ac:dyDescent="0.3">
      <c r="A240" s="9" t="s">
        <v>617</v>
      </c>
      <c r="B240" s="9" t="s">
        <v>499</v>
      </c>
      <c r="C240" s="86">
        <v>2.09</v>
      </c>
      <c r="D240" s="33" t="s">
        <v>42</v>
      </c>
      <c r="E240" s="62">
        <f t="shared" ref="E240:E249" si="44">I240+G240+K240</f>
        <v>0</v>
      </c>
      <c r="F240" s="88">
        <f t="shared" ref="F240:F249" si="45">J240+H240+L240</f>
        <v>0</v>
      </c>
      <c r="G240" s="59">
        <v>0</v>
      </c>
      <c r="H240" s="89">
        <f t="shared" ref="H240:H249" si="46">IF(C240=0,0,ROUNDDOWN(G240*C240,1))</f>
        <v>0</v>
      </c>
      <c r="I240" s="90">
        <f>재료비목록표!E43</f>
        <v>0</v>
      </c>
      <c r="J240" s="91">
        <f t="shared" ref="J240:J249" si="47">IF(C240=0,0,ROUNDDOWN(I240*C240,1))</f>
        <v>0</v>
      </c>
      <c r="K240" s="59">
        <v>0</v>
      </c>
      <c r="L240" s="89">
        <f t="shared" ref="L240:L249" si="48">IF(C240=0,0,ROUNDDOWN(K240*C240,1))</f>
        <v>0</v>
      </c>
      <c r="M240" s="24" t="s">
        <v>1293</v>
      </c>
      <c r="N240" s="16" t="s">
        <v>1291</v>
      </c>
      <c r="O240" s="6" t="s">
        <v>1292</v>
      </c>
      <c r="P240" s="6" t="s">
        <v>1128</v>
      </c>
      <c r="Z240" s="19" t="str">
        <f ca="1">HYPERLINK("#"&amp;재료비목록표!G2&amp;"!A"&amp;ROW(재료비목록표!A43),"자재   40 →")</f>
        <v>자재   40 →</v>
      </c>
    </row>
    <row r="241" spans="1:26" ht="28.7" customHeight="1" x14ac:dyDescent="0.3">
      <c r="A241" s="9" t="s">
        <v>40</v>
      </c>
      <c r="B241" s="9" t="s">
        <v>41</v>
      </c>
      <c r="C241" s="86">
        <v>2.09</v>
      </c>
      <c r="D241" s="33" t="s">
        <v>42</v>
      </c>
      <c r="E241" s="62">
        <f t="shared" si="44"/>
        <v>52995</v>
      </c>
      <c r="F241" s="89">
        <f t="shared" si="45"/>
        <v>110759.40000000001</v>
      </c>
      <c r="G241" s="90">
        <f>일위대가목록표!F9</f>
        <v>39641</v>
      </c>
      <c r="H241" s="92">
        <f t="shared" si="46"/>
        <v>82849.600000000006</v>
      </c>
      <c r="I241" s="90">
        <f>일위대가목록표!G9</f>
        <v>4939</v>
      </c>
      <c r="J241" s="92">
        <f t="shared" si="47"/>
        <v>10322.5</v>
      </c>
      <c r="K241" s="90">
        <f>일위대가목록표!H9</f>
        <v>8415</v>
      </c>
      <c r="L241" s="92">
        <f t="shared" si="48"/>
        <v>17587.3</v>
      </c>
      <c r="M241" s="24" t="s">
        <v>1219</v>
      </c>
      <c r="N241" s="16" t="s">
        <v>1217</v>
      </c>
      <c r="O241" s="6" t="s">
        <v>1218</v>
      </c>
      <c r="P241" s="6" t="s">
        <v>1128</v>
      </c>
      <c r="Z241" s="19" t="str">
        <f ca="1">HYPERLINK("#"&amp;일위대가목록표!J2&amp;"!A"&amp;ROW(일위대가목록표!A9),"대가    6 →")</f>
        <v>대가    6 →</v>
      </c>
    </row>
    <row r="242" spans="1:26" ht="28.7" customHeight="1" x14ac:dyDescent="0.3">
      <c r="A242" s="9" t="s">
        <v>204</v>
      </c>
      <c r="B242" s="9" t="s">
        <v>193</v>
      </c>
      <c r="C242" s="86">
        <v>0.31</v>
      </c>
      <c r="D242" s="33" t="s">
        <v>14</v>
      </c>
      <c r="E242" s="62">
        <f t="shared" si="44"/>
        <v>24816</v>
      </c>
      <c r="F242" s="89">
        <f t="shared" si="45"/>
        <v>7692.8</v>
      </c>
      <c r="G242" s="90">
        <f>단가산출근거목록표!F13</f>
        <v>18084</v>
      </c>
      <c r="H242" s="92">
        <f t="shared" si="46"/>
        <v>5606</v>
      </c>
      <c r="I242" s="90">
        <f>단가산출근거목록표!G13</f>
        <v>2498</v>
      </c>
      <c r="J242" s="92">
        <f t="shared" si="47"/>
        <v>774.3</v>
      </c>
      <c r="K242" s="90">
        <f>단가산출근거목록표!H13</f>
        <v>4234</v>
      </c>
      <c r="L242" s="92">
        <f t="shared" si="48"/>
        <v>1312.5</v>
      </c>
      <c r="M242" s="24" t="s">
        <v>1209</v>
      </c>
      <c r="N242" s="16" t="s">
        <v>1207</v>
      </c>
      <c r="O242" s="6" t="s">
        <v>1208</v>
      </c>
      <c r="P242" s="6" t="s">
        <v>1128</v>
      </c>
      <c r="Z242" s="19" t="str">
        <f ca="1">HYPERLINK("#"&amp;단가산출근거목록표!J2&amp;"!A"&amp;ROW(단가산출근거목록표!A13),"산근   10 →")</f>
        <v>산근   10 →</v>
      </c>
    </row>
    <row r="243" spans="1:26" ht="28.7" customHeight="1" x14ac:dyDescent="0.3">
      <c r="A243" s="9" t="s">
        <v>188</v>
      </c>
      <c r="B243" s="9" t="s">
        <v>189</v>
      </c>
      <c r="C243" s="86">
        <v>0.75</v>
      </c>
      <c r="D243" s="33" t="s">
        <v>14</v>
      </c>
      <c r="E243" s="62">
        <f t="shared" si="44"/>
        <v>8328</v>
      </c>
      <c r="F243" s="89">
        <f t="shared" si="45"/>
        <v>6246</v>
      </c>
      <c r="G243" s="90">
        <f>단가산출근거목록표!F9</f>
        <v>6878</v>
      </c>
      <c r="H243" s="92">
        <f t="shared" si="46"/>
        <v>5158.5</v>
      </c>
      <c r="I243" s="90">
        <f>단가산출근거목록표!G9</f>
        <v>538</v>
      </c>
      <c r="J243" s="92">
        <f t="shared" si="47"/>
        <v>403.5</v>
      </c>
      <c r="K243" s="90">
        <f>단가산출근거목록표!H9</f>
        <v>912</v>
      </c>
      <c r="L243" s="92">
        <f t="shared" si="48"/>
        <v>684</v>
      </c>
      <c r="M243" s="24" t="s">
        <v>1231</v>
      </c>
      <c r="N243" s="16" t="s">
        <v>1229</v>
      </c>
      <c r="O243" s="6" t="s">
        <v>1230</v>
      </c>
      <c r="P243" s="6" t="s">
        <v>1128</v>
      </c>
      <c r="Z243" s="19" t="str">
        <f ca="1">HYPERLINK("#"&amp;단가산출근거목록표!J2&amp;"!A"&amp;ROW(단가산출근거목록표!A9),"산근    6 →")</f>
        <v>산근    6 →</v>
      </c>
    </row>
    <row r="244" spans="1:26" ht="28.7" customHeight="1" x14ac:dyDescent="0.3">
      <c r="A244" s="9" t="s">
        <v>192</v>
      </c>
      <c r="B244" s="9" t="s">
        <v>193</v>
      </c>
      <c r="C244" s="86">
        <v>0.75</v>
      </c>
      <c r="D244" s="33" t="s">
        <v>14</v>
      </c>
      <c r="E244" s="62">
        <f t="shared" si="44"/>
        <v>12701</v>
      </c>
      <c r="F244" s="89">
        <f t="shared" si="45"/>
        <v>9525.7000000000007</v>
      </c>
      <c r="G244" s="90">
        <f>단가산출근거목록표!F10</f>
        <v>7908</v>
      </c>
      <c r="H244" s="92">
        <f t="shared" si="46"/>
        <v>5931</v>
      </c>
      <c r="I244" s="90">
        <f>단가산출근거목록표!G10</f>
        <v>1963</v>
      </c>
      <c r="J244" s="92">
        <f t="shared" si="47"/>
        <v>1472.2</v>
      </c>
      <c r="K244" s="90">
        <f>단가산출근거목록표!H10</f>
        <v>2830</v>
      </c>
      <c r="L244" s="92">
        <f t="shared" si="48"/>
        <v>2122.5</v>
      </c>
      <c r="M244" s="24" t="s">
        <v>1228</v>
      </c>
      <c r="N244" s="16" t="s">
        <v>1226</v>
      </c>
      <c r="O244" s="6" t="s">
        <v>1227</v>
      </c>
      <c r="P244" s="6" t="s">
        <v>1128</v>
      </c>
      <c r="Z244" s="19" t="str">
        <f ca="1">HYPERLINK("#"&amp;단가산출근거목록표!J2&amp;"!A"&amp;ROW(단가산출근거목록표!A10),"산근    7 →")</f>
        <v>산근    7 →</v>
      </c>
    </row>
    <row r="245" spans="1:26" ht="28.7" customHeight="1" x14ac:dyDescent="0.3">
      <c r="A245" s="9" t="s">
        <v>472</v>
      </c>
      <c r="B245" s="9" t="s">
        <v>473</v>
      </c>
      <c r="C245" s="86">
        <v>0.87</v>
      </c>
      <c r="D245" s="33" t="s">
        <v>474</v>
      </c>
      <c r="E245" s="62">
        <f t="shared" si="44"/>
        <v>1912</v>
      </c>
      <c r="F245" s="88">
        <f t="shared" si="45"/>
        <v>1663.4</v>
      </c>
      <c r="G245" s="59">
        <v>0</v>
      </c>
      <c r="H245" s="89">
        <f t="shared" si="46"/>
        <v>0</v>
      </c>
      <c r="I245" s="90">
        <f>재료비목록표!E12</f>
        <v>1912</v>
      </c>
      <c r="J245" s="91">
        <f t="shared" si="47"/>
        <v>1663.4</v>
      </c>
      <c r="K245" s="59">
        <v>0</v>
      </c>
      <c r="L245" s="89">
        <f t="shared" si="48"/>
        <v>0</v>
      </c>
      <c r="M245" s="24" t="s">
        <v>1234</v>
      </c>
      <c r="N245" s="16" t="s">
        <v>1232</v>
      </c>
      <c r="O245" s="6" t="s">
        <v>1233</v>
      </c>
      <c r="P245" s="6" t="s">
        <v>1128</v>
      </c>
      <c r="Z245" s="19" t="str">
        <f ca="1">HYPERLINK("#"&amp;재료비목록표!G2&amp;"!A"&amp;ROW(재료비목록표!A12),"자재    9 →")</f>
        <v>자재    9 →</v>
      </c>
    </row>
    <row r="246" spans="1:26" ht="28.7" customHeight="1" x14ac:dyDescent="0.3">
      <c r="A246" s="9" t="s">
        <v>271</v>
      </c>
      <c r="B246" s="9" t="s">
        <v>272</v>
      </c>
      <c r="C246" s="86">
        <v>0.85</v>
      </c>
      <c r="D246" s="33" t="s">
        <v>42</v>
      </c>
      <c r="E246" s="62">
        <f t="shared" si="44"/>
        <v>36282</v>
      </c>
      <c r="F246" s="89">
        <f t="shared" si="45"/>
        <v>30839.599999999999</v>
      </c>
      <c r="G246" s="90">
        <f>단가산출근거목록표!F32</f>
        <v>31636</v>
      </c>
      <c r="H246" s="92">
        <f t="shared" si="46"/>
        <v>26890.6</v>
      </c>
      <c r="I246" s="90">
        <f>단가산출근거목록표!G32</f>
        <v>3697</v>
      </c>
      <c r="J246" s="92">
        <f t="shared" si="47"/>
        <v>3142.4</v>
      </c>
      <c r="K246" s="90">
        <f>단가산출근거목록표!H32</f>
        <v>949</v>
      </c>
      <c r="L246" s="92">
        <f t="shared" si="48"/>
        <v>806.6</v>
      </c>
      <c r="M246" s="24" t="s">
        <v>1178</v>
      </c>
      <c r="N246" s="16" t="s">
        <v>1176</v>
      </c>
      <c r="O246" s="6" t="s">
        <v>1177</v>
      </c>
      <c r="P246" s="6" t="s">
        <v>1128</v>
      </c>
      <c r="Z246" s="19" t="str">
        <f ca="1">HYPERLINK("#"&amp;단가산출근거목록표!J2&amp;"!A"&amp;ROW(단가산출근거목록표!A32),"산근   29 →")</f>
        <v>산근   29 →</v>
      </c>
    </row>
    <row r="247" spans="1:26" ht="28.7" customHeight="1" x14ac:dyDescent="0.3">
      <c r="A247" s="9" t="s">
        <v>333</v>
      </c>
      <c r="B247" s="9" t="s">
        <v>334</v>
      </c>
      <c r="C247" s="86">
        <v>0.31</v>
      </c>
      <c r="D247" s="33" t="s">
        <v>14</v>
      </c>
      <c r="E247" s="62">
        <f t="shared" si="44"/>
        <v>27665</v>
      </c>
      <c r="F247" s="89">
        <f t="shared" si="45"/>
        <v>8576</v>
      </c>
      <c r="G247" s="90">
        <f>단가산출근거목록표!F48</f>
        <v>22142</v>
      </c>
      <c r="H247" s="92">
        <f t="shared" si="46"/>
        <v>6864</v>
      </c>
      <c r="I247" s="90">
        <f>단가산출근거목록표!G48</f>
        <v>2285</v>
      </c>
      <c r="J247" s="92">
        <f t="shared" si="47"/>
        <v>708.3</v>
      </c>
      <c r="K247" s="90">
        <f>단가산출근거목록표!H48</f>
        <v>3238</v>
      </c>
      <c r="L247" s="92">
        <f t="shared" si="48"/>
        <v>1003.7</v>
      </c>
      <c r="M247" s="24" t="s">
        <v>1296</v>
      </c>
      <c r="N247" s="16" t="s">
        <v>1294</v>
      </c>
      <c r="O247" s="6" t="s">
        <v>1295</v>
      </c>
      <c r="P247" s="6" t="s">
        <v>1128</v>
      </c>
      <c r="Z247" s="19" t="str">
        <f ca="1">HYPERLINK("#"&amp;단가산출근거목록표!J2&amp;"!A"&amp;ROW(단가산출근거목록표!A48),"산근   45 →")</f>
        <v>산근   45 →</v>
      </c>
    </row>
    <row r="248" spans="1:26" ht="28.7" customHeight="1" x14ac:dyDescent="0.3">
      <c r="A248" s="9" t="s">
        <v>108</v>
      </c>
      <c r="B248" s="9" t="s">
        <v>275</v>
      </c>
      <c r="C248" s="86">
        <v>0.42</v>
      </c>
      <c r="D248" s="33" t="s">
        <v>14</v>
      </c>
      <c r="E248" s="62">
        <f t="shared" si="44"/>
        <v>67383</v>
      </c>
      <c r="F248" s="89">
        <f t="shared" si="45"/>
        <v>28300.699999999997</v>
      </c>
      <c r="G248" s="90">
        <f>단가산출근거목록표!F33</f>
        <v>66071</v>
      </c>
      <c r="H248" s="92">
        <f t="shared" si="46"/>
        <v>27749.8</v>
      </c>
      <c r="I248" s="90">
        <f>단가산출근거목록표!G33</f>
        <v>1008</v>
      </c>
      <c r="J248" s="92">
        <f t="shared" si="47"/>
        <v>423.3</v>
      </c>
      <c r="K248" s="90">
        <f>단가산출근거목록표!H33</f>
        <v>304</v>
      </c>
      <c r="L248" s="92">
        <f t="shared" si="48"/>
        <v>127.6</v>
      </c>
      <c r="M248" s="24" t="s">
        <v>1175</v>
      </c>
      <c r="N248" s="16" t="s">
        <v>1173</v>
      </c>
      <c r="O248" s="6" t="s">
        <v>1174</v>
      </c>
      <c r="P248" s="6" t="s">
        <v>1128</v>
      </c>
      <c r="Z248" s="19" t="str">
        <f ca="1">HYPERLINK("#"&amp;단가산출근거목록표!J2&amp;"!A"&amp;ROW(단가산출근거목록표!A33),"산근   30 →")</f>
        <v>산근   30 →</v>
      </c>
    </row>
    <row r="249" spans="1:26" ht="28.7" customHeight="1" x14ac:dyDescent="0.3">
      <c r="A249" s="9" t="s">
        <v>12</v>
      </c>
      <c r="B249" s="9" t="s">
        <v>13</v>
      </c>
      <c r="C249" s="86">
        <v>1.9E-2</v>
      </c>
      <c r="D249" s="33" t="s">
        <v>14</v>
      </c>
      <c r="E249" s="62">
        <f t="shared" si="44"/>
        <v>109259</v>
      </c>
      <c r="F249" s="89">
        <f t="shared" si="45"/>
        <v>2075.9</v>
      </c>
      <c r="G249" s="90">
        <f>일위대가목록표!F4</f>
        <v>109259</v>
      </c>
      <c r="H249" s="92">
        <f t="shared" si="46"/>
        <v>2075.9</v>
      </c>
      <c r="I249" s="90">
        <f>일위대가목록표!G4</f>
        <v>0</v>
      </c>
      <c r="J249" s="92">
        <f t="shared" si="47"/>
        <v>0</v>
      </c>
      <c r="K249" s="90">
        <f>일위대가목록표!H4</f>
        <v>0</v>
      </c>
      <c r="L249" s="92">
        <f t="shared" si="48"/>
        <v>0</v>
      </c>
      <c r="M249" s="24" t="s">
        <v>1212</v>
      </c>
      <c r="N249" s="16" t="s">
        <v>1210</v>
      </c>
      <c r="O249" s="6" t="s">
        <v>1211</v>
      </c>
      <c r="P249" s="6" t="s">
        <v>1128</v>
      </c>
      <c r="Z249" s="19" t="str">
        <f ca="1">HYPERLINK("#"&amp;일위대가목록표!J2&amp;"!A"&amp;ROW(일위대가목록표!A4),"대가    1 →")</f>
        <v>대가    1 →</v>
      </c>
    </row>
    <row r="250" spans="1:26" ht="28.7" customHeight="1" x14ac:dyDescent="0.3">
      <c r="A250" s="24" t="s">
        <v>6</v>
      </c>
      <c r="B250" s="58"/>
      <c r="C250" s="58"/>
      <c r="D250" s="58"/>
      <c r="E250" s="58"/>
      <c r="F250" s="55">
        <f>J250+H250+L250</f>
        <v>205678</v>
      </c>
      <c r="G250" s="58"/>
      <c r="H250" s="55">
        <f>ROUNDDOWN(SUMIF(P240:P249,O250,H240:H249),0)</f>
        <v>163125</v>
      </c>
      <c r="I250" s="58"/>
      <c r="J250" s="55">
        <f>ROUNDDOWN(SUMIF(P240:P249,O250,J240:J249),0)</f>
        <v>18909</v>
      </c>
      <c r="K250" s="58"/>
      <c r="L250" s="55">
        <f>ROUNDDOWN(SUMIF(P240:P249,O250,L240:L249),0)</f>
        <v>23644</v>
      </c>
      <c r="M250" s="58"/>
      <c r="O250" s="6" t="s">
        <v>1128</v>
      </c>
    </row>
    <row r="251" spans="1:26" ht="28.7" customHeight="1" x14ac:dyDescent="0.3">
      <c r="A251" s="83" t="s">
        <v>147</v>
      </c>
      <c r="B251" s="83"/>
      <c r="C251" s="84"/>
      <c r="D251" s="84"/>
      <c r="E251" s="84"/>
      <c r="F251" s="84"/>
      <c r="G251" s="84"/>
      <c r="H251" s="84"/>
      <c r="I251" s="84"/>
      <c r="J251" s="84"/>
      <c r="K251" s="84"/>
      <c r="L251" s="84"/>
      <c r="M251" s="84"/>
      <c r="N251" s="36" t="str">
        <f>HYPERLINK("#N"&amp;ROW(N259),"_x0005_`BDCOD|B01203_x0007_`POSS|"&amp;ROW(N253)&amp;"_x0007_`POSE|"&amp;ROW(N259)&amp;"_x0007_`")</f>
        <v>_x0005_`BDCOD|B01203_x0007_`POSS|253_x0007_`POSE|259_x0007_`</v>
      </c>
    </row>
    <row r="252" spans="1:26" ht="28.7" customHeight="1" x14ac:dyDescent="0.3">
      <c r="A252" s="43" t="s">
        <v>149</v>
      </c>
      <c r="B252" s="43" t="s">
        <v>150</v>
      </c>
      <c r="C252" s="85"/>
      <c r="D252" s="87" t="s">
        <v>20</v>
      </c>
      <c r="E252" s="85"/>
      <c r="F252" s="85"/>
      <c r="G252" s="85"/>
      <c r="H252" s="85"/>
      <c r="I252" s="85"/>
      <c r="J252" s="85"/>
      <c r="K252" s="85"/>
      <c r="L252" s="85"/>
      <c r="M252" s="87" t="s">
        <v>151</v>
      </c>
      <c r="O252" s="6" t="s">
        <v>1297</v>
      </c>
    </row>
    <row r="253" spans="1:26" ht="28.7" customHeight="1" x14ac:dyDescent="0.3">
      <c r="A253" s="9" t="s">
        <v>207</v>
      </c>
      <c r="B253" s="9" t="s">
        <v>208</v>
      </c>
      <c r="C253" s="86">
        <v>1.57</v>
      </c>
      <c r="D253" s="33" t="s">
        <v>42</v>
      </c>
      <c r="E253" s="62">
        <f t="shared" ref="E253:F259" si="49">I253+G253+K253</f>
        <v>30398</v>
      </c>
      <c r="F253" s="89">
        <f t="shared" si="49"/>
        <v>47724.7</v>
      </c>
      <c r="G253" s="90">
        <f>단가산출근거목록표!F14</f>
        <v>18289</v>
      </c>
      <c r="H253" s="92">
        <f t="shared" ref="H253:H259" si="50">IF(C253=0,0,ROUNDDOWN(G253*C253,1))</f>
        <v>28713.7</v>
      </c>
      <c r="I253" s="90">
        <f>단가산출근거목록표!G14</f>
        <v>5101</v>
      </c>
      <c r="J253" s="92">
        <f t="shared" ref="J253:J259" si="51">IF(C253=0,0,ROUNDDOWN(I253*C253,1))</f>
        <v>8008.5</v>
      </c>
      <c r="K253" s="90">
        <f>단가산출근거목록표!H14</f>
        <v>7008</v>
      </c>
      <c r="L253" s="92">
        <f t="shared" ref="L253:L259" si="52">IF(C253=0,0,ROUNDDOWN(K253*C253,1))</f>
        <v>11002.5</v>
      </c>
      <c r="M253" s="24" t="s">
        <v>1203</v>
      </c>
      <c r="N253" s="16" t="s">
        <v>1201</v>
      </c>
      <c r="O253" s="6" t="s">
        <v>1202</v>
      </c>
      <c r="P253" s="6" t="s">
        <v>1128</v>
      </c>
      <c r="Z253" s="19" t="str">
        <f ca="1">HYPERLINK("#"&amp;단가산출근거목록표!J2&amp;"!A"&amp;ROW(단가산출근거목록표!A14),"산근   11 →")</f>
        <v>산근   11 →</v>
      </c>
    </row>
    <row r="254" spans="1:26" ht="28.7" customHeight="1" x14ac:dyDescent="0.3">
      <c r="A254" s="9" t="s">
        <v>63</v>
      </c>
      <c r="B254" s="9" t="s">
        <v>41</v>
      </c>
      <c r="C254" s="86">
        <v>1.57</v>
      </c>
      <c r="D254" s="33" t="s">
        <v>42</v>
      </c>
      <c r="E254" s="62">
        <f t="shared" si="49"/>
        <v>68835</v>
      </c>
      <c r="F254" s="89">
        <f t="shared" si="49"/>
        <v>108070.8</v>
      </c>
      <c r="G254" s="90">
        <f>일위대가목록표!F14</f>
        <v>50534</v>
      </c>
      <c r="H254" s="92">
        <f t="shared" si="50"/>
        <v>79338.3</v>
      </c>
      <c r="I254" s="90">
        <f>일위대가목록표!G14</f>
        <v>6769</v>
      </c>
      <c r="J254" s="92">
        <f t="shared" si="51"/>
        <v>10627.3</v>
      </c>
      <c r="K254" s="90">
        <f>일위대가목록표!H14</f>
        <v>11532</v>
      </c>
      <c r="L254" s="92">
        <f t="shared" si="52"/>
        <v>18105.2</v>
      </c>
      <c r="M254" s="24" t="s">
        <v>1243</v>
      </c>
      <c r="N254" s="16" t="s">
        <v>1241</v>
      </c>
      <c r="O254" s="6" t="s">
        <v>1242</v>
      </c>
      <c r="P254" s="6" t="s">
        <v>1128</v>
      </c>
      <c r="Z254" s="19" t="str">
        <f ca="1">HYPERLINK("#"&amp;일위대가목록표!J2&amp;"!A"&amp;ROW(일위대가목록표!A14),"대가   11 →")</f>
        <v>대가   11 →</v>
      </c>
    </row>
    <row r="255" spans="1:26" ht="28.7" customHeight="1" x14ac:dyDescent="0.3">
      <c r="A255" s="9" t="s">
        <v>204</v>
      </c>
      <c r="B255" s="9" t="s">
        <v>193</v>
      </c>
      <c r="C255" s="86">
        <v>0.24</v>
      </c>
      <c r="D255" s="33" t="s">
        <v>14</v>
      </c>
      <c r="E255" s="62">
        <f t="shared" si="49"/>
        <v>24816</v>
      </c>
      <c r="F255" s="89">
        <f t="shared" si="49"/>
        <v>5955.7000000000007</v>
      </c>
      <c r="G255" s="90">
        <f>단가산출근거목록표!F13</f>
        <v>18084</v>
      </c>
      <c r="H255" s="92">
        <f t="shared" si="50"/>
        <v>4340.1000000000004</v>
      </c>
      <c r="I255" s="90">
        <f>단가산출근거목록표!G13</f>
        <v>2498</v>
      </c>
      <c r="J255" s="92">
        <f t="shared" si="51"/>
        <v>599.5</v>
      </c>
      <c r="K255" s="90">
        <f>단가산출근거목록표!H13</f>
        <v>4234</v>
      </c>
      <c r="L255" s="92">
        <f t="shared" si="52"/>
        <v>1016.1</v>
      </c>
      <c r="M255" s="24" t="s">
        <v>1209</v>
      </c>
      <c r="N255" s="16" t="s">
        <v>1207</v>
      </c>
      <c r="O255" s="6" t="s">
        <v>1208</v>
      </c>
      <c r="P255" s="6" t="s">
        <v>1128</v>
      </c>
      <c r="Z255" s="19" t="str">
        <f ca="1">HYPERLINK("#"&amp;단가산출근거목록표!J2&amp;"!A"&amp;ROW(단가산출근거목록표!A13),"산근   10 →")</f>
        <v>산근   10 →</v>
      </c>
    </row>
    <row r="256" spans="1:26" ht="28.7" customHeight="1" x14ac:dyDescent="0.3">
      <c r="A256" s="9" t="s">
        <v>192</v>
      </c>
      <c r="B256" s="9" t="s">
        <v>193</v>
      </c>
      <c r="C256" s="86">
        <v>0.56000000000000005</v>
      </c>
      <c r="D256" s="33" t="s">
        <v>14</v>
      </c>
      <c r="E256" s="62">
        <f t="shared" si="49"/>
        <v>12701</v>
      </c>
      <c r="F256" s="89">
        <f t="shared" si="49"/>
        <v>7112.4</v>
      </c>
      <c r="G256" s="90">
        <f>단가산출근거목록표!F10</f>
        <v>7908</v>
      </c>
      <c r="H256" s="92">
        <f t="shared" si="50"/>
        <v>4428.3999999999996</v>
      </c>
      <c r="I256" s="90">
        <f>단가산출근거목록표!G10</f>
        <v>1963</v>
      </c>
      <c r="J256" s="92">
        <f t="shared" si="51"/>
        <v>1099.2</v>
      </c>
      <c r="K256" s="90">
        <f>단가산출근거목록표!H10</f>
        <v>2830</v>
      </c>
      <c r="L256" s="92">
        <f t="shared" si="52"/>
        <v>1584.8</v>
      </c>
      <c r="M256" s="24" t="s">
        <v>1228</v>
      </c>
      <c r="N256" s="16" t="s">
        <v>1226</v>
      </c>
      <c r="O256" s="6" t="s">
        <v>1227</v>
      </c>
      <c r="P256" s="6" t="s">
        <v>1128</v>
      </c>
      <c r="Z256" s="19" t="str">
        <f ca="1">HYPERLINK("#"&amp;단가산출근거목록표!J2&amp;"!A"&amp;ROW(단가산출근거목록표!A10),"산근    7 →")</f>
        <v>산근    7 →</v>
      </c>
    </row>
    <row r="257" spans="1:26" ht="28.7" customHeight="1" x14ac:dyDescent="0.3">
      <c r="A257" s="9" t="s">
        <v>188</v>
      </c>
      <c r="B257" s="9" t="s">
        <v>189</v>
      </c>
      <c r="C257" s="86">
        <v>0.56000000000000005</v>
      </c>
      <c r="D257" s="33" t="s">
        <v>14</v>
      </c>
      <c r="E257" s="62">
        <f t="shared" si="49"/>
        <v>8328</v>
      </c>
      <c r="F257" s="89">
        <f t="shared" si="49"/>
        <v>4663.5</v>
      </c>
      <c r="G257" s="90">
        <f>단가산출근거목록표!F9</f>
        <v>6878</v>
      </c>
      <c r="H257" s="92">
        <f t="shared" si="50"/>
        <v>3851.6</v>
      </c>
      <c r="I257" s="90">
        <f>단가산출근거목록표!G9</f>
        <v>538</v>
      </c>
      <c r="J257" s="92">
        <f t="shared" si="51"/>
        <v>301.2</v>
      </c>
      <c r="K257" s="90">
        <f>단가산출근거목록표!H9</f>
        <v>912</v>
      </c>
      <c r="L257" s="92">
        <f t="shared" si="52"/>
        <v>510.7</v>
      </c>
      <c r="M257" s="24" t="s">
        <v>1231</v>
      </c>
      <c r="N257" s="16" t="s">
        <v>1229</v>
      </c>
      <c r="O257" s="6" t="s">
        <v>1230</v>
      </c>
      <c r="P257" s="6" t="s">
        <v>1128</v>
      </c>
      <c r="Z257" s="19" t="str">
        <f ca="1">HYPERLINK("#"&amp;단가산출근거목록표!J2&amp;"!A"&amp;ROW(단가산출근거목록표!A9),"산근    6 →")</f>
        <v>산근    6 →</v>
      </c>
    </row>
    <row r="258" spans="1:26" ht="28.7" customHeight="1" x14ac:dyDescent="0.3">
      <c r="A258" s="9" t="s">
        <v>271</v>
      </c>
      <c r="B258" s="9" t="s">
        <v>272</v>
      </c>
      <c r="C258" s="86">
        <v>0.85</v>
      </c>
      <c r="D258" s="33" t="s">
        <v>42</v>
      </c>
      <c r="E258" s="62">
        <f t="shared" si="49"/>
        <v>36282</v>
      </c>
      <c r="F258" s="89">
        <f t="shared" si="49"/>
        <v>30839.599999999999</v>
      </c>
      <c r="G258" s="90">
        <f>단가산출근거목록표!F32</f>
        <v>31636</v>
      </c>
      <c r="H258" s="92">
        <f t="shared" si="50"/>
        <v>26890.6</v>
      </c>
      <c r="I258" s="90">
        <f>단가산출근거목록표!G32</f>
        <v>3697</v>
      </c>
      <c r="J258" s="92">
        <f t="shared" si="51"/>
        <v>3142.4</v>
      </c>
      <c r="K258" s="90">
        <f>단가산출근거목록표!H32</f>
        <v>949</v>
      </c>
      <c r="L258" s="92">
        <f t="shared" si="52"/>
        <v>806.6</v>
      </c>
      <c r="M258" s="24" t="s">
        <v>1178</v>
      </c>
      <c r="N258" s="16" t="s">
        <v>1176</v>
      </c>
      <c r="O258" s="6" t="s">
        <v>1177</v>
      </c>
      <c r="P258" s="6" t="s">
        <v>1128</v>
      </c>
      <c r="Z258" s="19" t="str">
        <f ca="1">HYPERLINK("#"&amp;단가산출근거목록표!J2&amp;"!A"&amp;ROW(단가산출근거목록표!A32),"산근   29 →")</f>
        <v>산근   29 →</v>
      </c>
    </row>
    <row r="259" spans="1:26" ht="28.7" customHeight="1" x14ac:dyDescent="0.3">
      <c r="A259" s="9" t="s">
        <v>333</v>
      </c>
      <c r="B259" s="9" t="s">
        <v>334</v>
      </c>
      <c r="C259" s="86">
        <v>0.31</v>
      </c>
      <c r="D259" s="33" t="s">
        <v>14</v>
      </c>
      <c r="E259" s="62">
        <f t="shared" si="49"/>
        <v>27665</v>
      </c>
      <c r="F259" s="89">
        <f t="shared" si="49"/>
        <v>8576</v>
      </c>
      <c r="G259" s="90">
        <f>단가산출근거목록표!F48</f>
        <v>22142</v>
      </c>
      <c r="H259" s="92">
        <f t="shared" si="50"/>
        <v>6864</v>
      </c>
      <c r="I259" s="90">
        <f>단가산출근거목록표!G48</f>
        <v>2285</v>
      </c>
      <c r="J259" s="92">
        <f t="shared" si="51"/>
        <v>708.3</v>
      </c>
      <c r="K259" s="90">
        <f>단가산출근거목록표!H48</f>
        <v>3238</v>
      </c>
      <c r="L259" s="92">
        <f t="shared" si="52"/>
        <v>1003.7</v>
      </c>
      <c r="M259" s="24" t="s">
        <v>1296</v>
      </c>
      <c r="N259" s="16" t="s">
        <v>1294</v>
      </c>
      <c r="O259" s="6" t="s">
        <v>1295</v>
      </c>
      <c r="P259" s="6" t="s">
        <v>1128</v>
      </c>
      <c r="Z259" s="19" t="str">
        <f ca="1">HYPERLINK("#"&amp;단가산출근거목록표!J2&amp;"!A"&amp;ROW(단가산출근거목록표!A48),"산근   45 →")</f>
        <v>산근   45 →</v>
      </c>
    </row>
    <row r="260" spans="1:26" ht="28.7" customHeight="1" x14ac:dyDescent="0.3">
      <c r="A260" s="24" t="s">
        <v>6</v>
      </c>
      <c r="B260" s="58"/>
      <c r="C260" s="58"/>
      <c r="D260" s="58"/>
      <c r="E260" s="58"/>
      <c r="F260" s="55">
        <f>J260+H260+L260</f>
        <v>212941</v>
      </c>
      <c r="G260" s="58"/>
      <c r="H260" s="55">
        <f>ROUNDDOWN(SUMIF(P253:P259,O260,H253:H259),0)</f>
        <v>154426</v>
      </c>
      <c r="I260" s="58"/>
      <c r="J260" s="55">
        <f>ROUNDDOWN(SUMIF(P253:P259,O260,J253:J259),0)</f>
        <v>24486</v>
      </c>
      <c r="K260" s="58"/>
      <c r="L260" s="55">
        <f>ROUNDDOWN(SUMIF(P253:P259,O260,L253:L259),0)</f>
        <v>34029</v>
      </c>
      <c r="M260" s="58"/>
      <c r="O260" s="6" t="s">
        <v>1128</v>
      </c>
    </row>
    <row r="261" spans="1:26" ht="28.7" customHeight="1" x14ac:dyDescent="0.3">
      <c r="A261" s="83" t="s">
        <v>152</v>
      </c>
      <c r="B261" s="83"/>
      <c r="C261" s="84"/>
      <c r="D261" s="84"/>
      <c r="E261" s="84"/>
      <c r="F261" s="84"/>
      <c r="G261" s="84"/>
      <c r="H261" s="84"/>
      <c r="I261" s="84"/>
      <c r="J261" s="84"/>
      <c r="K261" s="84"/>
      <c r="L261" s="84"/>
      <c r="M261" s="84"/>
      <c r="N261" s="36" t="str">
        <f>HYPERLINK("#N"&amp;ROW(N269),"_x0005_`BDCOD|B01204_x0007_`POSS|"&amp;ROW(N263)&amp;"_x0007_`POSE|"&amp;ROW(N269)&amp;"_x0007_`")</f>
        <v>_x0005_`BDCOD|B01204_x0007_`POSS|263_x0007_`POSE|269_x0007_`</v>
      </c>
    </row>
    <row r="262" spans="1:26" ht="28.7" customHeight="1" x14ac:dyDescent="0.3">
      <c r="A262" s="43" t="s">
        <v>154</v>
      </c>
      <c r="B262" s="43" t="s">
        <v>150</v>
      </c>
      <c r="C262" s="85"/>
      <c r="D262" s="87" t="s">
        <v>20</v>
      </c>
      <c r="E262" s="85"/>
      <c r="F262" s="85"/>
      <c r="G262" s="85"/>
      <c r="H262" s="85"/>
      <c r="I262" s="85"/>
      <c r="J262" s="85"/>
      <c r="K262" s="85"/>
      <c r="L262" s="85"/>
      <c r="M262" s="87" t="s">
        <v>155</v>
      </c>
      <c r="O262" s="6" t="s">
        <v>1298</v>
      </c>
    </row>
    <row r="263" spans="1:26" ht="28.7" customHeight="1" x14ac:dyDescent="0.3">
      <c r="A263" s="9" t="s">
        <v>207</v>
      </c>
      <c r="B263" s="9" t="s">
        <v>208</v>
      </c>
      <c r="C263" s="86">
        <v>2.09</v>
      </c>
      <c r="D263" s="33" t="s">
        <v>42</v>
      </c>
      <c r="E263" s="62">
        <f t="shared" ref="E263:F269" si="53">I263+G263+K263</f>
        <v>30398</v>
      </c>
      <c r="F263" s="89">
        <f t="shared" si="53"/>
        <v>63531.7</v>
      </c>
      <c r="G263" s="90">
        <f>단가산출근거목록표!F14</f>
        <v>18289</v>
      </c>
      <c r="H263" s="92">
        <f t="shared" ref="H263:H269" si="54">IF(C263=0,0,ROUNDDOWN(G263*C263,1))</f>
        <v>38224</v>
      </c>
      <c r="I263" s="90">
        <f>단가산출근거목록표!G14</f>
        <v>5101</v>
      </c>
      <c r="J263" s="92">
        <f t="shared" ref="J263:J269" si="55">IF(C263=0,0,ROUNDDOWN(I263*C263,1))</f>
        <v>10661</v>
      </c>
      <c r="K263" s="90">
        <f>단가산출근거목록표!H14</f>
        <v>7008</v>
      </c>
      <c r="L263" s="92">
        <f t="shared" ref="L263:L269" si="56">IF(C263=0,0,ROUNDDOWN(K263*C263,1))</f>
        <v>14646.7</v>
      </c>
      <c r="M263" s="24" t="s">
        <v>1203</v>
      </c>
      <c r="N263" s="16" t="s">
        <v>1201</v>
      </c>
      <c r="O263" s="6" t="s">
        <v>1202</v>
      </c>
      <c r="P263" s="6" t="s">
        <v>1128</v>
      </c>
      <c r="Z263" s="19" t="str">
        <f ca="1">HYPERLINK("#"&amp;단가산출근거목록표!J2&amp;"!A"&amp;ROW(단가산출근거목록표!A14),"산근   11 →")</f>
        <v>산근   11 →</v>
      </c>
    </row>
    <row r="264" spans="1:26" ht="28.7" customHeight="1" x14ac:dyDescent="0.3">
      <c r="A264" s="9" t="s">
        <v>63</v>
      </c>
      <c r="B264" s="9" t="s">
        <v>41</v>
      </c>
      <c r="C264" s="86">
        <v>2.09</v>
      </c>
      <c r="D264" s="33" t="s">
        <v>42</v>
      </c>
      <c r="E264" s="62">
        <f t="shared" si="53"/>
        <v>68835</v>
      </c>
      <c r="F264" s="89">
        <f t="shared" si="53"/>
        <v>143865</v>
      </c>
      <c r="G264" s="90">
        <f>일위대가목록표!F14</f>
        <v>50534</v>
      </c>
      <c r="H264" s="92">
        <f t="shared" si="54"/>
        <v>105616</v>
      </c>
      <c r="I264" s="90">
        <f>일위대가목록표!G14</f>
        <v>6769</v>
      </c>
      <c r="J264" s="92">
        <f t="shared" si="55"/>
        <v>14147.2</v>
      </c>
      <c r="K264" s="90">
        <f>일위대가목록표!H14</f>
        <v>11532</v>
      </c>
      <c r="L264" s="92">
        <f t="shared" si="56"/>
        <v>24101.8</v>
      </c>
      <c r="M264" s="24" t="s">
        <v>1243</v>
      </c>
      <c r="N264" s="16" t="s">
        <v>1241</v>
      </c>
      <c r="O264" s="6" t="s">
        <v>1242</v>
      </c>
      <c r="P264" s="6" t="s">
        <v>1128</v>
      </c>
      <c r="Z264" s="19" t="str">
        <f ca="1">HYPERLINK("#"&amp;일위대가목록표!J2&amp;"!A"&amp;ROW(일위대가목록표!A14),"대가   11 →")</f>
        <v>대가   11 →</v>
      </c>
    </row>
    <row r="265" spans="1:26" ht="28.7" customHeight="1" x14ac:dyDescent="0.3">
      <c r="A265" s="9" t="s">
        <v>204</v>
      </c>
      <c r="B265" s="9" t="s">
        <v>193</v>
      </c>
      <c r="C265" s="86">
        <v>0.31</v>
      </c>
      <c r="D265" s="33" t="s">
        <v>14</v>
      </c>
      <c r="E265" s="62">
        <f t="shared" si="53"/>
        <v>24816</v>
      </c>
      <c r="F265" s="89">
        <f t="shared" si="53"/>
        <v>7692.8</v>
      </c>
      <c r="G265" s="90">
        <f>단가산출근거목록표!F13</f>
        <v>18084</v>
      </c>
      <c r="H265" s="92">
        <f t="shared" si="54"/>
        <v>5606</v>
      </c>
      <c r="I265" s="90">
        <f>단가산출근거목록표!G13</f>
        <v>2498</v>
      </c>
      <c r="J265" s="92">
        <f t="shared" si="55"/>
        <v>774.3</v>
      </c>
      <c r="K265" s="90">
        <f>단가산출근거목록표!H13</f>
        <v>4234</v>
      </c>
      <c r="L265" s="92">
        <f t="shared" si="56"/>
        <v>1312.5</v>
      </c>
      <c r="M265" s="24" t="s">
        <v>1209</v>
      </c>
      <c r="N265" s="16" t="s">
        <v>1207</v>
      </c>
      <c r="O265" s="6" t="s">
        <v>1208</v>
      </c>
      <c r="P265" s="6" t="s">
        <v>1128</v>
      </c>
      <c r="Z265" s="19" t="str">
        <f ca="1">HYPERLINK("#"&amp;단가산출근거목록표!J2&amp;"!A"&amp;ROW(단가산출근거목록표!A13),"산근   10 →")</f>
        <v>산근   10 →</v>
      </c>
    </row>
    <row r="266" spans="1:26" ht="28.7" customHeight="1" x14ac:dyDescent="0.3">
      <c r="A266" s="9" t="s">
        <v>192</v>
      </c>
      <c r="B266" s="9" t="s">
        <v>193</v>
      </c>
      <c r="C266" s="86">
        <v>0.75</v>
      </c>
      <c r="D266" s="33" t="s">
        <v>14</v>
      </c>
      <c r="E266" s="62">
        <f t="shared" si="53"/>
        <v>12701</v>
      </c>
      <c r="F266" s="89">
        <f t="shared" si="53"/>
        <v>9525.7000000000007</v>
      </c>
      <c r="G266" s="90">
        <f>단가산출근거목록표!F10</f>
        <v>7908</v>
      </c>
      <c r="H266" s="92">
        <f t="shared" si="54"/>
        <v>5931</v>
      </c>
      <c r="I266" s="90">
        <f>단가산출근거목록표!G10</f>
        <v>1963</v>
      </c>
      <c r="J266" s="92">
        <f t="shared" si="55"/>
        <v>1472.2</v>
      </c>
      <c r="K266" s="90">
        <f>단가산출근거목록표!H10</f>
        <v>2830</v>
      </c>
      <c r="L266" s="92">
        <f t="shared" si="56"/>
        <v>2122.5</v>
      </c>
      <c r="M266" s="24" t="s">
        <v>1228</v>
      </c>
      <c r="N266" s="16" t="s">
        <v>1226</v>
      </c>
      <c r="O266" s="6" t="s">
        <v>1227</v>
      </c>
      <c r="P266" s="6" t="s">
        <v>1128</v>
      </c>
      <c r="Z266" s="19" t="str">
        <f ca="1">HYPERLINK("#"&amp;단가산출근거목록표!J2&amp;"!A"&amp;ROW(단가산출근거목록표!A10),"산근    7 →")</f>
        <v>산근    7 →</v>
      </c>
    </row>
    <row r="267" spans="1:26" ht="28.7" customHeight="1" x14ac:dyDescent="0.3">
      <c r="A267" s="9" t="s">
        <v>188</v>
      </c>
      <c r="B267" s="9" t="s">
        <v>189</v>
      </c>
      <c r="C267" s="86">
        <v>0.75</v>
      </c>
      <c r="D267" s="33" t="s">
        <v>14</v>
      </c>
      <c r="E267" s="62">
        <f t="shared" si="53"/>
        <v>8328</v>
      </c>
      <c r="F267" s="89">
        <f t="shared" si="53"/>
        <v>6246</v>
      </c>
      <c r="G267" s="90">
        <f>단가산출근거목록표!F9</f>
        <v>6878</v>
      </c>
      <c r="H267" s="92">
        <f t="shared" si="54"/>
        <v>5158.5</v>
      </c>
      <c r="I267" s="90">
        <f>단가산출근거목록표!G9</f>
        <v>538</v>
      </c>
      <c r="J267" s="92">
        <f t="shared" si="55"/>
        <v>403.5</v>
      </c>
      <c r="K267" s="90">
        <f>단가산출근거목록표!H9</f>
        <v>912</v>
      </c>
      <c r="L267" s="92">
        <f t="shared" si="56"/>
        <v>684</v>
      </c>
      <c r="M267" s="24" t="s">
        <v>1231</v>
      </c>
      <c r="N267" s="16" t="s">
        <v>1229</v>
      </c>
      <c r="O267" s="6" t="s">
        <v>1230</v>
      </c>
      <c r="P267" s="6" t="s">
        <v>1128</v>
      </c>
      <c r="Z267" s="19" t="str">
        <f ca="1">HYPERLINK("#"&amp;단가산출근거목록표!J2&amp;"!A"&amp;ROW(단가산출근거목록표!A9),"산근    6 →")</f>
        <v>산근    6 →</v>
      </c>
    </row>
    <row r="268" spans="1:26" ht="28.7" customHeight="1" x14ac:dyDescent="0.3">
      <c r="A268" s="9" t="s">
        <v>271</v>
      </c>
      <c r="B268" s="9" t="s">
        <v>272</v>
      </c>
      <c r="C268" s="86">
        <v>0.85</v>
      </c>
      <c r="D268" s="33" t="s">
        <v>42</v>
      </c>
      <c r="E268" s="62">
        <f t="shared" si="53"/>
        <v>36282</v>
      </c>
      <c r="F268" s="89">
        <f t="shared" si="53"/>
        <v>30839.599999999999</v>
      </c>
      <c r="G268" s="90">
        <f>단가산출근거목록표!F32</f>
        <v>31636</v>
      </c>
      <c r="H268" s="92">
        <f t="shared" si="54"/>
        <v>26890.6</v>
      </c>
      <c r="I268" s="90">
        <f>단가산출근거목록표!G32</f>
        <v>3697</v>
      </c>
      <c r="J268" s="92">
        <f t="shared" si="55"/>
        <v>3142.4</v>
      </c>
      <c r="K268" s="90">
        <f>단가산출근거목록표!H32</f>
        <v>949</v>
      </c>
      <c r="L268" s="92">
        <f t="shared" si="56"/>
        <v>806.6</v>
      </c>
      <c r="M268" s="24" t="s">
        <v>1178</v>
      </c>
      <c r="N268" s="16" t="s">
        <v>1176</v>
      </c>
      <c r="O268" s="6" t="s">
        <v>1177</v>
      </c>
      <c r="P268" s="6" t="s">
        <v>1128</v>
      </c>
      <c r="Z268" s="19" t="str">
        <f ca="1">HYPERLINK("#"&amp;단가산출근거목록표!J2&amp;"!A"&amp;ROW(단가산출근거목록표!A32),"산근   29 →")</f>
        <v>산근   29 →</v>
      </c>
    </row>
    <row r="269" spans="1:26" ht="28.7" customHeight="1" x14ac:dyDescent="0.3">
      <c r="A269" s="9" t="s">
        <v>333</v>
      </c>
      <c r="B269" s="9" t="s">
        <v>334</v>
      </c>
      <c r="C269" s="86">
        <v>0.31</v>
      </c>
      <c r="D269" s="33" t="s">
        <v>14</v>
      </c>
      <c r="E269" s="62">
        <f t="shared" si="53"/>
        <v>27665</v>
      </c>
      <c r="F269" s="89">
        <f t="shared" si="53"/>
        <v>8576</v>
      </c>
      <c r="G269" s="90">
        <f>단가산출근거목록표!F48</f>
        <v>22142</v>
      </c>
      <c r="H269" s="92">
        <f t="shared" si="54"/>
        <v>6864</v>
      </c>
      <c r="I269" s="90">
        <f>단가산출근거목록표!G48</f>
        <v>2285</v>
      </c>
      <c r="J269" s="92">
        <f t="shared" si="55"/>
        <v>708.3</v>
      </c>
      <c r="K269" s="90">
        <f>단가산출근거목록표!H48</f>
        <v>3238</v>
      </c>
      <c r="L269" s="92">
        <f t="shared" si="56"/>
        <v>1003.7</v>
      </c>
      <c r="M269" s="24" t="s">
        <v>1296</v>
      </c>
      <c r="N269" s="16" t="s">
        <v>1294</v>
      </c>
      <c r="O269" s="6" t="s">
        <v>1295</v>
      </c>
      <c r="P269" s="6" t="s">
        <v>1128</v>
      </c>
      <c r="Z269" s="19" t="str">
        <f ca="1">HYPERLINK("#"&amp;단가산출근거목록표!J2&amp;"!A"&amp;ROW(단가산출근거목록표!A48),"산근   45 →")</f>
        <v>산근   45 →</v>
      </c>
    </row>
    <row r="270" spans="1:26" ht="28.7" customHeight="1" x14ac:dyDescent="0.3">
      <c r="A270" s="24" t="s">
        <v>6</v>
      </c>
      <c r="B270" s="58"/>
      <c r="C270" s="58"/>
      <c r="D270" s="58"/>
      <c r="E270" s="58"/>
      <c r="F270" s="55">
        <f>J270+H270+L270</f>
        <v>270275</v>
      </c>
      <c r="G270" s="58"/>
      <c r="H270" s="55">
        <f>ROUNDDOWN(SUMIF(P263:P269,O270,H263:H269),0)</f>
        <v>194290</v>
      </c>
      <c r="I270" s="58"/>
      <c r="J270" s="55">
        <f>ROUNDDOWN(SUMIF(P263:P269,O270,J263:J269),0)</f>
        <v>31308</v>
      </c>
      <c r="K270" s="58"/>
      <c r="L270" s="55">
        <f>ROUNDDOWN(SUMIF(P263:P269,O270,L263:L269),0)</f>
        <v>44677</v>
      </c>
      <c r="M270" s="58"/>
      <c r="O270" s="6" t="s">
        <v>1128</v>
      </c>
    </row>
    <row r="271" spans="1:26" ht="28.7" customHeight="1" x14ac:dyDescent="0.3">
      <c r="A271" s="83" t="s">
        <v>156</v>
      </c>
      <c r="B271" s="83"/>
      <c r="C271" s="84"/>
      <c r="D271" s="84"/>
      <c r="E271" s="84"/>
      <c r="F271" s="84"/>
      <c r="G271" s="84"/>
      <c r="H271" s="84"/>
      <c r="I271" s="84"/>
      <c r="J271" s="84"/>
      <c r="K271" s="84"/>
      <c r="L271" s="84"/>
      <c r="M271" s="84"/>
      <c r="N271" s="36" t="str">
        <f>HYPERLINK("#N"&amp;ROW(N280),"_x0005_`BDCOD|B01207_x0007_`POSS|"&amp;ROW(N273)&amp;"_x0007_`POSE|"&amp;ROW(N280)&amp;"_x0007_`")</f>
        <v>_x0005_`BDCOD|B01207_x0007_`POSS|273_x0007_`POSE|280_x0007_`</v>
      </c>
    </row>
    <row r="272" spans="1:26" ht="28.7" customHeight="1" x14ac:dyDescent="0.3">
      <c r="A272" s="43" t="s">
        <v>158</v>
      </c>
      <c r="B272" s="43" t="s">
        <v>159</v>
      </c>
      <c r="C272" s="85"/>
      <c r="D272" s="87" t="s">
        <v>42</v>
      </c>
      <c r="E272" s="85"/>
      <c r="F272" s="85"/>
      <c r="G272" s="85"/>
      <c r="H272" s="85"/>
      <c r="I272" s="85"/>
      <c r="J272" s="85"/>
      <c r="K272" s="85"/>
      <c r="L272" s="85"/>
      <c r="M272" s="87" t="s">
        <v>160</v>
      </c>
      <c r="O272" s="6" t="s">
        <v>1299</v>
      </c>
    </row>
    <row r="273" spans="1:26" ht="28.7" customHeight="1" x14ac:dyDescent="0.3">
      <c r="A273" s="9" t="s">
        <v>1114</v>
      </c>
      <c r="B273" s="9" t="s">
        <v>1300</v>
      </c>
      <c r="C273" s="86">
        <v>0</v>
      </c>
      <c r="D273" s="33"/>
      <c r="E273" s="23">
        <v>0</v>
      </c>
      <c r="F273" s="10">
        <v>0</v>
      </c>
      <c r="G273" s="45"/>
      <c r="H273" s="10">
        <v>0</v>
      </c>
      <c r="I273" s="45"/>
      <c r="J273" s="23">
        <v>0</v>
      </c>
      <c r="K273" s="50"/>
      <c r="L273" s="23">
        <v>0</v>
      </c>
      <c r="M273" s="24" t="s">
        <v>1118</v>
      </c>
      <c r="N273" s="16" t="s">
        <v>1116</v>
      </c>
      <c r="O273" s="6" t="s">
        <v>1117</v>
      </c>
      <c r="P273" s="6" t="s">
        <v>1117</v>
      </c>
    </row>
    <row r="274" spans="1:26" ht="28.7" customHeight="1" x14ac:dyDescent="0.3">
      <c r="A274" s="9" t="s">
        <v>629</v>
      </c>
      <c r="B274" s="9" t="s">
        <v>499</v>
      </c>
      <c r="C274" s="86">
        <v>1</v>
      </c>
      <c r="D274" s="33" t="s">
        <v>42</v>
      </c>
      <c r="E274" s="62">
        <f t="shared" ref="E274:F280" si="57">I274+G274+K274</f>
        <v>0</v>
      </c>
      <c r="F274" s="88">
        <f t="shared" si="57"/>
        <v>0</v>
      </c>
      <c r="G274" s="59">
        <v>0</v>
      </c>
      <c r="H274" s="89">
        <f t="shared" ref="H274:H280" si="58">IF(C274=0,0,ROUNDDOWN(G274*C274,1))</f>
        <v>0</v>
      </c>
      <c r="I274" s="90">
        <f>재료비목록표!E46</f>
        <v>0</v>
      </c>
      <c r="J274" s="91">
        <f t="shared" ref="J274:J280" si="59">IF(C274=0,0,ROUNDDOWN(I274*C274,1))</f>
        <v>0</v>
      </c>
      <c r="K274" s="59">
        <v>0</v>
      </c>
      <c r="L274" s="89">
        <f t="shared" ref="L274:L280" si="60">IF(C274=0,0,ROUNDDOWN(K274*C274,1))</f>
        <v>0</v>
      </c>
      <c r="M274" s="24" t="s">
        <v>1303</v>
      </c>
      <c r="N274" s="16" t="s">
        <v>1301</v>
      </c>
      <c r="O274" s="6" t="s">
        <v>1302</v>
      </c>
      <c r="P274" s="6" t="s">
        <v>1128</v>
      </c>
      <c r="Z274" s="19" t="str">
        <f ca="1">HYPERLINK("#"&amp;재료비목록표!G2&amp;"!A"&amp;ROW(재료비목록표!A46),"자재   43 →")</f>
        <v>자재   43 →</v>
      </c>
    </row>
    <row r="275" spans="1:26" ht="28.7" customHeight="1" x14ac:dyDescent="0.3">
      <c r="A275" s="9" t="s">
        <v>653</v>
      </c>
      <c r="B275" s="9"/>
      <c r="C275" s="86">
        <v>0.11</v>
      </c>
      <c r="D275" s="33" t="s">
        <v>647</v>
      </c>
      <c r="E275" s="62">
        <f t="shared" si="57"/>
        <v>258935</v>
      </c>
      <c r="F275" s="89">
        <f t="shared" si="57"/>
        <v>28482.799999999999</v>
      </c>
      <c r="G275" s="90">
        <f>노무비목록표!E6</f>
        <v>258935</v>
      </c>
      <c r="H275" s="91">
        <f t="shared" si="58"/>
        <v>28482.799999999999</v>
      </c>
      <c r="I275" s="59">
        <v>0</v>
      </c>
      <c r="J275" s="88">
        <f t="shared" si="59"/>
        <v>0</v>
      </c>
      <c r="K275" s="59">
        <v>0</v>
      </c>
      <c r="L275" s="89">
        <f t="shared" si="60"/>
        <v>0</v>
      </c>
      <c r="M275" s="24" t="s">
        <v>1150</v>
      </c>
      <c r="N275" s="16" t="s">
        <v>1148</v>
      </c>
      <c r="O275" s="6" t="s">
        <v>1149</v>
      </c>
      <c r="P275" s="6" t="s">
        <v>1128</v>
      </c>
      <c r="Z275" s="19" t="str">
        <f ca="1">HYPERLINK("#"&amp;노무비목록표!G2&amp;"!A"&amp;ROW(노무비목록표!A6),"노무    3 →")</f>
        <v>노무    3 →</v>
      </c>
    </row>
    <row r="276" spans="1:26" ht="28.7" customHeight="1" x14ac:dyDescent="0.3">
      <c r="A276" s="9" t="s">
        <v>662</v>
      </c>
      <c r="B276" s="9"/>
      <c r="C276" s="86">
        <v>0.04</v>
      </c>
      <c r="D276" s="33" t="s">
        <v>647</v>
      </c>
      <c r="E276" s="62">
        <f t="shared" si="57"/>
        <v>165545</v>
      </c>
      <c r="F276" s="89">
        <f t="shared" si="57"/>
        <v>6621.8</v>
      </c>
      <c r="G276" s="90">
        <f>노무비목록표!E9</f>
        <v>165545</v>
      </c>
      <c r="H276" s="91">
        <f t="shared" si="58"/>
        <v>6621.8</v>
      </c>
      <c r="I276" s="59">
        <v>0</v>
      </c>
      <c r="J276" s="88">
        <f t="shared" si="59"/>
        <v>0</v>
      </c>
      <c r="K276" s="59">
        <v>0</v>
      </c>
      <c r="L276" s="89">
        <f t="shared" si="60"/>
        <v>0</v>
      </c>
      <c r="M276" s="24" t="s">
        <v>1127</v>
      </c>
      <c r="N276" s="16" t="s">
        <v>1125</v>
      </c>
      <c r="O276" s="6" t="s">
        <v>1126</v>
      </c>
      <c r="P276" s="6" t="s">
        <v>1128</v>
      </c>
      <c r="Z276" s="19" t="str">
        <f ca="1">HYPERLINK("#"&amp;노무비목록표!G2&amp;"!A"&amp;ROW(노무비목록표!A9),"노무    6 →")</f>
        <v>노무    6 →</v>
      </c>
    </row>
    <row r="277" spans="1:26" ht="28.7" customHeight="1" x14ac:dyDescent="0.3">
      <c r="A277" s="9" t="s">
        <v>423</v>
      </c>
      <c r="B277" s="9" t="s">
        <v>424</v>
      </c>
      <c r="C277" s="86">
        <v>0.22</v>
      </c>
      <c r="D277" s="33" t="s">
        <v>344</v>
      </c>
      <c r="E277" s="62">
        <f t="shared" si="57"/>
        <v>105178</v>
      </c>
      <c r="F277" s="89">
        <f t="shared" si="57"/>
        <v>23139.1</v>
      </c>
      <c r="G277" s="90">
        <f>중기목록표!F28</f>
        <v>55700</v>
      </c>
      <c r="H277" s="92">
        <f t="shared" si="58"/>
        <v>12254</v>
      </c>
      <c r="I277" s="90">
        <f>중기목록표!G28</f>
        <v>18310</v>
      </c>
      <c r="J277" s="92">
        <f t="shared" si="59"/>
        <v>4028.2</v>
      </c>
      <c r="K277" s="90">
        <f>중기목록표!H28</f>
        <v>31168</v>
      </c>
      <c r="L277" s="92">
        <f t="shared" si="60"/>
        <v>6856.9</v>
      </c>
      <c r="M277" s="24" t="s">
        <v>1306</v>
      </c>
      <c r="N277" s="16" t="s">
        <v>1304</v>
      </c>
      <c r="O277" s="6" t="s">
        <v>1305</v>
      </c>
      <c r="P277" s="6" t="s">
        <v>1128</v>
      </c>
      <c r="Z277" s="19" t="str">
        <f ca="1">HYPERLINK("#"&amp;중기목록표!J2&amp;"!A"&amp;ROW(중기목록표!A28),"중기   25 →")</f>
        <v>중기   25 →</v>
      </c>
    </row>
    <row r="278" spans="1:26" ht="28.7" customHeight="1" x14ac:dyDescent="0.3">
      <c r="A278" s="9" t="s">
        <v>12</v>
      </c>
      <c r="B278" s="9" t="s">
        <v>13</v>
      </c>
      <c r="C278" s="86">
        <v>8.9999999999999993E-3</v>
      </c>
      <c r="D278" s="33" t="s">
        <v>14</v>
      </c>
      <c r="E278" s="62">
        <f t="shared" si="57"/>
        <v>109259</v>
      </c>
      <c r="F278" s="89">
        <f t="shared" si="57"/>
        <v>983.3</v>
      </c>
      <c r="G278" s="90">
        <f>일위대가목록표!F4</f>
        <v>109259</v>
      </c>
      <c r="H278" s="92">
        <f t="shared" si="58"/>
        <v>983.3</v>
      </c>
      <c r="I278" s="90">
        <f>일위대가목록표!G4</f>
        <v>0</v>
      </c>
      <c r="J278" s="92">
        <f t="shared" si="59"/>
        <v>0</v>
      </c>
      <c r="K278" s="90">
        <f>일위대가목록표!H4</f>
        <v>0</v>
      </c>
      <c r="L278" s="92">
        <f t="shared" si="60"/>
        <v>0</v>
      </c>
      <c r="M278" s="24" t="s">
        <v>1212</v>
      </c>
      <c r="N278" s="16" t="s">
        <v>1210</v>
      </c>
      <c r="O278" s="6" t="s">
        <v>1211</v>
      </c>
      <c r="P278" s="6" t="s">
        <v>1128</v>
      </c>
      <c r="Z278" s="19" t="str">
        <f ca="1">HYPERLINK("#"&amp;일위대가목록표!J2&amp;"!A"&amp;ROW(일위대가목록표!A4),"대가    1 →")</f>
        <v>대가    1 →</v>
      </c>
    </row>
    <row r="279" spans="1:26" ht="28.7" customHeight="1" x14ac:dyDescent="0.3">
      <c r="A279" s="9" t="s">
        <v>108</v>
      </c>
      <c r="B279" s="9" t="s">
        <v>275</v>
      </c>
      <c r="C279" s="86">
        <v>0.16</v>
      </c>
      <c r="D279" s="33" t="s">
        <v>14</v>
      </c>
      <c r="E279" s="62">
        <f t="shared" si="57"/>
        <v>67383</v>
      </c>
      <c r="F279" s="89">
        <f t="shared" si="57"/>
        <v>10781.1</v>
      </c>
      <c r="G279" s="90">
        <f>단가산출근거목록표!F33</f>
        <v>66071</v>
      </c>
      <c r="H279" s="92">
        <f t="shared" si="58"/>
        <v>10571.3</v>
      </c>
      <c r="I279" s="90">
        <f>단가산출근거목록표!G33</f>
        <v>1008</v>
      </c>
      <c r="J279" s="92">
        <f t="shared" si="59"/>
        <v>161.19999999999999</v>
      </c>
      <c r="K279" s="90">
        <f>단가산출근거목록표!H33</f>
        <v>304</v>
      </c>
      <c r="L279" s="92">
        <f t="shared" si="60"/>
        <v>48.6</v>
      </c>
      <c r="M279" s="24" t="s">
        <v>1175</v>
      </c>
      <c r="N279" s="16" t="s">
        <v>1173</v>
      </c>
      <c r="O279" s="6" t="s">
        <v>1174</v>
      </c>
      <c r="P279" s="6" t="s">
        <v>1128</v>
      </c>
      <c r="Z279" s="19" t="str">
        <f ca="1">HYPERLINK("#"&amp;단가산출근거목록표!J2&amp;"!A"&amp;ROW(단가산출근거목록표!A33),"산근   30 →")</f>
        <v>산근   30 →</v>
      </c>
    </row>
    <row r="280" spans="1:26" ht="28.7" customHeight="1" x14ac:dyDescent="0.3">
      <c r="A280" s="9" t="s">
        <v>204</v>
      </c>
      <c r="B280" s="9" t="s">
        <v>193</v>
      </c>
      <c r="C280" s="86">
        <v>0.12</v>
      </c>
      <c r="D280" s="33" t="s">
        <v>14</v>
      </c>
      <c r="E280" s="62">
        <f t="shared" si="57"/>
        <v>24816</v>
      </c>
      <c r="F280" s="89">
        <f t="shared" si="57"/>
        <v>2977.7</v>
      </c>
      <c r="G280" s="90">
        <f>단가산출근거목록표!F13</f>
        <v>18084</v>
      </c>
      <c r="H280" s="92">
        <f t="shared" si="58"/>
        <v>2170</v>
      </c>
      <c r="I280" s="90">
        <f>단가산출근거목록표!G13</f>
        <v>2498</v>
      </c>
      <c r="J280" s="92">
        <f t="shared" si="59"/>
        <v>299.7</v>
      </c>
      <c r="K280" s="90">
        <f>단가산출근거목록표!H13</f>
        <v>4234</v>
      </c>
      <c r="L280" s="92">
        <f t="shared" si="60"/>
        <v>508</v>
      </c>
      <c r="M280" s="24" t="s">
        <v>1209</v>
      </c>
      <c r="N280" s="16" t="s">
        <v>1207</v>
      </c>
      <c r="O280" s="6" t="s">
        <v>1208</v>
      </c>
      <c r="P280" s="6" t="s">
        <v>1128</v>
      </c>
      <c r="Z280" s="19" t="str">
        <f ca="1">HYPERLINK("#"&amp;단가산출근거목록표!J2&amp;"!A"&amp;ROW(단가산출근거목록표!A13),"산근   10 →")</f>
        <v>산근   10 →</v>
      </c>
    </row>
    <row r="281" spans="1:26" ht="28.7" customHeight="1" x14ac:dyDescent="0.3">
      <c r="A281" s="24" t="s">
        <v>6</v>
      </c>
      <c r="B281" s="58"/>
      <c r="C281" s="58"/>
      <c r="D281" s="58"/>
      <c r="E281" s="58"/>
      <c r="F281" s="55">
        <f>J281+H281+L281</f>
        <v>72985</v>
      </c>
      <c r="G281" s="58"/>
      <c r="H281" s="55">
        <f>ROUNDDOWN(SUMIF(P273:P280,O281,H273:H280),0)</f>
        <v>61083</v>
      </c>
      <c r="I281" s="58"/>
      <c r="J281" s="55">
        <f>ROUNDDOWN(SUMIF(P273:P280,O281,J273:J280),0)</f>
        <v>4489</v>
      </c>
      <c r="K281" s="58"/>
      <c r="L281" s="55">
        <f>ROUNDDOWN(SUMIF(P273:P280,O281,L273:L280),0)</f>
        <v>7413</v>
      </c>
      <c r="M281" s="58"/>
      <c r="O281" s="6" t="s">
        <v>1128</v>
      </c>
    </row>
    <row r="282" spans="1:26" ht="28.7" customHeight="1" x14ac:dyDescent="0.3">
      <c r="A282" s="83" t="s">
        <v>161</v>
      </c>
      <c r="B282" s="83"/>
      <c r="C282" s="84"/>
      <c r="D282" s="84"/>
      <c r="E282" s="84"/>
      <c r="F282" s="84"/>
      <c r="G282" s="84"/>
      <c r="H282" s="84"/>
      <c r="I282" s="84"/>
      <c r="J282" s="84"/>
      <c r="K282" s="84"/>
      <c r="L282" s="84"/>
      <c r="M282" s="84"/>
      <c r="N282" s="36" t="str">
        <f>HYPERLINK("#N"&amp;ROW(N289),"_x0005_`BDCOD|B01208_x0007_`POSS|"&amp;ROW(N284)&amp;"_x0007_`POSE|"&amp;ROW(N289)&amp;"_x0007_`")</f>
        <v>_x0005_`BDCOD|B01208_x0007_`POSS|284_x0007_`POSE|289_x0007_`</v>
      </c>
    </row>
    <row r="283" spans="1:26" ht="28.7" customHeight="1" x14ac:dyDescent="0.3">
      <c r="A283" s="43" t="s">
        <v>76</v>
      </c>
      <c r="B283" s="43" t="s">
        <v>163</v>
      </c>
      <c r="C283" s="85"/>
      <c r="D283" s="87" t="s">
        <v>42</v>
      </c>
      <c r="E283" s="85"/>
      <c r="F283" s="85"/>
      <c r="G283" s="85"/>
      <c r="H283" s="85"/>
      <c r="I283" s="85"/>
      <c r="J283" s="85"/>
      <c r="K283" s="85"/>
      <c r="L283" s="85"/>
      <c r="M283" s="87" t="s">
        <v>164</v>
      </c>
      <c r="O283" s="6" t="s">
        <v>1307</v>
      </c>
    </row>
    <row r="284" spans="1:26" ht="28.7" customHeight="1" x14ac:dyDescent="0.3">
      <c r="A284" s="9" t="s">
        <v>1114</v>
      </c>
      <c r="B284" s="9" t="s">
        <v>1308</v>
      </c>
      <c r="C284" s="86">
        <v>0</v>
      </c>
      <c r="D284" s="33"/>
      <c r="E284" s="23">
        <v>0</v>
      </c>
      <c r="F284" s="10">
        <v>0</v>
      </c>
      <c r="G284" s="45"/>
      <c r="H284" s="10">
        <v>0</v>
      </c>
      <c r="I284" s="45"/>
      <c r="J284" s="23">
        <v>0</v>
      </c>
      <c r="K284" s="50"/>
      <c r="L284" s="23">
        <v>0</v>
      </c>
      <c r="M284" s="24" t="s">
        <v>1118</v>
      </c>
      <c r="N284" s="16" t="s">
        <v>1116</v>
      </c>
      <c r="O284" s="6" t="s">
        <v>1117</v>
      </c>
      <c r="P284" s="6" t="s">
        <v>1117</v>
      </c>
    </row>
    <row r="285" spans="1:26" ht="28.7" customHeight="1" x14ac:dyDescent="0.3">
      <c r="A285" s="9" t="s">
        <v>207</v>
      </c>
      <c r="B285" s="9" t="s">
        <v>232</v>
      </c>
      <c r="C285" s="86">
        <v>1</v>
      </c>
      <c r="D285" s="33" t="s">
        <v>42</v>
      </c>
      <c r="E285" s="62">
        <f t="shared" ref="E285:F289" si="61">I285+G285+K285</f>
        <v>29098</v>
      </c>
      <c r="F285" s="89">
        <f t="shared" si="61"/>
        <v>29098</v>
      </c>
      <c r="G285" s="90">
        <f>단가산출근거목록표!F21</f>
        <v>17543</v>
      </c>
      <c r="H285" s="92">
        <f>IF(C285=0,0,ROUNDDOWN(G285*C285,1))</f>
        <v>17543</v>
      </c>
      <c r="I285" s="90">
        <f>단가산출근거목록표!G21</f>
        <v>4874</v>
      </c>
      <c r="J285" s="92">
        <f>IF(C285=0,0,ROUNDDOWN(I285*C285,1))</f>
        <v>4874</v>
      </c>
      <c r="K285" s="90">
        <f>단가산출근거목록표!H21</f>
        <v>6681</v>
      </c>
      <c r="L285" s="92">
        <f>IF(C285=0,0,ROUNDDOWN(K285*C285,1))</f>
        <v>6681</v>
      </c>
      <c r="M285" s="24" t="s">
        <v>1216</v>
      </c>
      <c r="N285" s="16" t="s">
        <v>1214</v>
      </c>
      <c r="O285" s="6" t="s">
        <v>1215</v>
      </c>
      <c r="P285" s="6" t="s">
        <v>1128</v>
      </c>
      <c r="Z285" s="19" t="str">
        <f ca="1">HYPERLINK("#"&amp;단가산출근거목록표!J2&amp;"!A"&amp;ROW(단가산출근거목록표!A21),"산근   18 →")</f>
        <v>산근   18 →</v>
      </c>
    </row>
    <row r="286" spans="1:26" ht="28.7" customHeight="1" x14ac:dyDescent="0.3">
      <c r="A286" s="9" t="s">
        <v>653</v>
      </c>
      <c r="B286" s="9"/>
      <c r="C286" s="86">
        <v>0.13</v>
      </c>
      <c r="D286" s="33" t="s">
        <v>647</v>
      </c>
      <c r="E286" s="62">
        <f t="shared" si="61"/>
        <v>258935</v>
      </c>
      <c r="F286" s="89">
        <f t="shared" si="61"/>
        <v>33661.5</v>
      </c>
      <c r="G286" s="90">
        <f>노무비목록표!E6</f>
        <v>258935</v>
      </c>
      <c r="H286" s="91">
        <f>IF(C286=0,0,ROUNDDOWN(G286*C286,1))</f>
        <v>33661.5</v>
      </c>
      <c r="I286" s="59">
        <v>0</v>
      </c>
      <c r="J286" s="88">
        <f>IF(C286=0,0,ROUNDDOWN(I286*C286,1))</f>
        <v>0</v>
      </c>
      <c r="K286" s="59">
        <v>0</v>
      </c>
      <c r="L286" s="89">
        <f>IF(C286=0,0,ROUNDDOWN(K286*C286,1))</f>
        <v>0</v>
      </c>
      <c r="M286" s="24" t="s">
        <v>1150</v>
      </c>
      <c r="N286" s="16" t="s">
        <v>1148</v>
      </c>
      <c r="O286" s="6" t="s">
        <v>1149</v>
      </c>
      <c r="P286" s="6" t="s">
        <v>1128</v>
      </c>
      <c r="Z286" s="19" t="str">
        <f ca="1">HYPERLINK("#"&amp;노무비목록표!G2&amp;"!A"&amp;ROW(노무비목록표!A6),"노무    3 →")</f>
        <v>노무    3 →</v>
      </c>
    </row>
    <row r="287" spans="1:26" ht="28.7" customHeight="1" x14ac:dyDescent="0.3">
      <c r="A287" s="9" t="s">
        <v>662</v>
      </c>
      <c r="B287" s="9"/>
      <c r="C287" s="86">
        <v>0.04</v>
      </c>
      <c r="D287" s="33" t="s">
        <v>647</v>
      </c>
      <c r="E287" s="62">
        <f t="shared" si="61"/>
        <v>165545</v>
      </c>
      <c r="F287" s="89">
        <f t="shared" si="61"/>
        <v>6621.8</v>
      </c>
      <c r="G287" s="90">
        <f>노무비목록표!E9</f>
        <v>165545</v>
      </c>
      <c r="H287" s="91">
        <f>IF(C287=0,0,ROUNDDOWN(G287*C287,1))</f>
        <v>6621.8</v>
      </c>
      <c r="I287" s="59">
        <v>0</v>
      </c>
      <c r="J287" s="88">
        <f>IF(C287=0,0,ROUNDDOWN(I287*C287,1))</f>
        <v>0</v>
      </c>
      <c r="K287" s="59">
        <v>0</v>
      </c>
      <c r="L287" s="89">
        <f>IF(C287=0,0,ROUNDDOWN(K287*C287,1))</f>
        <v>0</v>
      </c>
      <c r="M287" s="24" t="s">
        <v>1127</v>
      </c>
      <c r="N287" s="16" t="s">
        <v>1125</v>
      </c>
      <c r="O287" s="6" t="s">
        <v>1126</v>
      </c>
      <c r="P287" s="6" t="s">
        <v>1128</v>
      </c>
      <c r="Z287" s="19" t="str">
        <f ca="1">HYPERLINK("#"&amp;노무비목록표!G2&amp;"!A"&amp;ROW(노무비목록표!A9),"노무    6 →")</f>
        <v>노무    6 →</v>
      </c>
    </row>
    <row r="288" spans="1:26" ht="28.7" customHeight="1" x14ac:dyDescent="0.3">
      <c r="A288" s="9" t="s">
        <v>423</v>
      </c>
      <c r="B288" s="9" t="s">
        <v>424</v>
      </c>
      <c r="C288" s="86">
        <v>0.25</v>
      </c>
      <c r="D288" s="33" t="s">
        <v>344</v>
      </c>
      <c r="E288" s="62">
        <f t="shared" si="61"/>
        <v>105178</v>
      </c>
      <c r="F288" s="89">
        <f t="shared" si="61"/>
        <v>26294.5</v>
      </c>
      <c r="G288" s="90">
        <f>중기목록표!F28</f>
        <v>55700</v>
      </c>
      <c r="H288" s="92">
        <f>IF(C288=0,0,ROUNDDOWN(G288*C288,1))</f>
        <v>13925</v>
      </c>
      <c r="I288" s="90">
        <f>중기목록표!G28</f>
        <v>18310</v>
      </c>
      <c r="J288" s="92">
        <f>IF(C288=0,0,ROUNDDOWN(I288*C288,1))</f>
        <v>4577.5</v>
      </c>
      <c r="K288" s="90">
        <f>중기목록표!H28</f>
        <v>31168</v>
      </c>
      <c r="L288" s="92">
        <f>IF(C288=0,0,ROUNDDOWN(K288*C288,1))</f>
        <v>7792</v>
      </c>
      <c r="M288" s="24" t="s">
        <v>1306</v>
      </c>
      <c r="N288" s="16" t="s">
        <v>1304</v>
      </c>
      <c r="O288" s="6" t="s">
        <v>1305</v>
      </c>
      <c r="P288" s="6" t="s">
        <v>1128</v>
      </c>
      <c r="Z288" s="19" t="str">
        <f ca="1">HYPERLINK("#"&amp;중기목록표!J2&amp;"!A"&amp;ROW(중기목록표!A28),"중기   25 →")</f>
        <v>중기   25 →</v>
      </c>
    </row>
    <row r="289" spans="1:26" ht="28.7" customHeight="1" x14ac:dyDescent="0.3">
      <c r="A289" s="9" t="s">
        <v>204</v>
      </c>
      <c r="B289" s="9" t="s">
        <v>193</v>
      </c>
      <c r="C289" s="86">
        <v>0.12</v>
      </c>
      <c r="D289" s="33" t="s">
        <v>14</v>
      </c>
      <c r="E289" s="62">
        <f t="shared" si="61"/>
        <v>24816</v>
      </c>
      <c r="F289" s="89">
        <f t="shared" si="61"/>
        <v>2977.7</v>
      </c>
      <c r="G289" s="90">
        <f>단가산출근거목록표!F13</f>
        <v>18084</v>
      </c>
      <c r="H289" s="92">
        <f>IF(C289=0,0,ROUNDDOWN(G289*C289,1))</f>
        <v>2170</v>
      </c>
      <c r="I289" s="90">
        <f>단가산출근거목록표!G13</f>
        <v>2498</v>
      </c>
      <c r="J289" s="92">
        <f>IF(C289=0,0,ROUNDDOWN(I289*C289,1))</f>
        <v>299.7</v>
      </c>
      <c r="K289" s="90">
        <f>단가산출근거목록표!H13</f>
        <v>4234</v>
      </c>
      <c r="L289" s="92">
        <f>IF(C289=0,0,ROUNDDOWN(K289*C289,1))</f>
        <v>508</v>
      </c>
      <c r="M289" s="24" t="s">
        <v>1209</v>
      </c>
      <c r="N289" s="16" t="s">
        <v>1207</v>
      </c>
      <c r="O289" s="6" t="s">
        <v>1208</v>
      </c>
      <c r="P289" s="6" t="s">
        <v>1128</v>
      </c>
      <c r="Z289" s="19" t="str">
        <f ca="1">HYPERLINK("#"&amp;단가산출근거목록표!J2&amp;"!A"&amp;ROW(단가산출근거목록표!A13),"산근   10 →")</f>
        <v>산근   10 →</v>
      </c>
    </row>
    <row r="290" spans="1:26" ht="28.7" customHeight="1" x14ac:dyDescent="0.3">
      <c r="A290" s="24" t="s">
        <v>6</v>
      </c>
      <c r="B290" s="58"/>
      <c r="C290" s="58"/>
      <c r="D290" s="58"/>
      <c r="E290" s="58"/>
      <c r="F290" s="55">
        <f>J290+H290+L290</f>
        <v>98653</v>
      </c>
      <c r="G290" s="58"/>
      <c r="H290" s="55">
        <f>ROUNDDOWN(SUMIF(P284:P289,O290,H284:H289),0)</f>
        <v>73921</v>
      </c>
      <c r="I290" s="58"/>
      <c r="J290" s="55">
        <f>ROUNDDOWN(SUMIF(P284:P289,O290,J284:J289),0)</f>
        <v>9751</v>
      </c>
      <c r="K290" s="58"/>
      <c r="L290" s="55">
        <f>ROUNDDOWN(SUMIF(P284:P289,O290,L284:L289),0)</f>
        <v>14981</v>
      </c>
      <c r="M290" s="58"/>
      <c r="O290" s="6" t="s">
        <v>1128</v>
      </c>
    </row>
  </sheetData>
  <mergeCells count="10">
    <mergeCell ref="A1:M1"/>
    <mergeCell ref="A3:A4"/>
    <mergeCell ref="B3:B4"/>
    <mergeCell ref="C3:C4"/>
    <mergeCell ref="D3:D4"/>
    <mergeCell ref="E3:F3"/>
    <mergeCell ref="G3:H3"/>
    <mergeCell ref="I3:J3"/>
    <mergeCell ref="K3:L3"/>
    <mergeCell ref="M3:M4"/>
  </mergeCells>
  <phoneticPr fontId="26" type="noConversion"/>
  <conditionalFormatting sqref="C5:M290">
    <cfRule type="expression" dxfId="3" priority="1" stopIfTrue="1">
      <formula>AND(C5&lt;&gt;0,INT(C5)=C5)</formula>
    </cfRule>
  </conditionalFormatting>
  <hyperlinks>
    <hyperlink ref="Z1" r:id="rId1" tooltip="설계예산시스템(STmate w24.04)으로 작성 하였으며,_x000a_엑셀 인쇄품질 600 dpi에 최적화 되어 있습니다._x000a_경영정보(주) http://www.stma.co.kr_x000a_Tel) 070-4350-0040_x000a_Fax) 0505-300-3948"/>
    <hyperlink ref="N1" r:id="rId2" tooltip="설계예산시스템(STmate w24.04)으로 작성 하였으며,_x000a_엑셀 인쇄품질 600 dpi에 최적화 되어 있습니다._x000a_경영정보(주) http://www.stma.co.kr_x000a_Tel) 070-4350-0040_x000a_Fax) 0505-300-3948"/>
  </hyperlinks>
  <printOptions horizontalCentered="1"/>
  <pageMargins left="0.78740157480314965" right="0.78740157480314965" top="0.59055118110236215" bottom="0.59055118110236215" header="0" footer="0.39370078740157477"/>
  <pageSetup paperSize="9" scale="73" fitToWidth="0" fitToHeight="0" orientation="landscape" r:id="rId3"/>
  <headerFooter alignWithMargins="0">
    <oddFooter xml:space="preserve">&amp;R&amp;"굴림체,"&amp;9 </oddFooter>
  </headerFooter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9"/>
  <sheetViews>
    <sheetView workbookViewId="0">
      <pane ySplit="3" topLeftCell="A4" activePane="bottomLeft" state="frozenSplit"/>
      <selection pane="bottomLeft" activeCell="A4" sqref="A4"/>
    </sheetView>
  </sheetViews>
  <sheetFormatPr defaultColWidth="9.125" defaultRowHeight="16.5" x14ac:dyDescent="0.3"/>
  <cols>
    <col min="1" max="1" width="10" style="5" customWidth="1"/>
    <col min="2" max="3" width="24.25" style="5" customWidth="1"/>
    <col min="4" max="4" width="5.5" style="5" customWidth="1"/>
    <col min="5" max="8" width="11.5" style="5" customWidth="1"/>
    <col min="9" max="9" width="10" style="5" customWidth="1"/>
    <col min="10" max="10" width="9.125" style="15" hidden="1" customWidth="1"/>
    <col min="11" max="11" width="9.125" style="17" customWidth="1"/>
    <col min="12" max="16384" width="9.125" style="5"/>
  </cols>
  <sheetData>
    <row r="1" spans="1:11" ht="24.95" customHeight="1" x14ac:dyDescent="0.3">
      <c r="A1" s="145" t="s">
        <v>167</v>
      </c>
      <c r="B1" s="135"/>
      <c r="C1" s="135"/>
      <c r="D1" s="135"/>
      <c r="E1" s="135"/>
      <c r="F1" s="135"/>
      <c r="G1" s="135"/>
      <c r="H1" s="135"/>
      <c r="I1" s="135"/>
      <c r="J1" s="4" t="s">
        <v>166</v>
      </c>
      <c r="K1" s="18" t="s">
        <v>166</v>
      </c>
    </row>
    <row r="2" spans="1:11" ht="22.35" customHeight="1" x14ac:dyDescent="0.3">
      <c r="A2" s="1" t="s">
        <v>1</v>
      </c>
      <c r="J2" s="21" t="str">
        <f ca="1">MID(CELL("filename",$A$1),FIND("]",CELL("filename",$A$1))+1,LEN(CELL("filename",$A$1)))</f>
        <v>단가산출근거목록표</v>
      </c>
    </row>
    <row r="3" spans="1:11" ht="22.35" customHeight="1" x14ac:dyDescent="0.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13" t="s">
        <v>10</v>
      </c>
      <c r="K3" s="19" t="str">
        <f>HYPERLINK("#'〓 목 차 〓'!B2","목차 →")</f>
        <v>목차 →</v>
      </c>
    </row>
    <row r="4" spans="1:11" ht="22.35" customHeight="1" x14ac:dyDescent="0.3">
      <c r="A4" s="8" t="s">
        <v>11</v>
      </c>
      <c r="B4" s="9" t="s">
        <v>168</v>
      </c>
      <c r="C4" s="9" t="s">
        <v>169</v>
      </c>
      <c r="D4" s="8" t="s">
        <v>14</v>
      </c>
      <c r="E4" s="55">
        <f>단가산출근거!C109</f>
        <v>11237</v>
      </c>
      <c r="F4" s="54">
        <f>단가산출근거!D109</f>
        <v>4243</v>
      </c>
      <c r="G4" s="63">
        <f>단가산출근거!E109</f>
        <v>5499</v>
      </c>
      <c r="H4" s="55">
        <f>단가산출근거!F109</f>
        <v>1495</v>
      </c>
      <c r="I4" s="14" t="s">
        <v>11</v>
      </c>
      <c r="J4" s="36" t="str">
        <f>"_x0007_`COD|D00006_x0005_`QTY1|1_x0005_`BQC|_x0005_`EQC|_x0005_`JDC|_x0005_`WQC|_x0005_`EDT|_x0005_`ADJ|F_x0005_`DET|"&amp;ROW(단가산출근거!A5)&amp;"_x0005_`"</f>
        <v>_x0007_`COD|D00006_x0005_`QTY1|1_x0005_`BQC|_x0005_`EQC|_x0005_`JDC|_x0005_`WQC|_x0005_`EDT|_x0005_`ADJ|F_x0005_`DET|5_x0005_`</v>
      </c>
      <c r="K4" s="19" t="str">
        <f ca="1">HYPERLINK("#"&amp;단가산출근거!G2&amp;"!A"&amp;ROW(단가산출근거!A5),"산근    1 →")</f>
        <v>산근    1 →</v>
      </c>
    </row>
    <row r="5" spans="1:11" ht="22.35" customHeight="1" x14ac:dyDescent="0.3">
      <c r="A5" s="8" t="s">
        <v>17</v>
      </c>
      <c r="B5" s="9" t="s">
        <v>172</v>
      </c>
      <c r="C5" s="9" t="s">
        <v>173</v>
      </c>
      <c r="D5" s="8" t="s">
        <v>14</v>
      </c>
      <c r="E5" s="55">
        <f>단가산출근거!C144</f>
        <v>2334</v>
      </c>
      <c r="F5" s="54">
        <f>단가산출근거!D144</f>
        <v>1487</v>
      </c>
      <c r="G5" s="63">
        <f>단가산출근거!E144</f>
        <v>410</v>
      </c>
      <c r="H5" s="55">
        <f>단가산출근거!F144</f>
        <v>437</v>
      </c>
      <c r="I5" s="14" t="s">
        <v>17</v>
      </c>
      <c r="J5" s="36" t="str">
        <f>"_x0007_`COD|D00009_x0005_`QTY1|1_x0005_`BQC|_x0005_`EQC|_x0005_`JDC|_x0005_`WQC|_x0005_`EDT|_x0005_`ADJ|F_x0005_`DET|"&amp;ROW(단가산출근거!A110)&amp;"_x0005_`"</f>
        <v>_x0007_`COD|D00009_x0005_`QTY1|1_x0005_`BQC|_x0005_`EQC|_x0005_`JDC|_x0005_`WQC|_x0005_`EDT|_x0005_`ADJ|F_x0005_`DET|110_x0005_`</v>
      </c>
      <c r="K5" s="19" t="str">
        <f ca="1">HYPERLINK("#"&amp;단가산출근거!G2&amp;"!A"&amp;ROW(단가산출근거!A110),"산근    2 →")</f>
        <v>산근    2 →</v>
      </c>
    </row>
    <row r="6" spans="1:11" ht="22.35" customHeight="1" x14ac:dyDescent="0.3">
      <c r="A6" s="8" t="s">
        <v>23</v>
      </c>
      <c r="B6" s="9" t="s">
        <v>176</v>
      </c>
      <c r="C6" s="9" t="s">
        <v>177</v>
      </c>
      <c r="D6" s="8" t="s">
        <v>14</v>
      </c>
      <c r="E6" s="55">
        <f>단가산출근거!C214</f>
        <v>35404</v>
      </c>
      <c r="F6" s="54">
        <f>단가산출근거!D214</f>
        <v>18430</v>
      </c>
      <c r="G6" s="63">
        <f>단가산출근거!E214</f>
        <v>6085</v>
      </c>
      <c r="H6" s="55">
        <f>단가산출근거!F214</f>
        <v>10889</v>
      </c>
      <c r="I6" s="14" t="s">
        <v>23</v>
      </c>
      <c r="J6" s="36" t="str">
        <f>"_x0007_`COD|D00042_x0005_`QTY1|1_x0005_`BQC|_x0005_`EQC|_x0005_`JDC|_x0005_`WQC|_x0005_`EDT|_x0005_`ADJ|F_x0005_`DET|"&amp;ROW(단가산출근거!A145)&amp;"_x0005_`"</f>
        <v>_x0007_`COD|D00042_x0005_`QTY1|1_x0005_`BQC|_x0005_`EQC|_x0005_`JDC|_x0005_`WQC|_x0005_`EDT|_x0005_`ADJ|F_x0005_`DET|145_x0005_`</v>
      </c>
      <c r="K6" s="19" t="str">
        <f ca="1">HYPERLINK("#"&amp;단가산출근거!G2&amp;"!A"&amp;ROW(단가산출근거!A145),"산근    3 →")</f>
        <v>산근    3 →</v>
      </c>
    </row>
    <row r="7" spans="1:11" ht="22.35" customHeight="1" x14ac:dyDescent="0.3">
      <c r="A7" s="8" t="s">
        <v>27</v>
      </c>
      <c r="B7" s="9" t="s">
        <v>180</v>
      </c>
      <c r="C7" s="9" t="s">
        <v>181</v>
      </c>
      <c r="D7" s="8" t="s">
        <v>14</v>
      </c>
      <c r="E7" s="55">
        <f>단가산출근거!C249</f>
        <v>7528</v>
      </c>
      <c r="F7" s="54">
        <f>단가산출근거!D249</f>
        <v>6216</v>
      </c>
      <c r="G7" s="63">
        <f>단가산출근거!E249</f>
        <v>1008</v>
      </c>
      <c r="H7" s="55">
        <f>단가산출근거!F249</f>
        <v>304</v>
      </c>
      <c r="I7" s="14" t="s">
        <v>27</v>
      </c>
      <c r="J7" s="36" t="str">
        <f>"_x0007_`COD|D00075_x0005_`QTY1|1_x0005_`BQC|_x0005_`EQC|_x0005_`JDC|_x0005_`WQC|_x0005_`EDT|_x0005_`ADJ|F_x0005_`DET|"&amp;ROW(단가산출근거!A215)&amp;"_x0005_`"</f>
        <v>_x0007_`COD|D00075_x0005_`QTY1|1_x0005_`BQC|_x0005_`EQC|_x0005_`JDC|_x0005_`WQC|_x0005_`EDT|_x0005_`ADJ|F_x0005_`DET|215_x0005_`</v>
      </c>
      <c r="K7" s="19" t="str">
        <f ca="1">HYPERLINK("#"&amp;단가산출근거!G2&amp;"!A"&amp;ROW(단가산출근거!A215),"산근    4 →")</f>
        <v>산근    4 →</v>
      </c>
    </row>
    <row r="8" spans="1:11" ht="22.35" customHeight="1" x14ac:dyDescent="0.3">
      <c r="A8" s="8" t="s">
        <v>33</v>
      </c>
      <c r="B8" s="9" t="s">
        <v>184</v>
      </c>
      <c r="C8" s="9" t="s">
        <v>185</v>
      </c>
      <c r="D8" s="8" t="s">
        <v>42</v>
      </c>
      <c r="E8" s="55">
        <f>단가산출근거!C284</f>
        <v>418</v>
      </c>
      <c r="F8" s="54">
        <f>단가산출근거!D284</f>
        <v>241</v>
      </c>
      <c r="G8" s="63">
        <f>단가산출근거!E284</f>
        <v>77</v>
      </c>
      <c r="H8" s="55">
        <f>단가산출근거!F284</f>
        <v>100</v>
      </c>
      <c r="I8" s="14" t="s">
        <v>33</v>
      </c>
      <c r="J8" s="36" t="str">
        <f>"_x0007_`COD|D00154_x0005_`QTY1|1_x0005_`BQC|_x0005_`EQC|_x0005_`JDC|_x0005_`WQC|_x0005_`EDT|_x0005_`ADJ|F_x0005_`DET|"&amp;ROW(단가산출근거!A250)&amp;"_x0005_`"</f>
        <v>_x0007_`COD|D00154_x0005_`QTY1|1_x0005_`BQC|_x0005_`EQC|_x0005_`JDC|_x0005_`WQC|_x0005_`EDT|_x0005_`ADJ|F_x0005_`DET|250_x0005_`</v>
      </c>
      <c r="K8" s="19" t="str">
        <f ca="1">HYPERLINK("#"&amp;단가산출근거!G2&amp;"!A"&amp;ROW(단가산출근거!A250),"산근    5 →")</f>
        <v>산근    5 →</v>
      </c>
    </row>
    <row r="9" spans="1:11" ht="22.35" customHeight="1" x14ac:dyDescent="0.3">
      <c r="A9" s="8" t="s">
        <v>39</v>
      </c>
      <c r="B9" s="9" t="s">
        <v>188</v>
      </c>
      <c r="C9" s="9" t="s">
        <v>189</v>
      </c>
      <c r="D9" s="8" t="s">
        <v>14</v>
      </c>
      <c r="E9" s="55">
        <f>단가산출근거!C354</f>
        <v>8328</v>
      </c>
      <c r="F9" s="54">
        <f>단가산출근거!D354</f>
        <v>6878</v>
      </c>
      <c r="G9" s="63">
        <f>단가산출근거!E354</f>
        <v>538</v>
      </c>
      <c r="H9" s="55">
        <f>단가산출근거!F354</f>
        <v>912</v>
      </c>
      <c r="I9" s="14" t="s">
        <v>39</v>
      </c>
      <c r="J9" s="36" t="str">
        <f>"_x0007_`COD|D00159_x0005_`QTY1|1_x0005_`BQC|_x0005_`EQC|_x0005_`JDC|_x0005_`WQC|_x0005_`EDT|_x0005_`ADJ|F_x0005_`DET|"&amp;ROW(단가산출근거!A285)&amp;"_x0005_`"</f>
        <v>_x0007_`COD|D00159_x0005_`QTY1|1_x0005_`BQC|_x0005_`EQC|_x0005_`JDC|_x0005_`WQC|_x0005_`EDT|_x0005_`ADJ|F_x0005_`DET|285_x0005_`</v>
      </c>
      <c r="K9" s="19" t="str">
        <f ca="1">HYPERLINK("#"&amp;단가산출근거!G2&amp;"!A"&amp;ROW(단가산출근거!A285),"산근    6 →")</f>
        <v>산근    6 →</v>
      </c>
    </row>
    <row r="10" spans="1:11" ht="22.35" customHeight="1" x14ac:dyDescent="0.3">
      <c r="A10" s="8" t="s">
        <v>45</v>
      </c>
      <c r="B10" s="9" t="s">
        <v>192</v>
      </c>
      <c r="C10" s="9" t="s">
        <v>193</v>
      </c>
      <c r="D10" s="8" t="s">
        <v>14</v>
      </c>
      <c r="E10" s="55">
        <f>단가산출근거!C424</f>
        <v>12701</v>
      </c>
      <c r="F10" s="54">
        <f>단가산출근거!D424</f>
        <v>7908</v>
      </c>
      <c r="G10" s="63">
        <f>단가산출근거!E424</f>
        <v>1963</v>
      </c>
      <c r="H10" s="55">
        <f>단가산출근거!F424</f>
        <v>2830</v>
      </c>
      <c r="I10" s="14" t="s">
        <v>45</v>
      </c>
      <c r="J10" s="36" t="str">
        <f>"_x0007_`COD|D00959_x0005_`QTY1|1_x0005_`BQC|_x0005_`EQC|_x0005_`JDC|_x0005_`WQC|_x0005_`EDT|_x0005_`ADJ|F_x0005_`DET|"&amp;ROW(단가산출근거!A355)&amp;"_x0005_`"</f>
        <v>_x0007_`COD|D00959_x0005_`QTY1|1_x0005_`BQC|_x0005_`EQC|_x0005_`JDC|_x0005_`WQC|_x0005_`EDT|_x0005_`ADJ|F_x0005_`DET|355_x0005_`</v>
      </c>
      <c r="K10" s="19" t="str">
        <f ca="1">HYPERLINK("#"&amp;단가산출근거!G2&amp;"!A"&amp;ROW(단가산출근거!A355),"산근    7 →")</f>
        <v>산근    7 →</v>
      </c>
    </row>
    <row r="11" spans="1:11" ht="22.35" customHeight="1" x14ac:dyDescent="0.3">
      <c r="A11" s="8" t="s">
        <v>50</v>
      </c>
      <c r="B11" s="9" t="s">
        <v>196</v>
      </c>
      <c r="C11" s="9" t="s">
        <v>197</v>
      </c>
      <c r="D11" s="8" t="s">
        <v>14</v>
      </c>
      <c r="E11" s="88">
        <f>단가산출근거!C459</f>
        <v>0</v>
      </c>
      <c r="F11" s="91">
        <f>단가산출근거!D459</f>
        <v>0</v>
      </c>
      <c r="G11" s="92">
        <f>단가산출근거!E459</f>
        <v>0</v>
      </c>
      <c r="H11" s="88">
        <f>단가산출근거!F459</f>
        <v>0</v>
      </c>
      <c r="I11" s="14" t="s">
        <v>50</v>
      </c>
      <c r="J11" s="36" t="str">
        <f>"_x0007_`COD|D01036_x0005_`QTY1|1_x0005_`BQC|_x0005_`EQC|_x0005_`JDC|_x0005_`WQC|_x0005_`EDT|_x0005_`ADJ|F_x0005_`DET|"&amp;ROW(단가산출근거!A425)&amp;"_x0005_`"</f>
        <v>_x0007_`COD|D01036_x0005_`QTY1|1_x0005_`BQC|_x0005_`EQC|_x0005_`JDC|_x0005_`WQC|_x0005_`EDT|_x0005_`ADJ|F_x0005_`DET|425_x0005_`</v>
      </c>
      <c r="K11" s="19" t="str">
        <f ca="1">HYPERLINK("#"&amp;단가산출근거!G2&amp;"!A"&amp;ROW(단가산출근거!A425),"산근    8 →")</f>
        <v>산근    8 →</v>
      </c>
    </row>
    <row r="12" spans="1:11" ht="22.35" customHeight="1" x14ac:dyDescent="0.3">
      <c r="A12" s="8" t="s">
        <v>54</v>
      </c>
      <c r="B12" s="9" t="s">
        <v>200</v>
      </c>
      <c r="C12" s="9" t="s">
        <v>201</v>
      </c>
      <c r="D12" s="8" t="s">
        <v>42</v>
      </c>
      <c r="E12" s="55">
        <f>단가산출근거!C494</f>
        <v>1290</v>
      </c>
      <c r="F12" s="54">
        <f>단가산출근거!D494</f>
        <v>716</v>
      </c>
      <c r="G12" s="63">
        <f>단가산출근거!E494</f>
        <v>231</v>
      </c>
      <c r="H12" s="55">
        <f>단가산출근거!F494</f>
        <v>343</v>
      </c>
      <c r="I12" s="14" t="s">
        <v>54</v>
      </c>
      <c r="J12" s="36" t="str">
        <f>"_x0007_`COD|D01038_x0005_`QTY1|1_x0005_`BQC|_x0005_`EQC|_x0005_`JDC|_x0005_`WQC|_x0005_`EDT|_x0005_`ADJ|F_x0005_`DET|"&amp;ROW(단가산출근거!A460)&amp;"_x0005_`"</f>
        <v>_x0007_`COD|D01038_x0005_`QTY1|1_x0005_`BQC|_x0005_`EQC|_x0005_`JDC|_x0005_`WQC|_x0005_`EDT|_x0005_`ADJ|F_x0005_`DET|460_x0005_`</v>
      </c>
      <c r="K12" s="19" t="str">
        <f ca="1">HYPERLINK("#"&amp;단가산출근거!G2&amp;"!A"&amp;ROW(단가산출근거!A460),"산근    9 →")</f>
        <v>산근    9 →</v>
      </c>
    </row>
    <row r="13" spans="1:11" ht="22.35" customHeight="1" x14ac:dyDescent="0.3">
      <c r="A13" s="8" t="s">
        <v>58</v>
      </c>
      <c r="B13" s="9" t="s">
        <v>204</v>
      </c>
      <c r="C13" s="9" t="s">
        <v>193</v>
      </c>
      <c r="D13" s="8" t="s">
        <v>14</v>
      </c>
      <c r="E13" s="55">
        <f>단가산출근거!C529</f>
        <v>24816</v>
      </c>
      <c r="F13" s="54">
        <f>단가산출근거!D529</f>
        <v>18084</v>
      </c>
      <c r="G13" s="63">
        <f>단가산출근거!E529</f>
        <v>2498</v>
      </c>
      <c r="H13" s="55">
        <f>단가산출근거!F529</f>
        <v>4234</v>
      </c>
      <c r="I13" s="14" t="s">
        <v>58</v>
      </c>
      <c r="J13" s="36" t="str">
        <f>"_x0007_`COD|D01124_x0005_`QTY1|1_x0005_`BQC|_x0005_`EQC|_x0005_`JDC|_x0005_`WQC|_x0005_`EDT|_x0005_`ADJ|F_x0005_`DET|"&amp;ROW(단가산출근거!A495)&amp;"_x0005_`"</f>
        <v>_x0007_`COD|D01124_x0005_`QTY1|1_x0005_`BQC|_x0005_`EQC|_x0005_`JDC|_x0005_`WQC|_x0005_`EDT|_x0005_`ADJ|F_x0005_`DET|495_x0005_`</v>
      </c>
      <c r="K13" s="19" t="str">
        <f ca="1">HYPERLINK("#"&amp;단가산출근거!G2&amp;"!A"&amp;ROW(단가산출근거!A495),"산근   10 →")</f>
        <v>산근   10 →</v>
      </c>
    </row>
    <row r="14" spans="1:11" ht="22.35" customHeight="1" x14ac:dyDescent="0.3">
      <c r="A14" s="8" t="s">
        <v>62</v>
      </c>
      <c r="B14" s="9" t="s">
        <v>207</v>
      </c>
      <c r="C14" s="9" t="s">
        <v>208</v>
      </c>
      <c r="D14" s="8" t="s">
        <v>42</v>
      </c>
      <c r="E14" s="55">
        <f>단가산출근거!C634</f>
        <v>30398</v>
      </c>
      <c r="F14" s="54">
        <f>단가산출근거!D634</f>
        <v>18289</v>
      </c>
      <c r="G14" s="63">
        <f>단가산출근거!E634</f>
        <v>5101</v>
      </c>
      <c r="H14" s="55">
        <f>단가산출근거!F634</f>
        <v>7008</v>
      </c>
      <c r="I14" s="14" t="s">
        <v>62</v>
      </c>
      <c r="J14" s="36" t="str">
        <f>"_x0007_`COD|D01129_x0005_`QTY1|1_x0005_`BQC|_x0005_`EQC|_x0005_`JDC|_x0005_`WQC|_x0005_`EDT|_x0005_`ADJ|F_x0005_`DET|"&amp;ROW(단가산출근거!A530)&amp;"_x0005_`"</f>
        <v>_x0007_`COD|D01129_x0005_`QTY1|1_x0005_`BQC|_x0005_`EQC|_x0005_`JDC|_x0005_`WQC|_x0005_`EDT|_x0005_`ADJ|F_x0005_`DET|530_x0005_`</v>
      </c>
      <c r="K14" s="19" t="str">
        <f ca="1">HYPERLINK("#"&amp;단가산출근거!G2&amp;"!A"&amp;ROW(단가산출근거!A530),"산근   11 →")</f>
        <v>산근   11 →</v>
      </c>
    </row>
    <row r="15" spans="1:11" ht="22.35" customHeight="1" x14ac:dyDescent="0.3">
      <c r="A15" s="8" t="s">
        <v>66</v>
      </c>
      <c r="B15" s="9" t="s">
        <v>211</v>
      </c>
      <c r="C15" s="9" t="s">
        <v>177</v>
      </c>
      <c r="D15" s="8" t="s">
        <v>14</v>
      </c>
      <c r="E15" s="55">
        <f>단가산출근거!C704</f>
        <v>35404</v>
      </c>
      <c r="F15" s="54">
        <f>단가산출근거!D704</f>
        <v>18430</v>
      </c>
      <c r="G15" s="63">
        <f>단가산출근거!E704</f>
        <v>6085</v>
      </c>
      <c r="H15" s="55">
        <f>단가산출근거!F704</f>
        <v>10889</v>
      </c>
      <c r="I15" s="14" t="s">
        <v>66</v>
      </c>
      <c r="J15" s="36" t="str">
        <f>"_x0007_`COD|D01251_x0005_`QTY1|1_x0005_`BQC|_x0005_`EQC|_x0005_`JDC|_x0005_`WQC|_x0005_`EDT|_x0005_`ADJ|F_x0005_`DET|"&amp;ROW(단가산출근거!A635)&amp;"_x0005_`"</f>
        <v>_x0007_`COD|D01251_x0005_`QTY1|1_x0005_`BQC|_x0005_`EQC|_x0005_`JDC|_x0005_`WQC|_x0005_`EDT|_x0005_`ADJ|F_x0005_`DET|635_x0005_`</v>
      </c>
      <c r="K15" s="19" t="str">
        <f ca="1">HYPERLINK("#"&amp;단가산출근거!G2&amp;"!A"&amp;ROW(단가산출근거!A635),"산근   12 →")</f>
        <v>산근   12 →</v>
      </c>
    </row>
    <row r="16" spans="1:11" ht="22.35" customHeight="1" x14ac:dyDescent="0.3">
      <c r="A16" s="8" t="s">
        <v>71</v>
      </c>
      <c r="B16" s="9" t="s">
        <v>214</v>
      </c>
      <c r="C16" s="9" t="s">
        <v>201</v>
      </c>
      <c r="D16" s="8" t="s">
        <v>14</v>
      </c>
      <c r="E16" s="55">
        <f>단가산출근거!C739</f>
        <v>1939</v>
      </c>
      <c r="F16" s="54">
        <f>단가산출근거!D739</f>
        <v>1116</v>
      </c>
      <c r="G16" s="63">
        <f>단가산출근거!E739</f>
        <v>360</v>
      </c>
      <c r="H16" s="55">
        <f>단가산출근거!F739</f>
        <v>463</v>
      </c>
      <c r="I16" s="14" t="s">
        <v>71</v>
      </c>
      <c r="J16" s="36" t="str">
        <f>"_x0007_`COD|D01341_x0005_`QTY1|1_x0005_`BQC|_x0005_`EQC|_x0005_`JDC|_x0005_`WQC|_x0005_`EDT|_x0005_`ADJ|F_x0005_`DET|"&amp;ROW(단가산출근거!A705)&amp;"_x0005_`"</f>
        <v>_x0007_`COD|D01341_x0005_`QTY1|1_x0005_`BQC|_x0005_`EQC|_x0005_`JDC|_x0005_`WQC|_x0005_`EDT|_x0005_`ADJ|F_x0005_`DET|705_x0005_`</v>
      </c>
      <c r="K16" s="19" t="str">
        <f ca="1">HYPERLINK("#"&amp;단가산출근거!G2&amp;"!A"&amp;ROW(단가산출근거!A705),"산근   13 →")</f>
        <v>산근   13 →</v>
      </c>
    </row>
    <row r="17" spans="1:11" ht="22.35" customHeight="1" x14ac:dyDescent="0.3">
      <c r="A17" s="8" t="s">
        <v>75</v>
      </c>
      <c r="B17" s="9" t="s">
        <v>217</v>
      </c>
      <c r="C17" s="9" t="s">
        <v>201</v>
      </c>
      <c r="D17" s="8" t="s">
        <v>14</v>
      </c>
      <c r="E17" s="55">
        <f>단가산출근거!C774</f>
        <v>1641</v>
      </c>
      <c r="F17" s="54">
        <f>단가산출근거!D774</f>
        <v>944</v>
      </c>
      <c r="G17" s="63">
        <f>단가산출근거!E774</f>
        <v>305</v>
      </c>
      <c r="H17" s="55">
        <f>단가산출근거!F774</f>
        <v>392</v>
      </c>
      <c r="I17" s="14" t="s">
        <v>75</v>
      </c>
      <c r="J17" s="36" t="str">
        <f>"_x0007_`COD|D01343_x0005_`QTY1|1_x0005_`BQC|_x0005_`EQC|_x0005_`JDC|_x0005_`WQC|_x0005_`EDT|_x0005_`ADJ|F_x0005_`DET|"&amp;ROW(단가산출근거!A740)&amp;"_x0005_`"</f>
        <v>_x0007_`COD|D01343_x0005_`QTY1|1_x0005_`BQC|_x0005_`EQC|_x0005_`JDC|_x0005_`WQC|_x0005_`EDT|_x0005_`ADJ|F_x0005_`DET|740_x0005_`</v>
      </c>
      <c r="K17" s="19" t="str">
        <f ca="1">HYPERLINK("#"&amp;단가산출근거!G2&amp;"!A"&amp;ROW(단가산출근거!A740),"산근   14 →")</f>
        <v>산근   14 →</v>
      </c>
    </row>
    <row r="18" spans="1:11" ht="22.35" customHeight="1" x14ac:dyDescent="0.3">
      <c r="A18" s="8" t="s">
        <v>80</v>
      </c>
      <c r="B18" s="9" t="s">
        <v>220</v>
      </c>
      <c r="C18" s="9" t="s">
        <v>201</v>
      </c>
      <c r="D18" s="8" t="s">
        <v>14</v>
      </c>
      <c r="E18" s="55">
        <f>단가산출근거!C809</f>
        <v>1421</v>
      </c>
      <c r="F18" s="54">
        <f>단가산출근거!D809</f>
        <v>818</v>
      </c>
      <c r="G18" s="63">
        <f>단가산출근거!E809</f>
        <v>264</v>
      </c>
      <c r="H18" s="55">
        <f>단가산출근거!F809</f>
        <v>339</v>
      </c>
      <c r="I18" s="14" t="s">
        <v>80</v>
      </c>
      <c r="J18" s="36" t="str">
        <f>"_x0007_`COD|D01344_x0005_`QTY1|1_x0005_`BQC|_x0005_`EQC|_x0005_`JDC|_x0005_`WQC|_x0005_`EDT|_x0005_`ADJ|F_x0005_`DET|"&amp;ROW(단가산출근거!A775)&amp;"_x0005_`"</f>
        <v>_x0007_`COD|D01344_x0005_`QTY1|1_x0005_`BQC|_x0005_`EQC|_x0005_`JDC|_x0005_`WQC|_x0005_`EDT|_x0005_`ADJ|F_x0005_`DET|775_x0005_`</v>
      </c>
      <c r="K18" s="19" t="str">
        <f ca="1">HYPERLINK("#"&amp;단가산출근거!G2&amp;"!A"&amp;ROW(단가산출근거!A775),"산근   15 →")</f>
        <v>산근   15 →</v>
      </c>
    </row>
    <row r="19" spans="1:11" ht="22.35" customHeight="1" x14ac:dyDescent="0.3">
      <c r="A19" s="8" t="s">
        <v>85</v>
      </c>
      <c r="B19" s="9" t="s">
        <v>223</v>
      </c>
      <c r="C19" s="9" t="s">
        <v>224</v>
      </c>
      <c r="D19" s="8" t="s">
        <v>14</v>
      </c>
      <c r="E19" s="55">
        <f>단가산출근거!C879</f>
        <v>23875</v>
      </c>
      <c r="F19" s="54">
        <f>단가산출근거!D879</f>
        <v>12397</v>
      </c>
      <c r="G19" s="63">
        <f>단가산출근거!E879</f>
        <v>4097</v>
      </c>
      <c r="H19" s="55">
        <f>단가산출근거!F879</f>
        <v>7381</v>
      </c>
      <c r="I19" s="14" t="s">
        <v>85</v>
      </c>
      <c r="J19" s="36" t="str">
        <f>"_x0007_`COD|D01874_x0005_`QTY1|1_x0005_`BQC|_x0005_`EQC|_x0005_`JDC|_x0005_`WQC|_x0005_`EDT|_x0005_`ADJ|F_x0005_`DET|"&amp;ROW(단가산출근거!A810)&amp;"_x0005_`"</f>
        <v>_x0007_`COD|D01874_x0005_`QTY1|1_x0005_`BQC|_x0005_`EQC|_x0005_`JDC|_x0005_`WQC|_x0005_`EDT|_x0005_`ADJ|F_x0005_`DET|810_x0005_`</v>
      </c>
      <c r="K19" s="19" t="str">
        <f ca="1">HYPERLINK("#"&amp;단가산출근거!G2&amp;"!A"&amp;ROW(단가산출근거!A810),"산근   16 →")</f>
        <v>산근   16 →</v>
      </c>
    </row>
    <row r="20" spans="1:11" ht="22.35" customHeight="1" x14ac:dyDescent="0.3">
      <c r="A20" s="8" t="s">
        <v>89</v>
      </c>
      <c r="B20" s="9" t="s">
        <v>227</v>
      </c>
      <c r="C20" s="9" t="s">
        <v>228</v>
      </c>
      <c r="D20" s="8" t="s">
        <v>229</v>
      </c>
      <c r="E20" s="55">
        <f>단가산출근거!C1019</f>
        <v>35460</v>
      </c>
      <c r="F20" s="54">
        <f>단가산출근거!D1019</f>
        <v>0</v>
      </c>
      <c r="G20" s="63">
        <f>단가산출근거!E1019</f>
        <v>0</v>
      </c>
      <c r="H20" s="55">
        <f>단가산출근거!F1019</f>
        <v>35460</v>
      </c>
      <c r="I20" s="14" t="s">
        <v>89</v>
      </c>
      <c r="J20" s="36" t="str">
        <f>"_x0007_`COD|D01989_x0005_`QTY1|1_x0005_`BQC|_x0005_`EQC|_x0005_`JDC|_x0005_`WQC|_x0005_`EDT|_x0005_`ADJ|T_x0005_`SBM|S_x0005_`ADJM|1_x0005_`ADJL|1_x0005_`ADJS|1_x0005_`DET|"&amp;ROW(단가산출근거!A880)&amp;"_x0005_`"</f>
        <v>_x0007_`COD|D01989_x0005_`QTY1|1_x0005_`BQC|_x0005_`EQC|_x0005_`JDC|_x0005_`WQC|_x0005_`EDT|_x0005_`ADJ|T_x0005_`SBM|S_x0005_`ADJM|1_x0005_`ADJL|1_x0005_`ADJS|1_x0005_`DET|880_x0005_`</v>
      </c>
      <c r="K20" s="19" t="str">
        <f ca="1">HYPERLINK("#"&amp;단가산출근거!G2&amp;"!A"&amp;ROW(단가산출근거!A880),"산근   17 →")</f>
        <v>산근   17 →</v>
      </c>
    </row>
    <row r="21" spans="1:11" ht="22.35" customHeight="1" x14ac:dyDescent="0.3">
      <c r="A21" s="8" t="s">
        <v>94</v>
      </c>
      <c r="B21" s="9" t="s">
        <v>207</v>
      </c>
      <c r="C21" s="9" t="s">
        <v>232</v>
      </c>
      <c r="D21" s="8" t="s">
        <v>42</v>
      </c>
      <c r="E21" s="55">
        <f>단가산출근거!C1124</f>
        <v>29098</v>
      </c>
      <c r="F21" s="54">
        <f>단가산출근거!D1124</f>
        <v>17543</v>
      </c>
      <c r="G21" s="63">
        <f>단가산출근거!E1124</f>
        <v>4874</v>
      </c>
      <c r="H21" s="55">
        <f>단가산출근거!F1124</f>
        <v>6681</v>
      </c>
      <c r="I21" s="14" t="s">
        <v>94</v>
      </c>
      <c r="J21" s="36" t="str">
        <f>"_x0007_`COD|D02119_x0005_`QTY1|1_x0005_`BQC|_x0005_`EQC|_x0005_`JDC|_x0005_`WQC|_x0005_`EDT|_x0005_`ADJ|F_x0005_`DET|"&amp;ROW(단가산출근거!A1020)&amp;"_x0005_`"</f>
        <v>_x0007_`COD|D02119_x0005_`QTY1|1_x0005_`BQC|_x0005_`EQC|_x0005_`JDC|_x0005_`WQC|_x0005_`EDT|_x0005_`ADJ|F_x0005_`DET|1020_x0005_`</v>
      </c>
      <c r="K21" s="19" t="str">
        <f ca="1">HYPERLINK("#"&amp;단가산출근거!G2&amp;"!A"&amp;ROW(단가산출근거!A1020),"산근   18 →")</f>
        <v>산근   18 →</v>
      </c>
    </row>
    <row r="22" spans="1:11" ht="22.35" customHeight="1" x14ac:dyDescent="0.3">
      <c r="A22" s="8" t="s">
        <v>99</v>
      </c>
      <c r="B22" s="9" t="s">
        <v>235</v>
      </c>
      <c r="C22" s="9" t="s">
        <v>201</v>
      </c>
      <c r="D22" s="8" t="s">
        <v>14</v>
      </c>
      <c r="E22" s="55">
        <f>단가산출근거!C1159</f>
        <v>1279</v>
      </c>
      <c r="F22" s="54">
        <f>단가산출근거!D1159</f>
        <v>736</v>
      </c>
      <c r="G22" s="63">
        <f>단가산출근거!E1159</f>
        <v>238</v>
      </c>
      <c r="H22" s="55">
        <f>단가산출근거!F1159</f>
        <v>305</v>
      </c>
      <c r="I22" s="14" t="s">
        <v>99</v>
      </c>
      <c r="J22" s="36" t="str">
        <f>"_x0007_`COD|D02139_x0005_`QTY1|1_x0005_`BQC|_x0005_`EQC|_x0005_`JDC|_x0005_`WQC|_x0005_`EDT|_x0005_`ADJ|F_x0005_`DET|"&amp;ROW(단가산출근거!A1125)&amp;"_x0005_`"</f>
        <v>_x0007_`COD|D02139_x0005_`QTY1|1_x0005_`BQC|_x0005_`EQC|_x0005_`JDC|_x0005_`WQC|_x0005_`EDT|_x0005_`ADJ|F_x0005_`DET|1125_x0005_`</v>
      </c>
      <c r="K22" s="19" t="str">
        <f ca="1">HYPERLINK("#"&amp;단가산출근거!G2&amp;"!A"&amp;ROW(단가산출근거!A1125),"산근   19 →")</f>
        <v>산근   19 →</v>
      </c>
    </row>
    <row r="23" spans="1:11" ht="22.35" customHeight="1" x14ac:dyDescent="0.3">
      <c r="A23" s="8" t="s">
        <v>103</v>
      </c>
      <c r="B23" s="9" t="s">
        <v>238</v>
      </c>
      <c r="C23" s="9"/>
      <c r="D23" s="8" t="s">
        <v>14</v>
      </c>
      <c r="E23" s="55">
        <f>단가산출근거!C1194</f>
        <v>1023</v>
      </c>
      <c r="F23" s="54">
        <f>단가산출근거!D1194</f>
        <v>589</v>
      </c>
      <c r="G23" s="63">
        <f>단가산출근거!E1194</f>
        <v>190</v>
      </c>
      <c r="H23" s="55">
        <f>단가산출근거!F1194</f>
        <v>244</v>
      </c>
      <c r="I23" s="14" t="s">
        <v>103</v>
      </c>
      <c r="J23" s="36" t="str">
        <f>"_x0007_`COD|D02145_x0005_`QTY1|1_x0005_`BQC|_x0005_`EQC|_x0005_`JDC|_x0005_`WQC|_x0005_`EDT|_x0005_`ADJ|F_x0005_`DET|"&amp;ROW(단가산출근거!A1160)&amp;"_x0005_`"</f>
        <v>_x0007_`COD|D02145_x0005_`QTY1|1_x0005_`BQC|_x0005_`EQC|_x0005_`JDC|_x0005_`WQC|_x0005_`EDT|_x0005_`ADJ|F_x0005_`DET|1160_x0005_`</v>
      </c>
      <c r="K23" s="19" t="str">
        <f ca="1">HYPERLINK("#"&amp;단가산출근거!G2&amp;"!A"&amp;ROW(단가산출근거!A1160),"산근   20 →")</f>
        <v>산근   20 →</v>
      </c>
    </row>
    <row r="24" spans="1:11" ht="22.35" customHeight="1" x14ac:dyDescent="0.3">
      <c r="A24" s="8" t="s">
        <v>107</v>
      </c>
      <c r="B24" s="9" t="s">
        <v>241</v>
      </c>
      <c r="C24" s="9" t="s">
        <v>242</v>
      </c>
      <c r="D24" s="8" t="s">
        <v>243</v>
      </c>
      <c r="E24" s="55">
        <f>단가산출근거!C1264</f>
        <v>535090</v>
      </c>
      <c r="F24" s="54">
        <f>단가산출근거!D1264</f>
        <v>0</v>
      </c>
      <c r="G24" s="63">
        <f>단가산출근거!E1264</f>
        <v>0</v>
      </c>
      <c r="H24" s="55">
        <f>단가산출근거!F1264</f>
        <v>535090</v>
      </c>
      <c r="I24" s="14" t="s">
        <v>107</v>
      </c>
      <c r="J24" s="36" t="str">
        <f>"_x0007_`COD|D02153_x0005_`QTY1|1_x0005_`BQC|_x0005_`EQC|_x0005_`JDC|_x0005_`WQC|_x0005_`EDT|_x0005_`ADJ|T_x0005_`SBM|S_x0005_`ADJM|1_x0005_`ADJL|1_x0005_`ADJS|1_x0005_`DET|"&amp;ROW(단가산출근거!A1195)&amp;"_x0005_`"</f>
        <v>_x0007_`COD|D02153_x0005_`QTY1|1_x0005_`BQC|_x0005_`EQC|_x0005_`JDC|_x0005_`WQC|_x0005_`EDT|_x0005_`ADJ|T_x0005_`SBM|S_x0005_`ADJM|1_x0005_`ADJL|1_x0005_`ADJS|1_x0005_`DET|1195_x0005_`</v>
      </c>
      <c r="K24" s="19" t="str">
        <f ca="1">HYPERLINK("#"&amp;단가산출근거!G2&amp;"!A"&amp;ROW(단가산출근거!A1195),"산근   21 →")</f>
        <v>산근   21 →</v>
      </c>
    </row>
    <row r="25" spans="1:11" ht="22.35" customHeight="1" x14ac:dyDescent="0.3">
      <c r="A25" s="8" t="s">
        <v>112</v>
      </c>
      <c r="B25" s="9" t="s">
        <v>246</v>
      </c>
      <c r="C25" s="9" t="s">
        <v>247</v>
      </c>
      <c r="D25" s="8" t="s">
        <v>14</v>
      </c>
      <c r="E25" s="55">
        <f>단가산출근거!C1369</f>
        <v>18383</v>
      </c>
      <c r="F25" s="54">
        <f>단가산출근거!D1369</f>
        <v>0</v>
      </c>
      <c r="G25" s="63">
        <f>단가산출근거!E1369</f>
        <v>0</v>
      </c>
      <c r="H25" s="55">
        <f>단가산출근거!F1369</f>
        <v>18383</v>
      </c>
      <c r="I25" s="14" t="s">
        <v>112</v>
      </c>
      <c r="J25" s="36" t="str">
        <f>"_x0007_`COD|D02154_x0005_`QTY1|1_x0005_`BQC|_x0005_`EQC|_x0005_`JDC|_x0005_`WQC|_x0005_`EDT|_x0005_`ADJ|T_x0005_`SBM|S_x0005_`ADJM|1_x0005_`ADJL|1_x0005_`ADJS|1_x0005_`DET|"&amp;ROW(단가산출근거!A1265)&amp;"_x0005_`"</f>
        <v>_x0007_`COD|D02154_x0005_`QTY1|1_x0005_`BQC|_x0005_`EQC|_x0005_`JDC|_x0005_`WQC|_x0005_`EDT|_x0005_`ADJ|T_x0005_`SBM|S_x0005_`ADJM|1_x0005_`ADJL|1_x0005_`ADJS|1_x0005_`DET|1265_x0005_`</v>
      </c>
      <c r="K25" s="19" t="str">
        <f ca="1">HYPERLINK("#"&amp;단가산출근거!G2&amp;"!A"&amp;ROW(단가산출근거!A1265),"산근   22 →")</f>
        <v>산근   22 →</v>
      </c>
    </row>
    <row r="26" spans="1:11" ht="22.35" customHeight="1" x14ac:dyDescent="0.3">
      <c r="A26" s="8" t="s">
        <v>117</v>
      </c>
      <c r="B26" s="9" t="s">
        <v>250</v>
      </c>
      <c r="C26" s="9" t="s">
        <v>247</v>
      </c>
      <c r="D26" s="8" t="s">
        <v>14</v>
      </c>
      <c r="E26" s="55">
        <f>단가산출근거!C1474</f>
        <v>19453</v>
      </c>
      <c r="F26" s="54">
        <f>단가산출근거!D1474</f>
        <v>0</v>
      </c>
      <c r="G26" s="63">
        <f>단가산출근거!E1474</f>
        <v>0</v>
      </c>
      <c r="H26" s="55">
        <f>단가산출근거!F1474</f>
        <v>19453</v>
      </c>
      <c r="I26" s="14" t="s">
        <v>117</v>
      </c>
      <c r="J26" s="36" t="str">
        <f>"_x0007_`COD|D02155_x0005_`QTY1|1_x0005_`BQC|_x0005_`EQC|_x0005_`JDC|_x0005_`WQC|_x0005_`EDT|_x0005_`ADJ|T_x0005_`SBM|S_x0005_`ADJM|1_x0005_`ADJL|1_x0005_`ADJS|1_x0005_`DET|"&amp;ROW(단가산출근거!A1370)&amp;"_x0005_`"</f>
        <v>_x0007_`COD|D02155_x0005_`QTY1|1_x0005_`BQC|_x0005_`EQC|_x0005_`JDC|_x0005_`WQC|_x0005_`EDT|_x0005_`ADJ|T_x0005_`SBM|S_x0005_`ADJM|1_x0005_`ADJL|1_x0005_`ADJS|1_x0005_`DET|1370_x0005_`</v>
      </c>
      <c r="K26" s="19" t="str">
        <f ca="1">HYPERLINK("#"&amp;단가산출근거!G2&amp;"!A"&amp;ROW(단가산출근거!A1370),"산근   23 →")</f>
        <v>산근   23 →</v>
      </c>
    </row>
    <row r="27" spans="1:11" ht="22.35" customHeight="1" x14ac:dyDescent="0.3">
      <c r="A27" s="8" t="s">
        <v>122</v>
      </c>
      <c r="B27" s="9" t="s">
        <v>253</v>
      </c>
      <c r="C27" s="9" t="s">
        <v>242</v>
      </c>
      <c r="D27" s="8" t="s">
        <v>243</v>
      </c>
      <c r="E27" s="55">
        <f>단가산출근거!C1544</f>
        <v>2499</v>
      </c>
      <c r="F27" s="54">
        <f>단가산출근거!D1544</f>
        <v>0</v>
      </c>
      <c r="G27" s="63">
        <f>단가산출근거!E1544</f>
        <v>0</v>
      </c>
      <c r="H27" s="55">
        <f>단가산출근거!F1544</f>
        <v>2499</v>
      </c>
      <c r="I27" s="14" t="s">
        <v>122</v>
      </c>
      <c r="J27" s="36" t="str">
        <f>"_x0007_`COD|D02157_x0005_`QTY1|1_x0005_`BQC|_x0005_`EQC|_x0005_`JDC|_x0005_`WQC|_x0005_`EDT|_x0005_`ADJ|T_x0005_`SBM|S_x0005_`ADJM|1_x0005_`ADJL|1_x0005_`ADJS|1_x0005_`DET|"&amp;ROW(단가산출근거!A1475)&amp;"_x0005_`"</f>
        <v>_x0007_`COD|D02157_x0005_`QTY1|1_x0005_`BQC|_x0005_`EQC|_x0005_`JDC|_x0005_`WQC|_x0005_`EDT|_x0005_`ADJ|T_x0005_`SBM|S_x0005_`ADJM|1_x0005_`ADJL|1_x0005_`ADJS|1_x0005_`DET|1475_x0005_`</v>
      </c>
      <c r="K27" s="19" t="str">
        <f ca="1">HYPERLINK("#"&amp;단가산출근거!G2&amp;"!A"&amp;ROW(단가산출근거!A1475),"산근   24 →")</f>
        <v>산근   24 →</v>
      </c>
    </row>
    <row r="28" spans="1:11" ht="22.35" customHeight="1" x14ac:dyDescent="0.3">
      <c r="A28" s="8" t="s">
        <v>125</v>
      </c>
      <c r="B28" s="9" t="s">
        <v>256</v>
      </c>
      <c r="C28" s="9" t="s">
        <v>257</v>
      </c>
      <c r="D28" s="8" t="s">
        <v>14</v>
      </c>
      <c r="E28" s="55">
        <f>단가산출근거!C1614</f>
        <v>2049</v>
      </c>
      <c r="F28" s="54">
        <f>단가산출근거!D1614</f>
        <v>906</v>
      </c>
      <c r="G28" s="63">
        <f>단가산출근거!E1614</f>
        <v>600</v>
      </c>
      <c r="H28" s="55">
        <f>단가산출근거!F1614</f>
        <v>543</v>
      </c>
      <c r="I28" s="14" t="s">
        <v>125</v>
      </c>
      <c r="J28" s="36" t="str">
        <f>"_x0007_`COD|D02172_x0005_`QTY1|1_x0005_`BQC|_x0005_`EQC|_x0005_`JDC|_x0005_`WQC|_x0005_`EDT|_x0005_`ADJ|F_x0005_`DET|"&amp;ROW(단가산출근거!A1545)&amp;"_x0005_`"</f>
        <v>_x0007_`COD|D02172_x0005_`QTY1|1_x0005_`BQC|_x0005_`EQC|_x0005_`JDC|_x0005_`WQC|_x0005_`EDT|_x0005_`ADJ|F_x0005_`DET|1545_x0005_`</v>
      </c>
      <c r="K28" s="19" t="str">
        <f ca="1">HYPERLINK("#"&amp;단가산출근거!G2&amp;"!A"&amp;ROW(단가산출근거!A1545),"산근   25 →")</f>
        <v>산근   25 →</v>
      </c>
    </row>
    <row r="29" spans="1:11" ht="22.35" customHeight="1" x14ac:dyDescent="0.3">
      <c r="A29" s="8" t="s">
        <v>128</v>
      </c>
      <c r="B29" s="9" t="s">
        <v>260</v>
      </c>
      <c r="C29" s="9" t="s">
        <v>261</v>
      </c>
      <c r="D29" s="8" t="s">
        <v>14</v>
      </c>
      <c r="E29" s="55">
        <f>단가산출근거!C1684</f>
        <v>2153</v>
      </c>
      <c r="F29" s="54">
        <f>단가산출근거!D1684</f>
        <v>916</v>
      </c>
      <c r="G29" s="63">
        <f>단가산출근거!E1684</f>
        <v>607</v>
      </c>
      <c r="H29" s="55">
        <f>단가산출근거!F1684</f>
        <v>630</v>
      </c>
      <c r="I29" s="14" t="s">
        <v>128</v>
      </c>
      <c r="J29" s="36" t="str">
        <f>"_x0007_`COD|D02173_x0005_`QTY1|1_x0005_`BQC|_x0005_`EQC|_x0005_`JDC|_x0005_`WQC|_x0005_`EDT|_x0005_`ADJ|F_x0005_`DET|"&amp;ROW(단가산출근거!A1615)&amp;"_x0005_`"</f>
        <v>_x0007_`COD|D02173_x0005_`QTY1|1_x0005_`BQC|_x0005_`EQC|_x0005_`JDC|_x0005_`WQC|_x0005_`EDT|_x0005_`ADJ|F_x0005_`DET|1615_x0005_`</v>
      </c>
      <c r="K29" s="19" t="str">
        <f ca="1">HYPERLINK("#"&amp;단가산출근거!G2&amp;"!A"&amp;ROW(단가산출근거!A1615),"산근   26 →")</f>
        <v>산근   26 →</v>
      </c>
    </row>
    <row r="30" spans="1:11" ht="22.35" customHeight="1" x14ac:dyDescent="0.3">
      <c r="A30" s="8" t="s">
        <v>131</v>
      </c>
      <c r="B30" s="9" t="s">
        <v>264</v>
      </c>
      <c r="C30" s="9" t="s">
        <v>265</v>
      </c>
      <c r="D30" s="8" t="s">
        <v>14</v>
      </c>
      <c r="E30" s="55">
        <f>단가산출근거!C1789</f>
        <v>6926</v>
      </c>
      <c r="F30" s="54">
        <f>단가산출근거!D1789</f>
        <v>4415</v>
      </c>
      <c r="G30" s="63">
        <f>단가산출근거!E1789</f>
        <v>827</v>
      </c>
      <c r="H30" s="55">
        <f>단가산출근거!F1789</f>
        <v>1684</v>
      </c>
      <c r="I30" s="14" t="s">
        <v>131</v>
      </c>
      <c r="J30" s="36" t="str">
        <f>"_x0007_`COD|D02174_x0005_`QTY1|1_x0005_`BQC|_x0005_`EQC|_x0005_`JDC|_x0005_`WQC|_x0005_`EDT|_x0005_`ADJ|F_x0005_`DET|"&amp;ROW(단가산출근거!A1685)&amp;"_x0005_`"</f>
        <v>_x0007_`COD|D02174_x0005_`QTY1|1_x0005_`BQC|_x0005_`EQC|_x0005_`JDC|_x0005_`WQC|_x0005_`EDT|_x0005_`ADJ|F_x0005_`DET|1685_x0005_`</v>
      </c>
      <c r="K30" s="19" t="str">
        <f ca="1">HYPERLINK("#"&amp;단가산출근거!G2&amp;"!A"&amp;ROW(단가산출근거!A1685),"산근   27 →")</f>
        <v>산근   27 →</v>
      </c>
    </row>
    <row r="31" spans="1:11" ht="22.35" customHeight="1" x14ac:dyDescent="0.3">
      <c r="A31" s="8" t="s">
        <v>135</v>
      </c>
      <c r="B31" s="9" t="s">
        <v>268</v>
      </c>
      <c r="C31" s="9" t="s">
        <v>265</v>
      </c>
      <c r="D31" s="8" t="s">
        <v>14</v>
      </c>
      <c r="E31" s="55">
        <f>단가산출근거!C1929</f>
        <v>7825</v>
      </c>
      <c r="F31" s="54">
        <f>단가산출근거!D1929</f>
        <v>5005</v>
      </c>
      <c r="G31" s="63">
        <f>단가산출근거!E1929</f>
        <v>902</v>
      </c>
      <c r="H31" s="55">
        <f>단가산출근거!F1929</f>
        <v>1918</v>
      </c>
      <c r="I31" s="14" t="s">
        <v>135</v>
      </c>
      <c r="J31" s="36" t="str">
        <f>"_x0007_`COD|D02175_x0005_`QTY1|1_x0005_`BQC|_x0005_`EQC|_x0005_`JDC|_x0005_`WQC|_x0005_`EDT|_x0005_`ADJ|F_x0005_`DET|"&amp;ROW(단가산출근거!A1790)&amp;"_x0005_`"</f>
        <v>_x0007_`COD|D02175_x0005_`QTY1|1_x0005_`BQC|_x0005_`EQC|_x0005_`JDC|_x0005_`WQC|_x0005_`EDT|_x0005_`ADJ|F_x0005_`DET|1790_x0005_`</v>
      </c>
      <c r="K31" s="19" t="str">
        <f ca="1">HYPERLINK("#"&amp;단가산출근거!G2&amp;"!A"&amp;ROW(단가산출근거!A1790),"산근   28 →")</f>
        <v>산근   28 →</v>
      </c>
    </row>
    <row r="32" spans="1:11" ht="22.35" customHeight="1" x14ac:dyDescent="0.3">
      <c r="A32" s="8" t="s">
        <v>139</v>
      </c>
      <c r="B32" s="9" t="s">
        <v>271</v>
      </c>
      <c r="C32" s="9" t="s">
        <v>272</v>
      </c>
      <c r="D32" s="8" t="s">
        <v>42</v>
      </c>
      <c r="E32" s="55">
        <f>단가산출근거!C1964</f>
        <v>36282</v>
      </c>
      <c r="F32" s="54">
        <f>단가산출근거!D1964</f>
        <v>31636</v>
      </c>
      <c r="G32" s="63">
        <f>단가산출근거!E1964</f>
        <v>3697</v>
      </c>
      <c r="H32" s="55">
        <f>단가산출근거!F1964</f>
        <v>949</v>
      </c>
      <c r="I32" s="14" t="s">
        <v>139</v>
      </c>
      <c r="J32" s="36" t="str">
        <f>"_x0007_`COD|D02195_x0005_`QTY1|1_x0005_`BQC|_x0005_`EQC|_x0005_`JDC|_x0005_`WQC|_x0005_`EDT|_x0005_`ADJ|F_x0005_`DET|"&amp;ROW(단가산출근거!A1930)&amp;"_x0005_`"</f>
        <v>_x0007_`COD|D02195_x0005_`QTY1|1_x0005_`BQC|_x0005_`EQC|_x0005_`JDC|_x0005_`WQC|_x0005_`EDT|_x0005_`ADJ|F_x0005_`DET|1930_x0005_`</v>
      </c>
      <c r="K32" s="19" t="str">
        <f ca="1">HYPERLINK("#"&amp;단가산출근거!G2&amp;"!A"&amp;ROW(단가산출근거!A1930),"산근   29 →")</f>
        <v>산근   29 →</v>
      </c>
    </row>
    <row r="33" spans="1:11" ht="22.35" customHeight="1" x14ac:dyDescent="0.3">
      <c r="A33" s="8" t="s">
        <v>143</v>
      </c>
      <c r="B33" s="9" t="s">
        <v>108</v>
      </c>
      <c r="C33" s="9" t="s">
        <v>275</v>
      </c>
      <c r="D33" s="8" t="s">
        <v>14</v>
      </c>
      <c r="E33" s="55">
        <f>단가산출근거!C2034</f>
        <v>67383</v>
      </c>
      <c r="F33" s="54">
        <f>단가산출근거!D2034</f>
        <v>66071</v>
      </c>
      <c r="G33" s="63">
        <f>단가산출근거!E2034</f>
        <v>1008</v>
      </c>
      <c r="H33" s="55">
        <f>단가산출근거!F2034</f>
        <v>304</v>
      </c>
      <c r="I33" s="14" t="s">
        <v>143</v>
      </c>
      <c r="J33" s="36" t="str">
        <f>"_x0007_`COD|D02200_x0005_`QTY1|1_x0005_`BQC|_x0005_`EQC|_x0005_`JDC|_x0005_`WQC|_x0005_`EDT|_x0005_`ADJ|F_x0005_`DET|"&amp;ROW(단가산출근거!A1965)&amp;"_x0005_`"</f>
        <v>_x0007_`COD|D02200_x0005_`QTY1|1_x0005_`BQC|_x0005_`EQC|_x0005_`JDC|_x0005_`WQC|_x0005_`EDT|_x0005_`ADJ|F_x0005_`DET|1965_x0005_`</v>
      </c>
      <c r="K33" s="19" t="str">
        <f ca="1">HYPERLINK("#"&amp;단가산출근거!G2&amp;"!A"&amp;ROW(단가산출근거!A1965),"산근   30 →")</f>
        <v>산근   30 →</v>
      </c>
    </row>
    <row r="34" spans="1:11" ht="22.35" customHeight="1" x14ac:dyDescent="0.3">
      <c r="A34" s="8" t="s">
        <v>148</v>
      </c>
      <c r="B34" s="9" t="s">
        <v>278</v>
      </c>
      <c r="C34" s="9" t="s">
        <v>242</v>
      </c>
      <c r="D34" s="8" t="s">
        <v>243</v>
      </c>
      <c r="E34" s="55">
        <f>단가산출근거!C2069</f>
        <v>55909</v>
      </c>
      <c r="F34" s="54">
        <f>단가산출근거!D2069</f>
        <v>0</v>
      </c>
      <c r="G34" s="63">
        <f>단가산출근거!E2069</f>
        <v>0</v>
      </c>
      <c r="H34" s="55">
        <f>단가산출근거!F2069</f>
        <v>55909</v>
      </c>
      <c r="I34" s="14" t="s">
        <v>148</v>
      </c>
      <c r="J34" s="36" t="str">
        <f>"_x0007_`COD|D02242_x0005_`QTY1|1_x0005_`BQC|_x0005_`EQC|_x0005_`JDC|_x0005_`WQC|_x0005_`EDT|_x0005_`ADJ|T_x0005_`SBM|S_x0005_`ADJM|1_x0005_`ADJL|1_x0005_`ADJS|1_x0005_`DET|"&amp;ROW(단가산출근거!A2035)&amp;"_x0005_`"</f>
        <v>_x0007_`COD|D02242_x0005_`QTY1|1_x0005_`BQC|_x0005_`EQC|_x0005_`JDC|_x0005_`WQC|_x0005_`EDT|_x0005_`ADJ|T_x0005_`SBM|S_x0005_`ADJM|1_x0005_`ADJL|1_x0005_`ADJS|1_x0005_`DET|2035_x0005_`</v>
      </c>
      <c r="K34" s="19" t="str">
        <f ca="1">HYPERLINK("#"&amp;단가산출근거!G2&amp;"!A"&amp;ROW(단가산출근거!A2035),"산근   31 →")</f>
        <v>산근   31 →</v>
      </c>
    </row>
    <row r="35" spans="1:11" ht="22.35" customHeight="1" x14ac:dyDescent="0.3">
      <c r="A35" s="8" t="s">
        <v>153</v>
      </c>
      <c r="B35" s="9" t="s">
        <v>271</v>
      </c>
      <c r="C35" s="9" t="s">
        <v>281</v>
      </c>
      <c r="D35" s="8" t="s">
        <v>42</v>
      </c>
      <c r="E35" s="55">
        <f>단가산출근거!C2104</f>
        <v>41739</v>
      </c>
      <c r="F35" s="54">
        <f>단가산출근거!D2104</f>
        <v>36155</v>
      </c>
      <c r="G35" s="63">
        <f>단가산출근거!E2104</f>
        <v>4500</v>
      </c>
      <c r="H35" s="55">
        <f>단가산출근거!F2104</f>
        <v>1084</v>
      </c>
      <c r="I35" s="14" t="s">
        <v>153</v>
      </c>
      <c r="J35" s="36" t="str">
        <f>"_x0007_`COD|D02246_x0005_`QTY1|1_x0005_`BQC|2024년 개정_x0005_`EQC|_x0005_`JDC|_x0005_`WQC|_x0005_`EDT|_x0005_`ADJ|T_x0005_`SBM| _x0005_`ADJM|1_x0005_`ADJL|1_x0005_`ADJS|1_x0005_`DET|"&amp;ROW(단가산출근거!A2070)&amp;"_x0005_`"</f>
        <v>_x0007_`COD|D02246_x0005_`QTY1|1_x0005_`BQC|2024년 개정_x0005_`EQC|_x0005_`JDC|_x0005_`WQC|_x0005_`EDT|_x0005_`ADJ|T_x0005_`SBM| _x0005_`ADJM|1_x0005_`ADJL|1_x0005_`ADJS|1_x0005_`DET|2070_x0005_`</v>
      </c>
      <c r="K35" s="19" t="str">
        <f ca="1">HYPERLINK("#"&amp;단가산출근거!G2&amp;"!A"&amp;ROW(단가산출근거!A2070),"산근   32 →")</f>
        <v>산근   32 →</v>
      </c>
    </row>
    <row r="36" spans="1:11" ht="22.35" customHeight="1" x14ac:dyDescent="0.3">
      <c r="A36" s="8" t="s">
        <v>157</v>
      </c>
      <c r="B36" s="9" t="s">
        <v>284</v>
      </c>
      <c r="C36" s="9" t="s">
        <v>285</v>
      </c>
      <c r="D36" s="8" t="s">
        <v>42</v>
      </c>
      <c r="E36" s="55">
        <f>단가산출근거!C2139</f>
        <v>5621</v>
      </c>
      <c r="F36" s="54">
        <f>단가산출근거!D2139</f>
        <v>5458</v>
      </c>
      <c r="G36" s="63">
        <f>단가산출근거!E2139</f>
        <v>0</v>
      </c>
      <c r="H36" s="55">
        <f>단가산출근거!F2139</f>
        <v>163</v>
      </c>
      <c r="I36" s="14" t="s">
        <v>157</v>
      </c>
      <c r="J36" s="36" t="str">
        <f>"_x0007_`COD|D02248_x0005_`QTY1|1_x0005_`BQC|2024년 개정_x0005_`EQC|_x0005_`JDC|_x0005_`WQC|_x0005_`EDT|_x0005_`ADJ|T_x0005_`SBM| _x0005_`ADJM|1_x0005_`ADJL|1_x0005_`ADJS|1_x0005_`DET|"&amp;ROW(단가산출근거!A2105)&amp;"_x0005_`"</f>
        <v>_x0007_`COD|D02248_x0005_`QTY1|1_x0005_`BQC|2024년 개정_x0005_`EQC|_x0005_`JDC|_x0005_`WQC|_x0005_`EDT|_x0005_`ADJ|T_x0005_`SBM| _x0005_`ADJM|1_x0005_`ADJL|1_x0005_`ADJS|1_x0005_`DET|2105_x0005_`</v>
      </c>
      <c r="K36" s="19" t="str">
        <f ca="1">HYPERLINK("#"&amp;단가산출근거!G2&amp;"!A"&amp;ROW(단가산출근거!A2105),"산근   33 →")</f>
        <v>산근   33 →</v>
      </c>
    </row>
    <row r="37" spans="1:11" ht="22.35" customHeight="1" x14ac:dyDescent="0.3">
      <c r="A37" s="8" t="s">
        <v>162</v>
      </c>
      <c r="B37" s="9" t="s">
        <v>288</v>
      </c>
      <c r="C37" s="9" t="s">
        <v>289</v>
      </c>
      <c r="D37" s="8" t="s">
        <v>229</v>
      </c>
      <c r="E37" s="55">
        <f>단가산출근거!C2209</f>
        <v>970987</v>
      </c>
      <c r="F37" s="54">
        <f>단가산출근거!D2209</f>
        <v>922307</v>
      </c>
      <c r="G37" s="63">
        <f>단가산출근거!E2209</f>
        <v>13680</v>
      </c>
      <c r="H37" s="55">
        <f>단가산출근거!F2209</f>
        <v>35000</v>
      </c>
      <c r="I37" s="14" t="s">
        <v>162</v>
      </c>
      <c r="J37" s="36" t="str">
        <f>"_x0007_`COD|D02251_x0005_`QTY1|1_x0005_`BQC|2024년 개정_x0005_`EQC|_x0005_`JDC|_x0005_`WQC|_x0005_`EDT|_x0005_`ADJ|T_x0005_`SBM| _x0005_`ADJM|1_x0005_`ADJL|1_x0005_`ADJS|1_x0005_`DET|"&amp;ROW(단가산출근거!A2140)&amp;"_x0005_`"</f>
        <v>_x0007_`COD|D02251_x0005_`QTY1|1_x0005_`BQC|2024년 개정_x0005_`EQC|_x0005_`JDC|_x0005_`WQC|_x0005_`EDT|_x0005_`ADJ|T_x0005_`SBM| _x0005_`ADJM|1_x0005_`ADJL|1_x0005_`ADJS|1_x0005_`DET|2140_x0005_`</v>
      </c>
      <c r="K37" s="19" t="str">
        <f ca="1">HYPERLINK("#"&amp;단가산출근거!G2&amp;"!A"&amp;ROW(단가산출근거!A2140),"산근   34 →")</f>
        <v>산근   34 →</v>
      </c>
    </row>
    <row r="38" spans="1:11" ht="22.35" customHeight="1" x14ac:dyDescent="0.3">
      <c r="A38" s="8" t="s">
        <v>292</v>
      </c>
      <c r="B38" s="9" t="s">
        <v>293</v>
      </c>
      <c r="C38" s="9" t="s">
        <v>242</v>
      </c>
      <c r="D38" s="8" t="s">
        <v>294</v>
      </c>
      <c r="E38" s="55">
        <f>단가산출근거!C2244</f>
        <v>15227</v>
      </c>
      <c r="F38" s="54">
        <f>단가산출근거!D2244</f>
        <v>0</v>
      </c>
      <c r="G38" s="63">
        <f>단가산출근거!E2244</f>
        <v>0</v>
      </c>
      <c r="H38" s="55">
        <f>단가산출근거!F2244</f>
        <v>15227</v>
      </c>
      <c r="I38" s="14" t="s">
        <v>292</v>
      </c>
      <c r="J38" s="36" t="str">
        <f>"_x0007_`COD|D02252_x0005_`QTY1|1_x0005_`BQC|_x0005_`EQC|_x0005_`JDC|_x0005_`WQC|_x0005_`EDT|_x0005_`ADJ|T_x0005_`SBM|S_x0005_`ADJM|1_x0005_`ADJL|1_x0005_`ADJS|1_x0005_`DET|"&amp;ROW(단가산출근거!A2210)&amp;"_x0005_`"</f>
        <v>_x0007_`COD|D02252_x0005_`QTY1|1_x0005_`BQC|_x0005_`EQC|_x0005_`JDC|_x0005_`WQC|_x0005_`EDT|_x0005_`ADJ|T_x0005_`SBM|S_x0005_`ADJM|1_x0005_`ADJL|1_x0005_`ADJS|1_x0005_`DET|2210_x0005_`</v>
      </c>
      <c r="K38" s="19" t="str">
        <f ca="1">HYPERLINK("#"&amp;단가산출근거!G2&amp;"!A"&amp;ROW(단가산출근거!A2210),"산근   35 →")</f>
        <v>산근   35 →</v>
      </c>
    </row>
    <row r="39" spans="1:11" ht="22.35" customHeight="1" x14ac:dyDescent="0.3">
      <c r="A39" s="8" t="s">
        <v>297</v>
      </c>
      <c r="B39" s="9" t="s">
        <v>238</v>
      </c>
      <c r="C39" s="9"/>
      <c r="D39" s="8" t="s">
        <v>14</v>
      </c>
      <c r="E39" s="55">
        <f>단가산출근거!C2314</f>
        <v>2275</v>
      </c>
      <c r="F39" s="54">
        <f>단가산출근거!D2314</f>
        <v>1309</v>
      </c>
      <c r="G39" s="63">
        <f>단가산출근거!E2314</f>
        <v>423</v>
      </c>
      <c r="H39" s="55">
        <f>단가산출근거!F2314</f>
        <v>543</v>
      </c>
      <c r="I39" s="14" t="s">
        <v>297</v>
      </c>
      <c r="J39" s="36" t="str">
        <f>"_x0007_`COD|D02253_x0005_`QTY1|1_x0005_`BQC|_x0005_`EQC|_x0005_`JDC|_x0005_`WQC|_x0005_`EDT|_x0005_`ADJ|F_x0005_`DET|"&amp;ROW(단가산출근거!A2245)&amp;"_x0005_`"</f>
        <v>_x0007_`COD|D02253_x0005_`QTY1|1_x0005_`BQC|_x0005_`EQC|_x0005_`JDC|_x0005_`WQC|_x0005_`EDT|_x0005_`ADJ|F_x0005_`DET|2245_x0005_`</v>
      </c>
      <c r="K39" s="19" t="str">
        <f ca="1">HYPERLINK("#"&amp;단가산출근거!G2&amp;"!A"&amp;ROW(단가산출근거!A2245),"산근   36 →")</f>
        <v>산근   36 →</v>
      </c>
    </row>
    <row r="40" spans="1:11" ht="22.35" customHeight="1" x14ac:dyDescent="0.3">
      <c r="A40" s="8" t="s">
        <v>300</v>
      </c>
      <c r="B40" s="9" t="s">
        <v>256</v>
      </c>
      <c r="C40" s="9" t="s">
        <v>301</v>
      </c>
      <c r="D40" s="8" t="s">
        <v>14</v>
      </c>
      <c r="E40" s="55">
        <f>단가산출근거!C2384</f>
        <v>2248</v>
      </c>
      <c r="F40" s="54">
        <f>단가산출근거!D2384</f>
        <v>994</v>
      </c>
      <c r="G40" s="63">
        <f>단가산출근거!E2384</f>
        <v>658</v>
      </c>
      <c r="H40" s="55">
        <f>단가산출근거!F2384</f>
        <v>596</v>
      </c>
      <c r="I40" s="14" t="s">
        <v>300</v>
      </c>
      <c r="J40" s="36" t="str">
        <f>"_x0007_`COD|D02254_x0005_`QTY1|1_x0005_`BQC|_x0005_`EQC|_x0005_`JDC|_x0005_`WQC|_x0005_`EDT|_x0005_`ADJ|F_x0005_`DET|"&amp;ROW(단가산출근거!A2315)&amp;"_x0005_`"</f>
        <v>_x0007_`COD|D02254_x0005_`QTY1|1_x0005_`BQC|_x0005_`EQC|_x0005_`JDC|_x0005_`WQC|_x0005_`EDT|_x0005_`ADJ|F_x0005_`DET|2315_x0005_`</v>
      </c>
      <c r="K40" s="19" t="str">
        <f ca="1">HYPERLINK("#"&amp;단가산출근거!G2&amp;"!A"&amp;ROW(단가산출근거!A2315),"산근   37 →")</f>
        <v>산근   37 →</v>
      </c>
    </row>
    <row r="41" spans="1:11" ht="22.35" customHeight="1" x14ac:dyDescent="0.3">
      <c r="A41" s="8" t="s">
        <v>304</v>
      </c>
      <c r="B41" s="9" t="s">
        <v>260</v>
      </c>
      <c r="C41" s="9" t="s">
        <v>305</v>
      </c>
      <c r="D41" s="8" t="s">
        <v>14</v>
      </c>
      <c r="E41" s="55">
        <f>단가산출근거!C2454</f>
        <v>2248</v>
      </c>
      <c r="F41" s="54">
        <f>단가산출근거!D2454</f>
        <v>957</v>
      </c>
      <c r="G41" s="63">
        <f>단가산출근거!E2454</f>
        <v>633</v>
      </c>
      <c r="H41" s="55">
        <f>단가산출근거!F2454</f>
        <v>658</v>
      </c>
      <c r="I41" s="14" t="s">
        <v>304</v>
      </c>
      <c r="J41" s="36" t="str">
        <f>"_x0007_`COD|D02255_x0005_`QTY1|1_x0005_`BQC|_x0005_`EQC|_x0005_`JDC|_x0005_`WQC|_x0005_`EDT|_x0005_`ADJ|F_x0005_`DET|"&amp;ROW(단가산출근거!A2385)&amp;"_x0005_`"</f>
        <v>_x0007_`COD|D02255_x0005_`QTY1|1_x0005_`BQC|_x0005_`EQC|_x0005_`JDC|_x0005_`WQC|_x0005_`EDT|_x0005_`ADJ|F_x0005_`DET|2385_x0005_`</v>
      </c>
      <c r="K41" s="19" t="str">
        <f ca="1">HYPERLINK("#"&amp;단가산출근거!G2&amp;"!A"&amp;ROW(단가산출근거!A2385),"산근   38 →")</f>
        <v>산근   38 →</v>
      </c>
    </row>
    <row r="42" spans="1:11" ht="22.35" customHeight="1" x14ac:dyDescent="0.3">
      <c r="A42" s="8" t="s">
        <v>308</v>
      </c>
      <c r="B42" s="9" t="s">
        <v>264</v>
      </c>
      <c r="C42" s="9" t="s">
        <v>309</v>
      </c>
      <c r="D42" s="8" t="s">
        <v>14</v>
      </c>
      <c r="E42" s="55">
        <f>단가산출근거!C2559</f>
        <v>7745</v>
      </c>
      <c r="F42" s="54">
        <f>단가산출근거!D2559</f>
        <v>4853</v>
      </c>
      <c r="G42" s="63">
        <f>단가산출근거!E2559</f>
        <v>1054</v>
      </c>
      <c r="H42" s="55">
        <f>단가산출근거!F2559</f>
        <v>1838</v>
      </c>
      <c r="I42" s="14" t="s">
        <v>308</v>
      </c>
      <c r="J42" s="36" t="str">
        <f>"_x0007_`COD|D02256_x0005_`QTY1|1_x0005_`BQC|_x0005_`EQC|_x0005_`JDC|_x0005_`WQC|_x0005_`EDT|_x0005_`ADJ|F_x0005_`DET|"&amp;ROW(단가산출근거!A2455)&amp;"_x0005_`"</f>
        <v>_x0007_`COD|D02256_x0005_`QTY1|1_x0005_`BQC|_x0005_`EQC|_x0005_`JDC|_x0005_`WQC|_x0005_`EDT|_x0005_`ADJ|F_x0005_`DET|2455_x0005_`</v>
      </c>
      <c r="K42" s="19" t="str">
        <f ca="1">HYPERLINK("#"&amp;단가산출근거!G2&amp;"!A"&amp;ROW(단가산출근거!A2455),"산근   39 →")</f>
        <v>산근   39 →</v>
      </c>
    </row>
    <row r="43" spans="1:11" ht="22.35" customHeight="1" x14ac:dyDescent="0.3">
      <c r="A43" s="8" t="s">
        <v>312</v>
      </c>
      <c r="B43" s="9" t="s">
        <v>268</v>
      </c>
      <c r="C43" s="9" t="s">
        <v>313</v>
      </c>
      <c r="D43" s="8" t="s">
        <v>14</v>
      </c>
      <c r="E43" s="55">
        <f>단가산출근거!C2699</f>
        <v>8750</v>
      </c>
      <c r="F43" s="54">
        <f>단가산출근거!D2699</f>
        <v>5514</v>
      </c>
      <c r="G43" s="63">
        <f>단가산출근거!E2699</f>
        <v>1176</v>
      </c>
      <c r="H43" s="55">
        <f>단가산출근거!F2699</f>
        <v>2060</v>
      </c>
      <c r="I43" s="14" t="s">
        <v>312</v>
      </c>
      <c r="J43" s="36" t="str">
        <f>"_x0007_`COD|D02257_x0005_`QTY1|1_x0005_`BQC|_x0005_`EQC|_x0005_`JDC|_x0005_`WQC|_x0005_`EDT|_x0005_`ADJ|F_x0005_`DET|"&amp;ROW(단가산출근거!A2560)&amp;"_x0005_`"</f>
        <v>_x0007_`COD|D02257_x0005_`QTY1|1_x0005_`BQC|_x0005_`EQC|_x0005_`JDC|_x0005_`WQC|_x0005_`EDT|_x0005_`ADJ|F_x0005_`DET|2560_x0005_`</v>
      </c>
      <c r="K43" s="19" t="str">
        <f ca="1">HYPERLINK("#"&amp;단가산출근거!G2&amp;"!A"&amp;ROW(단가산출근거!A2560),"산근   40 →")</f>
        <v>산근   40 →</v>
      </c>
    </row>
    <row r="44" spans="1:11" ht="22.35" customHeight="1" x14ac:dyDescent="0.3">
      <c r="A44" s="8" t="s">
        <v>316</v>
      </c>
      <c r="B44" s="9" t="s">
        <v>256</v>
      </c>
      <c r="C44" s="9" t="s">
        <v>317</v>
      </c>
      <c r="D44" s="8" t="s">
        <v>14</v>
      </c>
      <c r="E44" s="55">
        <f>단가산출근거!C2769</f>
        <v>1851</v>
      </c>
      <c r="F44" s="54">
        <f>단가산출근거!D2769</f>
        <v>818</v>
      </c>
      <c r="G44" s="63">
        <f>단가산출근거!E2769</f>
        <v>542</v>
      </c>
      <c r="H44" s="55">
        <f>단가산출근거!F2769</f>
        <v>491</v>
      </c>
      <c r="I44" s="14" t="s">
        <v>316</v>
      </c>
      <c r="J44" s="36" t="str">
        <f>"_x0007_`COD|D02258_x0005_`QTY1|1_x0005_`BQC|_x0005_`EQC|_x0005_`JDC|_x0005_`WQC|_x0005_`EDT|_x0005_`ADJ|F_x0005_`DET|"&amp;ROW(단가산출근거!A2700)&amp;"_x0005_`"</f>
        <v>_x0007_`COD|D02258_x0005_`QTY1|1_x0005_`BQC|_x0005_`EQC|_x0005_`JDC|_x0005_`WQC|_x0005_`EDT|_x0005_`ADJ|F_x0005_`DET|2700_x0005_`</v>
      </c>
      <c r="K44" s="19" t="str">
        <f ca="1">HYPERLINK("#"&amp;단가산출근거!G2&amp;"!A"&amp;ROW(단가산출근거!A2700),"산근   41 →")</f>
        <v>산근   41 →</v>
      </c>
    </row>
    <row r="45" spans="1:11" ht="22.35" customHeight="1" x14ac:dyDescent="0.3">
      <c r="A45" s="8" t="s">
        <v>320</v>
      </c>
      <c r="B45" s="9" t="s">
        <v>260</v>
      </c>
      <c r="C45" s="9" t="s">
        <v>321</v>
      </c>
      <c r="D45" s="8" t="s">
        <v>14</v>
      </c>
      <c r="E45" s="55">
        <f>단가산출근거!C2839</f>
        <v>2301</v>
      </c>
      <c r="F45" s="54">
        <f>단가산출근거!D2839</f>
        <v>979</v>
      </c>
      <c r="G45" s="63">
        <f>단가산출근거!E2839</f>
        <v>648</v>
      </c>
      <c r="H45" s="55">
        <f>단가산출근거!F2839</f>
        <v>674</v>
      </c>
      <c r="I45" s="14" t="s">
        <v>320</v>
      </c>
      <c r="J45" s="36" t="str">
        <f>"_x0007_`COD|D02259_x0005_`QTY1|1_x0005_`BQC|_x0005_`EQC|_x0005_`JDC|_x0005_`WQC|_x0005_`EDT|_x0005_`ADJ|F_x0005_`DET|"&amp;ROW(단가산출근거!A2770)&amp;"_x0005_`"</f>
        <v>_x0007_`COD|D02259_x0005_`QTY1|1_x0005_`BQC|_x0005_`EQC|_x0005_`JDC|_x0005_`WQC|_x0005_`EDT|_x0005_`ADJ|F_x0005_`DET|2770_x0005_`</v>
      </c>
      <c r="K45" s="19" t="str">
        <f ca="1">HYPERLINK("#"&amp;단가산출근거!G2&amp;"!A"&amp;ROW(단가산출근거!A2770),"산근   42 →")</f>
        <v>산근   42 →</v>
      </c>
    </row>
    <row r="46" spans="1:11" ht="22.35" customHeight="1" x14ac:dyDescent="0.3">
      <c r="A46" s="8" t="s">
        <v>324</v>
      </c>
      <c r="B46" s="9" t="s">
        <v>264</v>
      </c>
      <c r="C46" s="9" t="s">
        <v>325</v>
      </c>
      <c r="D46" s="8" t="s">
        <v>14</v>
      </c>
      <c r="E46" s="55">
        <f>단가산출근거!C2944</f>
        <v>8068</v>
      </c>
      <c r="F46" s="54">
        <f>단가산출근거!D2944</f>
        <v>5029</v>
      </c>
      <c r="G46" s="63">
        <f>단가산출근거!E2944</f>
        <v>1139</v>
      </c>
      <c r="H46" s="55">
        <f>단가산출근거!F2944</f>
        <v>1900</v>
      </c>
      <c r="I46" s="14" t="s">
        <v>324</v>
      </c>
      <c r="J46" s="36" t="str">
        <f>"_x0007_`COD|D02260_x0005_`QTY1|1_x0005_`BQC|_x0005_`EQC|_x0005_`JDC|_x0005_`WQC|_x0005_`EDT|_x0005_`ADJ|F_x0005_`DET|"&amp;ROW(단가산출근거!A2840)&amp;"_x0005_`"</f>
        <v>_x0007_`COD|D02260_x0005_`QTY1|1_x0005_`BQC|_x0005_`EQC|_x0005_`JDC|_x0005_`WQC|_x0005_`EDT|_x0005_`ADJ|F_x0005_`DET|2840_x0005_`</v>
      </c>
      <c r="K46" s="19" t="str">
        <f ca="1">HYPERLINK("#"&amp;단가산출근거!G2&amp;"!A"&amp;ROW(단가산출근거!A2840),"산근   43 →")</f>
        <v>산근   43 →</v>
      </c>
    </row>
    <row r="47" spans="1:11" ht="22.35" customHeight="1" x14ac:dyDescent="0.3">
      <c r="A47" s="8" t="s">
        <v>328</v>
      </c>
      <c r="B47" s="9" t="s">
        <v>268</v>
      </c>
      <c r="C47" s="9" t="s">
        <v>329</v>
      </c>
      <c r="D47" s="8" t="s">
        <v>14</v>
      </c>
      <c r="E47" s="55">
        <f>단가산출근거!C3084</f>
        <v>8879</v>
      </c>
      <c r="F47" s="54">
        <f>단가산출근거!D3084</f>
        <v>5584</v>
      </c>
      <c r="G47" s="63">
        <f>단가산출근거!E3084</f>
        <v>1215</v>
      </c>
      <c r="H47" s="55">
        <f>단가산출근거!F3084</f>
        <v>2080</v>
      </c>
      <c r="I47" s="14" t="s">
        <v>328</v>
      </c>
      <c r="J47" s="36" t="str">
        <f>"_x0007_`COD|D02261_x0005_`QTY1|1_x0005_`BQC|_x0005_`EQC|_x0005_`JDC|_x0005_`WQC|_x0005_`EDT|_x0005_`ADJ|F_x0005_`DET|"&amp;ROW(단가산출근거!A2945)&amp;"_x0005_`"</f>
        <v>_x0007_`COD|D02261_x0005_`QTY1|1_x0005_`BQC|_x0005_`EQC|_x0005_`JDC|_x0005_`WQC|_x0005_`EDT|_x0005_`ADJ|F_x0005_`DET|2945_x0005_`</v>
      </c>
      <c r="K47" s="19" t="str">
        <f ca="1">HYPERLINK("#"&amp;단가산출근거!G2&amp;"!A"&amp;ROW(단가산출근거!A2945),"산근   44 →")</f>
        <v>산근   44 →</v>
      </c>
    </row>
    <row r="48" spans="1:11" ht="22.35" customHeight="1" x14ac:dyDescent="0.3">
      <c r="A48" s="8" t="s">
        <v>332</v>
      </c>
      <c r="B48" s="9" t="s">
        <v>333</v>
      </c>
      <c r="C48" s="9" t="s">
        <v>334</v>
      </c>
      <c r="D48" s="8" t="s">
        <v>14</v>
      </c>
      <c r="E48" s="55">
        <f>단가산출근거!C3154</f>
        <v>27665</v>
      </c>
      <c r="F48" s="54">
        <f>단가산출근거!D3154</f>
        <v>22142</v>
      </c>
      <c r="G48" s="63">
        <f>단가산출근거!E3154</f>
        <v>2285</v>
      </c>
      <c r="H48" s="55">
        <f>단가산출근거!F3154</f>
        <v>3238</v>
      </c>
      <c r="I48" s="14" t="s">
        <v>332</v>
      </c>
      <c r="J48" s="36" t="str">
        <f>"_x0007_`COD|D02262_x0005_`QTY1|1_x0005_`BQC|24년_x0005_`EQC|_x0005_`JDC|_x0005_`WQC|_x0005_`EDT|_x0005_`ADJ|F_x0005_`DET|"&amp;ROW(단가산출근거!A3085)&amp;"_x0005_`"</f>
        <v>_x0007_`COD|D02262_x0005_`QTY1|1_x0005_`BQC|24년_x0005_`EQC|_x0005_`JDC|_x0005_`WQC|_x0005_`EDT|_x0005_`ADJ|F_x0005_`DET|3085_x0005_`</v>
      </c>
      <c r="K48" s="19" t="str">
        <f ca="1">HYPERLINK("#"&amp;단가산출근거!G2&amp;"!A"&amp;ROW(단가산출근거!A3085),"산근   45 →")</f>
        <v>산근   45 →</v>
      </c>
    </row>
    <row r="49" spans="1:11" ht="22.35" customHeight="1" x14ac:dyDescent="0.3">
      <c r="A49" s="8" t="s">
        <v>337</v>
      </c>
      <c r="B49" s="9" t="s">
        <v>238</v>
      </c>
      <c r="C49" s="9" t="s">
        <v>338</v>
      </c>
      <c r="D49" s="8" t="s">
        <v>14</v>
      </c>
      <c r="E49" s="55">
        <f>단가산출근거!C3294</f>
        <v>3908</v>
      </c>
      <c r="F49" s="54">
        <f>단가산출근거!D3294</f>
        <v>2501</v>
      </c>
      <c r="G49" s="63">
        <f>단가산출근거!E3294</f>
        <v>587</v>
      </c>
      <c r="H49" s="55">
        <f>단가산출근거!F3294</f>
        <v>820</v>
      </c>
      <c r="I49" s="14" t="s">
        <v>337</v>
      </c>
      <c r="J49" s="36" t="str">
        <f>"_x0007_`COD|D02263_x0005_`QTY1|1_x0005_`BQC|_x0005_`EQC|_x0005_`JDC|_x0005_`WQC|_x0005_`EDT|_x0005_`ADJ|F_x0005_`DET|"&amp;ROW(단가산출근거!A3155)&amp;"_x0005_`"</f>
        <v>_x0007_`COD|D02263_x0005_`QTY1|1_x0005_`BQC|_x0005_`EQC|_x0005_`JDC|_x0005_`WQC|_x0005_`EDT|_x0005_`ADJ|F_x0005_`DET|3155_x0005_`</v>
      </c>
      <c r="K49" s="19" t="str">
        <f ca="1">HYPERLINK("#"&amp;단가산출근거!G2&amp;"!A"&amp;ROW(단가산출근거!A3155),"산근   46 →")</f>
        <v>산근   46 →</v>
      </c>
    </row>
  </sheetData>
  <mergeCells count="1">
    <mergeCell ref="A1:I1"/>
  </mergeCells>
  <phoneticPr fontId="26" type="noConversion"/>
  <hyperlinks>
    <hyperlink ref="K1" r:id="rId1" tooltip="설계예산시스템(STmate w24.04)으로 작성 하였으며,_x000a_엑셀 인쇄품질 600 dpi에 최적화 되어 있습니다._x000a_경영정보(주) http://www.stma.co.kr_x000a_Tel) 070-4350-0040_x000a_Fax) 0505-300-3948"/>
    <hyperlink ref="J1" r:id="rId2" tooltip="설계예산시스템(STmate w24.04)으로 작성 하였으며,_x000a_엑셀 인쇄품질 600 dpi에 최적화 되어 있습니다._x000a_경영정보(주) http://www.stma.co.kr_x000a_Tel) 070-4350-0040_x000a_Fax) 0505-300-3948"/>
  </hyperlinks>
  <printOptions horizontalCentered="1"/>
  <pageMargins left="0.78740157480314965" right="0.78740157480314965" top="0.59055118110236215" bottom="0.55118110236220474" header="0" footer="0.35433070866141736"/>
  <pageSetup paperSize="9" scale="98" fitToWidth="0" fitToHeight="0" orientation="landscape" r:id="rId3"/>
  <headerFooter alignWithMargins="0">
    <oddFooter xml:space="preserve">&amp;R&amp;"굴림체,"&amp;9 </oddFooter>
  </headerFooter>
  <legacy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S3294"/>
  <sheetViews>
    <sheetView workbookViewId="0">
      <pane ySplit="4" topLeftCell="A5" activePane="bottomLeft" state="frozenSplit"/>
      <selection pane="bottomLeft" activeCell="A5" sqref="A5"/>
    </sheetView>
  </sheetViews>
  <sheetFormatPr defaultColWidth="9.125" defaultRowHeight="16.5" x14ac:dyDescent="0.3"/>
  <cols>
    <col min="1" max="1" width="10" style="5" customWidth="1"/>
    <col min="2" max="2" width="64.75" style="5" customWidth="1"/>
    <col min="3" max="6" width="10" style="5" customWidth="1"/>
    <col min="7" max="7" width="9.125" style="93" hidden="1" customWidth="1"/>
    <col min="8" max="23" width="2.5" style="5" customWidth="1"/>
    <col min="24" max="24" width="9.125" style="5" customWidth="1"/>
    <col min="25" max="25" width="9.125" style="17" customWidth="1"/>
    <col min="26" max="45" width="4" style="5" customWidth="1"/>
    <col min="46" max="16384" width="9.125" style="5"/>
  </cols>
  <sheetData>
    <row r="1" spans="1:45" ht="24.95" customHeight="1" x14ac:dyDescent="0.3">
      <c r="A1" s="145" t="s">
        <v>165</v>
      </c>
      <c r="B1" s="135"/>
      <c r="C1" s="135"/>
      <c r="D1" s="135"/>
      <c r="E1" s="135"/>
      <c r="F1" s="135"/>
      <c r="G1" s="4" t="s">
        <v>166</v>
      </c>
      <c r="Y1" s="18" t="s">
        <v>166</v>
      </c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</row>
    <row r="2" spans="1:45" ht="12.6" customHeight="1" x14ac:dyDescent="0.3">
      <c r="A2" s="1" t="s">
        <v>1</v>
      </c>
      <c r="G2" s="21" t="str">
        <f ca="1">MID(CELL("filename",$A$1),FIND("]",CELL("filename",$A$1))+1,LEN(CELL("filename",$A$1)))</f>
        <v>단가산출근거</v>
      </c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  <c r="AP2" s="109"/>
      <c r="AQ2" s="109"/>
      <c r="AR2" s="109"/>
      <c r="AS2" s="109"/>
    </row>
    <row r="3" spans="1:45" ht="12.6" customHeight="1" x14ac:dyDescent="0.3">
      <c r="A3" s="7" t="s">
        <v>1309</v>
      </c>
      <c r="B3" s="7" t="s">
        <v>1311</v>
      </c>
      <c r="C3" s="157" t="s">
        <v>6</v>
      </c>
      <c r="D3" s="157" t="s">
        <v>7</v>
      </c>
      <c r="E3" s="157" t="s">
        <v>8</v>
      </c>
      <c r="F3" s="148" t="s">
        <v>9</v>
      </c>
      <c r="Z3" s="160" t="s">
        <v>340</v>
      </c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61"/>
      <c r="AR3" s="161"/>
      <c r="AS3" s="161"/>
    </row>
    <row r="4" spans="1:45" ht="12.6" customHeight="1" x14ac:dyDescent="0.3">
      <c r="A4" s="159" t="s">
        <v>1310</v>
      </c>
      <c r="B4" s="152"/>
      <c r="C4" s="156"/>
      <c r="D4" s="156"/>
      <c r="E4" s="156"/>
      <c r="F4" s="149"/>
      <c r="H4" s="20" t="s">
        <v>1312</v>
      </c>
      <c r="I4" s="20" t="s">
        <v>1313</v>
      </c>
      <c r="J4" s="20" t="s">
        <v>431</v>
      </c>
      <c r="K4" s="20" t="s">
        <v>474</v>
      </c>
      <c r="L4" s="20" t="s">
        <v>1314</v>
      </c>
      <c r="Y4" s="19" t="str">
        <f>HYPERLINK("#'〓 목 차 〓'!B2","목차 →")</f>
        <v>목차 →</v>
      </c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61"/>
      <c r="AK4" s="161"/>
      <c r="AL4" s="161"/>
      <c r="AM4" s="161"/>
      <c r="AN4" s="161"/>
      <c r="AO4" s="161"/>
      <c r="AP4" s="161"/>
      <c r="AQ4" s="161"/>
      <c r="AR4" s="161"/>
      <c r="AS4" s="161"/>
    </row>
    <row r="5" spans="1:45" ht="12.6" customHeight="1" x14ac:dyDescent="0.3">
      <c r="A5" s="95" t="s">
        <v>11</v>
      </c>
      <c r="B5" s="96" t="s">
        <v>11</v>
      </c>
      <c r="C5" s="158">
        <f>C109</f>
        <v>11237</v>
      </c>
      <c r="D5" s="158">
        <f>D109</f>
        <v>4243</v>
      </c>
      <c r="E5" s="158">
        <f>E109</f>
        <v>5499</v>
      </c>
      <c r="F5" s="158">
        <f>F109</f>
        <v>1495</v>
      </c>
      <c r="G5" s="36" t="str">
        <f>HYPERLINK("#G"&amp;ROW(G94),"_x0005_`BDCOD|D00006_x0007_`POSS|"&amp;ROW(G7)&amp;"_x0007_`POSE|"&amp;ROW(G94)&amp;"_x0007_`")</f>
        <v>_x0005_`BDCOD|D00006_x0007_`POSS|7_x0007_`POSE|94_x0007_`</v>
      </c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</row>
    <row r="6" spans="1:45" ht="12.6" customHeight="1" x14ac:dyDescent="0.3">
      <c r="A6" s="84"/>
      <c r="B6" s="96" t="s">
        <v>1315</v>
      </c>
      <c r="C6" s="141"/>
      <c r="D6" s="141"/>
      <c r="E6" s="141"/>
      <c r="F6" s="141"/>
      <c r="M6" s="20" t="s">
        <v>1316</v>
      </c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</row>
    <row r="7" spans="1:45" ht="12.6" customHeight="1" x14ac:dyDescent="0.3">
      <c r="A7" s="78"/>
      <c r="B7" s="78"/>
      <c r="C7" s="98"/>
      <c r="D7" s="98"/>
      <c r="E7" s="98"/>
      <c r="F7" s="98"/>
      <c r="G7" s="16" t="s">
        <v>1317</v>
      </c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09"/>
      <c r="AO7" s="109"/>
      <c r="AP7" s="109"/>
      <c r="AQ7" s="109"/>
      <c r="AR7" s="109"/>
      <c r="AS7" s="109"/>
    </row>
    <row r="8" spans="1:45" ht="12.6" customHeight="1" x14ac:dyDescent="0.3">
      <c r="A8" s="68"/>
      <c r="B8" s="77" t="s">
        <v>1319</v>
      </c>
      <c r="C8" s="78"/>
      <c r="D8" s="78"/>
      <c r="E8" s="78"/>
      <c r="F8" s="78"/>
      <c r="G8" s="16" t="s">
        <v>1318</v>
      </c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  <c r="AL8" s="109"/>
      <c r="AM8" s="109"/>
      <c r="AN8" s="109"/>
      <c r="AO8" s="109"/>
      <c r="AP8" s="109"/>
      <c r="AQ8" s="109"/>
      <c r="AR8" s="109"/>
      <c r="AS8" s="109"/>
    </row>
    <row r="9" spans="1:45" ht="12.6" customHeight="1" x14ac:dyDescent="0.3">
      <c r="A9" s="78"/>
      <c r="B9" s="78"/>
      <c r="C9" s="78"/>
      <c r="D9" s="78"/>
      <c r="E9" s="78"/>
      <c r="F9" s="78"/>
      <c r="G9" s="16" t="s">
        <v>1317</v>
      </c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09"/>
      <c r="AO9" s="109"/>
      <c r="AP9" s="109"/>
      <c r="AQ9" s="109"/>
      <c r="AR9" s="109"/>
      <c r="AS9" s="109"/>
    </row>
    <row r="10" spans="1:45" ht="12.6" customHeight="1" x14ac:dyDescent="0.3">
      <c r="A10" s="78"/>
      <c r="B10" s="78"/>
      <c r="C10" s="78"/>
      <c r="D10" s="78"/>
      <c r="E10" s="78"/>
      <c r="F10" s="78"/>
      <c r="G10" s="16" t="s">
        <v>1317</v>
      </c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09"/>
    </row>
    <row r="11" spans="1:45" ht="12.6" customHeight="1" x14ac:dyDescent="0.3">
      <c r="A11" s="68"/>
      <c r="B11" s="77" t="s">
        <v>1321</v>
      </c>
      <c r="C11" s="78"/>
      <c r="D11" s="78"/>
      <c r="E11" s="78"/>
      <c r="F11" s="78"/>
      <c r="G11" s="16" t="s">
        <v>1320</v>
      </c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09"/>
    </row>
    <row r="12" spans="1:45" ht="12.6" customHeight="1" x14ac:dyDescent="0.3">
      <c r="A12" s="78"/>
      <c r="B12" s="78"/>
      <c r="C12" s="78"/>
      <c r="D12" s="78"/>
      <c r="E12" s="78"/>
      <c r="F12" s="78"/>
      <c r="G12" s="16" t="s">
        <v>1317</v>
      </c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</row>
    <row r="13" spans="1:45" ht="12.6" customHeight="1" x14ac:dyDescent="0.3">
      <c r="A13" s="68" t="s">
        <v>1323</v>
      </c>
      <c r="B13" s="97" t="str">
        <f>"   폭약  "&amp;Z13&amp;" Kg * "&amp;TEXT(I13,"#,##0"&amp;IF(I13&lt;&gt;INT(I13),".###",""))&amp;" = "&amp;TEXT(C13,"#,##0.0")&amp;""</f>
        <v xml:space="preserve">   폭약  0.31 Kg * 12,712 = 3,940.7</v>
      </c>
      <c r="C13" s="99">
        <f>E13+D13+F13</f>
        <v>3940.7</v>
      </c>
      <c r="D13" s="99">
        <f>IF(H13=0,0,ROUNDDOWN(J13*H13,1))</f>
        <v>0</v>
      </c>
      <c r="E13" s="99">
        <f>IF(H13=0,0,ROUNDDOWN(K13*H13,1))</f>
        <v>3940.7</v>
      </c>
      <c r="F13" s="99">
        <f>IF(H13=0,0,ROUNDDOWN(L13*H13,1))</f>
        <v>0</v>
      </c>
      <c r="G13" s="16" t="s">
        <v>1322</v>
      </c>
      <c r="H13" s="105">
        <f>AC13</f>
        <v>0.31</v>
      </c>
      <c r="I13" s="106">
        <f>K13+J13+L13</f>
        <v>12712</v>
      </c>
      <c r="K13" s="39">
        <f>재료비목록표!E10</f>
        <v>12712</v>
      </c>
      <c r="M13" s="20" t="s">
        <v>1324</v>
      </c>
      <c r="N13" s="20" t="s">
        <v>1332</v>
      </c>
      <c r="X13" s="108" t="str">
        <f>재료비목록표!B10&amp;" / "&amp;재료비목록표!C10</f>
        <v>폭약 / (28m/m(메가바이트))</v>
      </c>
      <c r="Y13" s="19" t="str">
        <f ca="1">HYPERLINK("#"&amp;재료비목록표!G2&amp;"!A"&amp;ROW(재료비목록표!A10),"자재    7 →")</f>
        <v>자재    7 →</v>
      </c>
      <c r="Z13" s="110">
        <v>0.31</v>
      </c>
      <c r="AA13" s="20" t="s">
        <v>1325</v>
      </c>
      <c r="AB13" s="20" t="s">
        <v>1326</v>
      </c>
      <c r="AC13" s="113">
        <f>Z13*1</f>
        <v>0.31</v>
      </c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</row>
    <row r="14" spans="1:45" ht="12.6" customHeight="1" x14ac:dyDescent="0.3">
      <c r="A14" s="78"/>
      <c r="B14" s="78"/>
      <c r="C14" s="78"/>
      <c r="D14" s="78"/>
      <c r="E14" s="78"/>
      <c r="F14" s="78"/>
      <c r="G14" s="16" t="s">
        <v>1317</v>
      </c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</row>
    <row r="15" spans="1:45" ht="12.6" customHeight="1" x14ac:dyDescent="0.3">
      <c r="A15" s="68" t="s">
        <v>1328</v>
      </c>
      <c r="B15" s="97" t="str">
        <f>"   뇌 관(3.5m)  "&amp;Z15&amp;" 개   * "&amp;TEXT(I15,"#,##0"&amp;IF(I15&lt;&gt;INT(I15),".###",""))&amp;" = "&amp;TEXT(C15,"#,##0.0")&amp;""</f>
        <v xml:space="preserve">   뇌 관(3.5m)  0.04 개   * 3,920 = 156.8</v>
      </c>
      <c r="C15" s="99">
        <f>E15+D15+F15</f>
        <v>156.80000000000001</v>
      </c>
      <c r="D15" s="99">
        <f>IF(H15=0,0,ROUNDDOWN(J15*H15,1))</f>
        <v>0</v>
      </c>
      <c r="E15" s="99">
        <f>IF(H15=0,0,ROUNDDOWN(K15*H15,1))</f>
        <v>156.80000000000001</v>
      </c>
      <c r="F15" s="99">
        <f>IF(H15=0,0,ROUNDDOWN(L15*H15,1))</f>
        <v>0</v>
      </c>
      <c r="G15" s="16" t="s">
        <v>1327</v>
      </c>
      <c r="H15" s="105">
        <f>AC15</f>
        <v>0.04</v>
      </c>
      <c r="I15" s="106">
        <f>K15+J15+L15</f>
        <v>3920</v>
      </c>
      <c r="K15" s="39">
        <f>재료비목록표!E9</f>
        <v>3920</v>
      </c>
      <c r="M15" s="20" t="s">
        <v>1329</v>
      </c>
      <c r="N15" s="20" t="s">
        <v>1332</v>
      </c>
      <c r="X15" s="108" t="str">
        <f>재료비목록표!B9&amp;" / "&amp;재료비목록표!C9</f>
        <v>전기뇌관 / (3.5m)</v>
      </c>
      <c r="Y15" s="19" t="str">
        <f ca="1">HYPERLINK("#"&amp;재료비목록표!G2&amp;"!A"&amp;ROW(재료비목록표!A9),"자재    6 →")</f>
        <v>자재    6 →</v>
      </c>
      <c r="Z15" s="110">
        <v>0.04</v>
      </c>
      <c r="AA15" s="20" t="s">
        <v>1325</v>
      </c>
      <c r="AB15" s="20" t="s">
        <v>1326</v>
      </c>
      <c r="AC15" s="113">
        <f>Z15*1</f>
        <v>0.04</v>
      </c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</row>
    <row r="16" spans="1:45" ht="12.6" customHeight="1" x14ac:dyDescent="0.3">
      <c r="A16" s="78"/>
      <c r="B16" s="78"/>
      <c r="C16" s="78"/>
      <c r="D16" s="78"/>
      <c r="E16" s="78"/>
      <c r="F16" s="78"/>
      <c r="G16" s="16" t="s">
        <v>1317</v>
      </c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</row>
    <row r="17" spans="1:45" ht="12.6" customHeight="1" x14ac:dyDescent="0.3">
      <c r="A17" s="68"/>
      <c r="B17" s="77" t="s">
        <v>1331</v>
      </c>
      <c r="C17" s="100">
        <f>E17+D17+F17</f>
        <v>4097.5</v>
      </c>
      <c r="D17" s="100">
        <f>SUMIF(N7:N16,M17,D7:D16)</f>
        <v>0</v>
      </c>
      <c r="E17" s="100">
        <f>SUMIF(N7:N16,M17,E7:E16)</f>
        <v>4097.5</v>
      </c>
      <c r="F17" s="100">
        <f>SUMIF(N7:N16,M17,F7:F16)</f>
        <v>0</v>
      </c>
      <c r="G17" s="16" t="s">
        <v>1330</v>
      </c>
      <c r="M17" s="20" t="s">
        <v>1332</v>
      </c>
      <c r="N17" s="20" t="s">
        <v>1341</v>
      </c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</row>
    <row r="18" spans="1:45" ht="12.6" customHeight="1" x14ac:dyDescent="0.3">
      <c r="A18" s="78"/>
      <c r="B18" s="78"/>
      <c r="C18" s="98"/>
      <c r="D18" s="98"/>
      <c r="E18" s="98"/>
      <c r="F18" s="98"/>
      <c r="G18" s="16" t="s">
        <v>1317</v>
      </c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09"/>
      <c r="AS18" s="109"/>
    </row>
    <row r="19" spans="1:45" ht="12.6" customHeight="1" x14ac:dyDescent="0.3">
      <c r="A19" s="68"/>
      <c r="B19" s="77" t="s">
        <v>1334</v>
      </c>
      <c r="C19" s="78"/>
      <c r="D19" s="78"/>
      <c r="E19" s="78"/>
      <c r="F19" s="78"/>
      <c r="G19" s="16" t="s">
        <v>1333</v>
      </c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</row>
    <row r="20" spans="1:45" ht="12.6" customHeight="1" x14ac:dyDescent="0.3">
      <c r="A20" s="78"/>
      <c r="B20" s="78"/>
      <c r="C20" s="78"/>
      <c r="D20" s="78"/>
      <c r="E20" s="78"/>
      <c r="F20" s="78"/>
      <c r="G20" s="16" t="s">
        <v>1317</v>
      </c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</row>
    <row r="21" spans="1:45" ht="12.6" customHeight="1" x14ac:dyDescent="0.3">
      <c r="A21" s="68" t="s">
        <v>1336</v>
      </c>
      <c r="B21" s="97" t="str">
        <f>"    "&amp;TEXT(I21,"#,##0"&amp;IF(I21&lt;&gt;INT(I21),".###",""))&amp;" * "&amp;AA21&amp;" %  = "&amp;TEXT(C21,"#,##0.0")&amp;""</f>
        <v xml:space="preserve">    4,097.5 * 5 %  = 204.8</v>
      </c>
      <c r="C21" s="99">
        <f>E21+D21+F21</f>
        <v>204.8</v>
      </c>
      <c r="D21" s="99">
        <f>IF(H21=0,0,ROUNDDOWN(J21*H21/100,1))</f>
        <v>0</v>
      </c>
      <c r="E21" s="99">
        <f>IF(H21=0,0,ROUNDDOWN(K21*H21/100,1))</f>
        <v>204.8</v>
      </c>
      <c r="F21" s="99">
        <f>IF(H21=0,0,ROUNDDOWN(L21*H21/100,1))</f>
        <v>0</v>
      </c>
      <c r="G21" s="16" t="s">
        <v>1335</v>
      </c>
      <c r="H21" s="105">
        <f>AC21</f>
        <v>5</v>
      </c>
      <c r="I21" s="106">
        <f>K21+J21+L21</f>
        <v>4097.5</v>
      </c>
      <c r="J21" s="37">
        <v>0</v>
      </c>
      <c r="K21" s="107">
        <v>4097.5</v>
      </c>
      <c r="L21" s="37">
        <v>0</v>
      </c>
      <c r="M21" s="20" t="s">
        <v>1337</v>
      </c>
      <c r="N21" s="20" t="s">
        <v>1332</v>
      </c>
      <c r="Z21" s="20" t="s">
        <v>1338</v>
      </c>
      <c r="AA21" s="111">
        <v>5</v>
      </c>
      <c r="AB21" s="20" t="s">
        <v>1326</v>
      </c>
      <c r="AC21" s="113">
        <f>1*AA21</f>
        <v>5</v>
      </c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45" ht="12.6" customHeight="1" x14ac:dyDescent="0.3">
      <c r="A22" s="78"/>
      <c r="B22" s="78"/>
      <c r="C22" s="78"/>
      <c r="D22" s="78"/>
      <c r="E22" s="78"/>
      <c r="F22" s="78"/>
      <c r="G22" s="16" t="s">
        <v>1317</v>
      </c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</row>
    <row r="23" spans="1:45" ht="12.6" customHeight="1" x14ac:dyDescent="0.3">
      <c r="A23" s="68"/>
      <c r="B23" s="77" t="s">
        <v>1331</v>
      </c>
      <c r="C23" s="100">
        <f>E23+D23+F23</f>
        <v>204.8</v>
      </c>
      <c r="D23" s="100">
        <f>SUMIF(N18:N22,M23,D18:D22)</f>
        <v>0</v>
      </c>
      <c r="E23" s="100">
        <f>SUMIF(N18:N22,M23,E18:E22)</f>
        <v>204.8</v>
      </c>
      <c r="F23" s="100">
        <f>SUMIF(N18:N22,M23,F18:F22)</f>
        <v>0</v>
      </c>
      <c r="G23" s="16" t="s">
        <v>1330</v>
      </c>
      <c r="M23" s="20" t="s">
        <v>1332</v>
      </c>
      <c r="N23" s="20" t="s">
        <v>1341</v>
      </c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</row>
    <row r="24" spans="1:45" ht="12.6" customHeight="1" x14ac:dyDescent="0.3">
      <c r="A24" s="78"/>
      <c r="B24" s="78"/>
      <c r="C24" s="98"/>
      <c r="D24" s="98"/>
      <c r="E24" s="98"/>
      <c r="F24" s="98"/>
      <c r="G24" s="16" t="s">
        <v>1317</v>
      </c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109"/>
      <c r="AO24" s="109"/>
      <c r="AP24" s="109"/>
      <c r="AQ24" s="109"/>
      <c r="AR24" s="109"/>
      <c r="AS24" s="109"/>
    </row>
    <row r="25" spans="1:45" ht="12.6" customHeight="1" x14ac:dyDescent="0.3">
      <c r="A25" s="68"/>
      <c r="B25" s="77" t="s">
        <v>1340</v>
      </c>
      <c r="C25" s="100">
        <f>E25+D25+F25</f>
        <v>4302.3</v>
      </c>
      <c r="D25" s="100">
        <f>SUMIF(N7:N24,M25,D7:D24)</f>
        <v>0</v>
      </c>
      <c r="E25" s="100">
        <f>SUMIF(N7:N24,M25,E7:E24)</f>
        <v>4302.3</v>
      </c>
      <c r="F25" s="100">
        <f>SUMIF(N7:N24,M25,F7:F24)</f>
        <v>0</v>
      </c>
      <c r="G25" s="16" t="s">
        <v>1339</v>
      </c>
      <c r="M25" s="20" t="s">
        <v>1341</v>
      </c>
      <c r="N25" s="20" t="s">
        <v>1400</v>
      </c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</row>
    <row r="26" spans="1:45" ht="12.6" customHeight="1" x14ac:dyDescent="0.3">
      <c r="A26" s="78"/>
      <c r="B26" s="78"/>
      <c r="C26" s="98"/>
      <c r="D26" s="98"/>
      <c r="E26" s="98"/>
      <c r="F26" s="98"/>
      <c r="G26" s="16" t="s">
        <v>1317</v>
      </c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</row>
    <row r="27" spans="1:45" ht="12.6" customHeight="1" x14ac:dyDescent="0.3">
      <c r="A27" s="78"/>
      <c r="B27" s="78"/>
      <c r="C27" s="78"/>
      <c r="D27" s="78"/>
      <c r="E27" s="78"/>
      <c r="F27" s="78"/>
      <c r="G27" s="16" t="s">
        <v>1317</v>
      </c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</row>
    <row r="28" spans="1:45" ht="12.6" customHeight="1" x14ac:dyDescent="0.3">
      <c r="A28" s="68"/>
      <c r="B28" s="77" t="s">
        <v>1343</v>
      </c>
      <c r="C28" s="78"/>
      <c r="D28" s="78"/>
      <c r="E28" s="78"/>
      <c r="F28" s="78"/>
      <c r="G28" s="16" t="s">
        <v>1342</v>
      </c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</row>
    <row r="29" spans="1:45" ht="12.6" customHeight="1" x14ac:dyDescent="0.3">
      <c r="A29" s="78"/>
      <c r="B29" s="78"/>
      <c r="C29" s="78"/>
      <c r="D29" s="78"/>
      <c r="E29" s="78"/>
      <c r="F29" s="78"/>
      <c r="G29" s="16" t="s">
        <v>1317</v>
      </c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</row>
    <row r="30" spans="1:45" ht="12.6" customHeight="1" x14ac:dyDescent="0.3">
      <c r="A30" s="68" t="s">
        <v>1345</v>
      </c>
      <c r="B30" s="97" t="str">
        <f>"   화약취급공 :   "&amp;TEXT(I30,"#,##0"&amp;IF(I30&lt;&gt;INT(I30),".###",""))&amp;" *  "&amp;AA30&amp;"  인  = "&amp;TEXT(C30,"#,##0.0")&amp;""</f>
        <v xml:space="preserve">   화약취급공 :   254,202 *  0.004  인  = 1,016.8</v>
      </c>
      <c r="C30" s="99">
        <f>E30+D30+F30</f>
        <v>1016.8</v>
      </c>
      <c r="D30" s="99">
        <f>IF(H30=0,0,ROUNDDOWN(J30*H30,1))</f>
        <v>1016.8</v>
      </c>
      <c r="E30" s="99">
        <f>IF(H30=0,0,ROUNDDOWN(K30*H30,1))</f>
        <v>0</v>
      </c>
      <c r="F30" s="99">
        <f>IF(H30=0,0,ROUNDDOWN(L30*H30,1))</f>
        <v>0</v>
      </c>
      <c r="G30" s="16" t="s">
        <v>1344</v>
      </c>
      <c r="H30" s="105">
        <f>AC30</f>
        <v>4.0000000000000001E-3</v>
      </c>
      <c r="I30" s="106">
        <f>K30+J30+L30</f>
        <v>254202</v>
      </c>
      <c r="J30" s="39">
        <f>노무비목록표!E8</f>
        <v>254202</v>
      </c>
      <c r="M30" s="20" t="s">
        <v>1346</v>
      </c>
      <c r="N30" s="20" t="s">
        <v>1341</v>
      </c>
      <c r="X30" s="108" t="str">
        <f>노무비목록표!B8&amp;" / "&amp;노무비목록표!C8</f>
        <v xml:space="preserve">화약취급공 / </v>
      </c>
      <c r="Y30" s="19" t="str">
        <f ca="1">HYPERLINK("#"&amp;노무비목록표!G2&amp;"!A"&amp;ROW(노무비목록표!A8),"노무    5 →")</f>
        <v>노무    5 →</v>
      </c>
      <c r="Z30" s="20" t="s">
        <v>1338</v>
      </c>
      <c r="AA30" s="110">
        <v>4.0000000000000001E-3</v>
      </c>
      <c r="AB30" s="20" t="s">
        <v>1326</v>
      </c>
      <c r="AC30" s="113">
        <f>1*AA30</f>
        <v>4.0000000000000001E-3</v>
      </c>
      <c r="AD30" s="109"/>
      <c r="AE30" s="109"/>
      <c r="AF30" s="109"/>
      <c r="AG30" s="109"/>
      <c r="AH30" s="109"/>
      <c r="AI30" s="109"/>
      <c r="AJ30" s="109"/>
      <c r="AK30" s="109"/>
      <c r="AL30" s="109"/>
      <c r="AM30" s="109"/>
      <c r="AN30" s="109"/>
      <c r="AO30" s="109"/>
      <c r="AP30" s="109"/>
      <c r="AQ30" s="109"/>
      <c r="AR30" s="109"/>
      <c r="AS30" s="109"/>
    </row>
    <row r="31" spans="1:45" ht="12.6" customHeight="1" x14ac:dyDescent="0.3">
      <c r="A31" s="78"/>
      <c r="B31" s="78"/>
      <c r="C31" s="78"/>
      <c r="D31" s="78"/>
      <c r="E31" s="78"/>
      <c r="F31" s="78"/>
      <c r="G31" s="16" t="s">
        <v>1347</v>
      </c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</row>
    <row r="32" spans="1:45" ht="12.6" customHeight="1" x14ac:dyDescent="0.3">
      <c r="A32" s="68" t="s">
        <v>1349</v>
      </c>
      <c r="B32" s="97" t="str">
        <f>"   보통인부 :   "&amp;TEXT(I32,"#,##0"&amp;IF(I32&lt;&gt;INT(I32),".###",""))&amp;" *  "&amp;AA32&amp;"  인  = "&amp;TEXT(C32,"#,##0.0")&amp;""</f>
        <v xml:space="preserve">   보통인부 :   165,545 *  0.006  인  = 993.2</v>
      </c>
      <c r="C32" s="99">
        <f>E32+D32+F32</f>
        <v>993.2</v>
      </c>
      <c r="D32" s="99">
        <f>IF(H32=0,0,ROUNDDOWN(J32*H32,1))</f>
        <v>993.2</v>
      </c>
      <c r="E32" s="99">
        <f>IF(H32=0,0,ROUNDDOWN(K32*H32,1))</f>
        <v>0</v>
      </c>
      <c r="F32" s="99">
        <f>IF(H32=0,0,ROUNDDOWN(L32*H32,1))</f>
        <v>0</v>
      </c>
      <c r="G32" s="16" t="s">
        <v>1348</v>
      </c>
      <c r="H32" s="105">
        <f>AC32</f>
        <v>6.0000000000000001E-3</v>
      </c>
      <c r="I32" s="106">
        <f>K32+J32+L32</f>
        <v>165545</v>
      </c>
      <c r="J32" s="39">
        <f>노무비목록표!E9</f>
        <v>165545</v>
      </c>
      <c r="M32" s="20" t="s">
        <v>1126</v>
      </c>
      <c r="N32" s="20" t="s">
        <v>1341</v>
      </c>
      <c r="X32" s="108" t="str">
        <f>노무비목록표!B9&amp;" / "&amp;노무비목록표!C9</f>
        <v xml:space="preserve">보통인부 / </v>
      </c>
      <c r="Y32" s="19" t="str">
        <f ca="1">HYPERLINK("#"&amp;노무비목록표!G2&amp;"!A"&amp;ROW(노무비목록표!A9),"노무    6 →")</f>
        <v>노무    6 →</v>
      </c>
      <c r="Z32" s="20" t="s">
        <v>1338</v>
      </c>
      <c r="AA32" s="110">
        <v>6.0000000000000001E-3</v>
      </c>
      <c r="AB32" s="20" t="s">
        <v>1326</v>
      </c>
      <c r="AC32" s="113">
        <f>1*AA32</f>
        <v>6.0000000000000001E-3</v>
      </c>
      <c r="AD32" s="109"/>
      <c r="AE32" s="109"/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09"/>
    </row>
    <row r="33" spans="1:45" ht="12.6" customHeight="1" x14ac:dyDescent="0.3">
      <c r="A33" s="68"/>
      <c r="B33" s="77" t="s">
        <v>1340</v>
      </c>
      <c r="C33" s="100">
        <f>E33+D33+F33</f>
        <v>2010</v>
      </c>
      <c r="D33" s="100">
        <f>SUMIF(N26:N32,M33,D26:D32)</f>
        <v>2010</v>
      </c>
      <c r="E33" s="100">
        <f>SUMIF(N26:N32,M33,E26:E32)</f>
        <v>0</v>
      </c>
      <c r="F33" s="100">
        <f>SUMIF(N26:N32,M33,F26:F32)</f>
        <v>0</v>
      </c>
      <c r="G33" s="16" t="s">
        <v>1339</v>
      </c>
      <c r="M33" s="20" t="s">
        <v>1341</v>
      </c>
      <c r="N33" s="20" t="s">
        <v>1400</v>
      </c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</row>
    <row r="34" spans="1:45" ht="12.6" customHeight="1" x14ac:dyDescent="0.3">
      <c r="A34" s="78"/>
      <c r="B34" s="78"/>
      <c r="C34" s="98"/>
      <c r="D34" s="98"/>
      <c r="E34" s="98"/>
      <c r="F34" s="98"/>
      <c r="G34" s="16" t="s">
        <v>1317</v>
      </c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</row>
    <row r="35" spans="1:45" ht="12.6" customHeight="1" x14ac:dyDescent="0.3">
      <c r="A35" s="78"/>
      <c r="B35" s="78"/>
      <c r="C35" s="78"/>
      <c r="D35" s="78"/>
      <c r="E35" s="78"/>
      <c r="F35" s="78"/>
      <c r="G35" s="16" t="s">
        <v>1317</v>
      </c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</row>
    <row r="36" spans="1:45" ht="12.6" customHeight="1" x14ac:dyDescent="0.3">
      <c r="A36" s="78"/>
      <c r="B36" s="78"/>
      <c r="C36" s="78"/>
      <c r="D36" s="78"/>
      <c r="E36" s="78"/>
      <c r="F36" s="78"/>
      <c r="G36" s="16" t="s">
        <v>1317</v>
      </c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09"/>
      <c r="AM36" s="109"/>
      <c r="AN36" s="109"/>
      <c r="AO36" s="109"/>
      <c r="AP36" s="109"/>
      <c r="AQ36" s="109"/>
      <c r="AR36" s="109"/>
      <c r="AS36" s="109"/>
    </row>
    <row r="37" spans="1:45" ht="12.6" customHeight="1" x14ac:dyDescent="0.3">
      <c r="A37" s="68"/>
      <c r="B37" s="77" t="s">
        <v>1351</v>
      </c>
      <c r="C37" s="78"/>
      <c r="D37" s="78"/>
      <c r="E37" s="78"/>
      <c r="F37" s="78"/>
      <c r="G37" s="16" t="s">
        <v>1350</v>
      </c>
      <c r="Z37" s="109"/>
      <c r="AA37" s="109"/>
      <c r="AB37" s="109"/>
      <c r="AC37" s="109"/>
      <c r="AD37" s="109"/>
      <c r="AE37" s="109"/>
      <c r="AF37" s="109"/>
      <c r="AG37" s="109"/>
      <c r="AH37" s="109"/>
      <c r="AI37" s="109"/>
      <c r="AJ37" s="109"/>
      <c r="AK37" s="109"/>
      <c r="AL37" s="109"/>
      <c r="AM37" s="109"/>
      <c r="AN37" s="109"/>
      <c r="AO37" s="109"/>
      <c r="AP37" s="109"/>
      <c r="AQ37" s="109"/>
      <c r="AR37" s="109"/>
      <c r="AS37" s="109"/>
    </row>
    <row r="38" spans="1:45" ht="12.6" customHeight="1" x14ac:dyDescent="0.3">
      <c r="A38" s="78"/>
      <c r="B38" s="78"/>
      <c r="C38" s="78"/>
      <c r="D38" s="78"/>
      <c r="E38" s="78"/>
      <c r="F38" s="78"/>
      <c r="G38" s="16" t="s">
        <v>1317</v>
      </c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M38" s="109"/>
      <c r="AN38" s="109"/>
      <c r="AO38" s="109"/>
      <c r="AP38" s="109"/>
      <c r="AQ38" s="109"/>
      <c r="AR38" s="109"/>
      <c r="AS38" s="109"/>
    </row>
    <row r="39" spans="1:45" ht="12.6" customHeight="1" x14ac:dyDescent="0.3">
      <c r="A39" s="78"/>
      <c r="B39" s="78"/>
      <c r="C39" s="78"/>
      <c r="D39" s="78"/>
      <c r="E39" s="78"/>
      <c r="F39" s="78"/>
      <c r="G39" s="16" t="s">
        <v>1317</v>
      </c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</row>
    <row r="40" spans="1:45" ht="12.6" customHeight="1" x14ac:dyDescent="0.3">
      <c r="A40" s="68"/>
      <c r="B40" s="77" t="s">
        <v>1353</v>
      </c>
      <c r="C40" s="78"/>
      <c r="D40" s="78"/>
      <c r="E40" s="78"/>
      <c r="F40" s="78"/>
      <c r="G40" s="16" t="s">
        <v>1352</v>
      </c>
      <c r="Z40" s="109"/>
      <c r="AA40" s="109"/>
      <c r="AB40" s="109"/>
      <c r="AC40" s="109"/>
      <c r="AD40" s="109"/>
      <c r="AE40" s="109"/>
      <c r="AF40" s="109"/>
      <c r="AG40" s="109"/>
      <c r="AH40" s="109"/>
      <c r="AI40" s="109"/>
      <c r="AJ40" s="109"/>
      <c r="AK40" s="109"/>
      <c r="AL40" s="109"/>
      <c r="AM40" s="109"/>
      <c r="AN40" s="109"/>
      <c r="AO40" s="109"/>
      <c r="AP40" s="109"/>
      <c r="AQ40" s="109"/>
      <c r="AR40" s="109"/>
      <c r="AS40" s="109"/>
    </row>
    <row r="41" spans="1:45" ht="12.6" customHeight="1" x14ac:dyDescent="0.3">
      <c r="A41" s="78"/>
      <c r="B41" s="78"/>
      <c r="C41" s="78"/>
      <c r="D41" s="78"/>
      <c r="E41" s="78"/>
      <c r="F41" s="78"/>
      <c r="G41" s="16" t="s">
        <v>1317</v>
      </c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</row>
    <row r="42" spans="1:45" ht="12.6" customHeight="1" x14ac:dyDescent="0.3">
      <c r="A42" s="78"/>
      <c r="B42" s="78"/>
      <c r="C42" s="78"/>
      <c r="D42" s="78"/>
      <c r="E42" s="78"/>
      <c r="F42" s="78"/>
      <c r="G42" s="16" t="s">
        <v>1317</v>
      </c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</row>
    <row r="43" spans="1:45" ht="12.6" customHeight="1" x14ac:dyDescent="0.3">
      <c r="A43" s="68" t="s">
        <v>1355</v>
      </c>
      <c r="B43" s="97" t="str">
        <f>" 노 무 비 : "&amp;TEXT(I43,"#,##0"&amp;IF(I43&lt;&gt;INT(I43),".###",""))&amp;" * "&amp;AA43&amp;" = "&amp;TEXT(C43,"#,##0.0")&amp;""</f>
        <v xml:space="preserve"> 노 무 비 : 55,700 * 0.014 = 779.8</v>
      </c>
      <c r="C43" s="99">
        <f>E43+D43+F43</f>
        <v>779.8</v>
      </c>
      <c r="D43" s="99">
        <f>IF(H43=0,0,ROUNDDOWN(J43*H43,1))</f>
        <v>779.8</v>
      </c>
      <c r="E43" s="99">
        <f>IF(H43=0,0,ROUNDDOWN(K43*H43,1))</f>
        <v>0</v>
      </c>
      <c r="F43" s="99">
        <f>IF(H43=0,0,ROUNDDOWN(L43*H43,1))</f>
        <v>0</v>
      </c>
      <c r="G43" s="16" t="s">
        <v>1354</v>
      </c>
      <c r="H43" s="105">
        <f>AC43</f>
        <v>1.4E-2</v>
      </c>
      <c r="I43" s="106">
        <f>K43+J43+L43</f>
        <v>55700</v>
      </c>
      <c r="J43" s="39">
        <f>중기목록표!F18</f>
        <v>55700</v>
      </c>
      <c r="M43" s="20" t="s">
        <v>1356</v>
      </c>
      <c r="N43" s="20" t="s">
        <v>1332</v>
      </c>
      <c r="O43" s="20" t="s">
        <v>1247</v>
      </c>
      <c r="X43" s="108" t="str">
        <f>중기목록표!B18&amp;" / "&amp;중기목록표!C18</f>
        <v>크로울러드릴 / 탑승유압식</v>
      </c>
      <c r="Y43" s="19" t="str">
        <f ca="1">HYPERLINK("#"&amp;중기목록표!J2&amp;"!A"&amp;ROW(중기목록표!A18),"중기   15 →")</f>
        <v>중기   15 →</v>
      </c>
      <c r="Z43" s="20" t="s">
        <v>1338</v>
      </c>
      <c r="AA43" s="110">
        <v>1.4E-2</v>
      </c>
      <c r="AB43" s="20" t="s">
        <v>1326</v>
      </c>
      <c r="AC43" s="113">
        <f>1*AA43</f>
        <v>1.4E-2</v>
      </c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</row>
    <row r="44" spans="1:45" ht="12.6" customHeight="1" x14ac:dyDescent="0.3">
      <c r="A44" s="78"/>
      <c r="B44" s="78"/>
      <c r="C44" s="78"/>
      <c r="D44" s="78"/>
      <c r="E44" s="78"/>
      <c r="F44" s="78"/>
      <c r="G44" s="16" t="s">
        <v>1317</v>
      </c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</row>
    <row r="45" spans="1:45" ht="12.6" customHeight="1" x14ac:dyDescent="0.3">
      <c r="A45" s="68" t="s">
        <v>1358</v>
      </c>
      <c r="B45" s="97" t="str">
        <f>" 재 료 비 : "&amp;TEXT(I45,"#,##0"&amp;IF(I45&lt;&gt;INT(I45),".###",""))&amp;" * "&amp;AA45&amp;" = "&amp;TEXT(C45,"#,##0.0")&amp;""</f>
        <v xml:space="preserve"> 재 료 비 : 29,100 * 0.014 = 407.4</v>
      </c>
      <c r="C45" s="99">
        <f>E45+D45+F45</f>
        <v>407.4</v>
      </c>
      <c r="D45" s="99">
        <f>IF(H45=0,0,ROUNDDOWN(J45*H45,1))</f>
        <v>0</v>
      </c>
      <c r="E45" s="99">
        <f>IF(H45=0,0,ROUNDDOWN(K45*H45,1))</f>
        <v>407.4</v>
      </c>
      <c r="F45" s="99">
        <f>IF(H45=0,0,ROUNDDOWN(L45*H45,1))</f>
        <v>0</v>
      </c>
      <c r="G45" s="16" t="s">
        <v>1357</v>
      </c>
      <c r="H45" s="105">
        <f>AC45</f>
        <v>1.4E-2</v>
      </c>
      <c r="I45" s="106">
        <f>K45+J45+L45</f>
        <v>29100</v>
      </c>
      <c r="K45" s="39">
        <f>중기목록표!G18</f>
        <v>29100</v>
      </c>
      <c r="M45" s="20" t="s">
        <v>1356</v>
      </c>
      <c r="N45" s="20" t="s">
        <v>1332</v>
      </c>
      <c r="O45" s="20" t="s">
        <v>1359</v>
      </c>
      <c r="X45" s="108" t="str">
        <f>중기목록표!B18&amp;" / "&amp;중기목록표!C18</f>
        <v>크로울러드릴 / 탑승유압식</v>
      </c>
      <c r="Y45" s="19" t="str">
        <f ca="1">HYPERLINK("#"&amp;중기목록표!J2&amp;"!A"&amp;ROW(중기목록표!A18),"중기   15 →")</f>
        <v>중기   15 →</v>
      </c>
      <c r="Z45" s="20" t="s">
        <v>1338</v>
      </c>
      <c r="AA45" s="110">
        <v>1.4E-2</v>
      </c>
      <c r="AB45" s="20" t="s">
        <v>1326</v>
      </c>
      <c r="AC45" s="113">
        <f>1*AA45</f>
        <v>1.4E-2</v>
      </c>
      <c r="AD45" s="109"/>
      <c r="AE45" s="109"/>
      <c r="AF45" s="109"/>
      <c r="AG45" s="109"/>
      <c r="AH45" s="109"/>
      <c r="AI45" s="109"/>
      <c r="AJ45" s="109"/>
      <c r="AK45" s="109"/>
      <c r="AL45" s="109"/>
      <c r="AM45" s="109"/>
      <c r="AN45" s="109"/>
      <c r="AO45" s="109"/>
      <c r="AP45" s="109"/>
      <c r="AQ45" s="109"/>
      <c r="AR45" s="109"/>
      <c r="AS45" s="109"/>
    </row>
    <row r="46" spans="1:45" ht="12.6" customHeight="1" x14ac:dyDescent="0.3">
      <c r="A46" s="78"/>
      <c r="B46" s="78"/>
      <c r="C46" s="78"/>
      <c r="D46" s="78"/>
      <c r="E46" s="78"/>
      <c r="F46" s="78"/>
      <c r="G46" s="16" t="s">
        <v>1317</v>
      </c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</row>
    <row r="47" spans="1:45" ht="12.6" customHeight="1" x14ac:dyDescent="0.3">
      <c r="A47" s="68" t="s">
        <v>1361</v>
      </c>
      <c r="B47" s="97" t="str">
        <f>" 경    비 : "&amp;TEXT(I47,"#,##0"&amp;IF(I47&lt;&gt;INT(I47),".###",""))&amp;" * "&amp;AA47&amp;" = "&amp;TEXT(C47,"#,##0.0")&amp;""</f>
        <v xml:space="preserve"> 경    비 : 23,323 * 0.014 = 326.5</v>
      </c>
      <c r="C47" s="99">
        <f>E47+D47+F47</f>
        <v>326.5</v>
      </c>
      <c r="D47" s="99">
        <f>IF(H47=0,0,ROUNDDOWN(J47*H47,1))</f>
        <v>0</v>
      </c>
      <c r="E47" s="99">
        <f>IF(H47=0,0,ROUNDDOWN(K47*H47,1))</f>
        <v>0</v>
      </c>
      <c r="F47" s="99">
        <f>IF(H47=0,0,ROUNDDOWN(L47*H47,1))</f>
        <v>326.5</v>
      </c>
      <c r="G47" s="16" t="s">
        <v>1360</v>
      </c>
      <c r="H47" s="105">
        <f>AC47</f>
        <v>1.4E-2</v>
      </c>
      <c r="I47" s="106">
        <f>K47+J47+L47</f>
        <v>23323</v>
      </c>
      <c r="L47" s="39">
        <f>중기목록표!H18</f>
        <v>23323</v>
      </c>
      <c r="M47" s="20" t="s">
        <v>1356</v>
      </c>
      <c r="N47" s="20" t="s">
        <v>1332</v>
      </c>
      <c r="O47" s="20" t="s">
        <v>1362</v>
      </c>
      <c r="X47" s="108" t="str">
        <f>중기목록표!B18&amp;" / "&amp;중기목록표!C18</f>
        <v>크로울러드릴 / 탑승유압식</v>
      </c>
      <c r="Y47" s="19" t="str">
        <f ca="1">HYPERLINK("#"&amp;중기목록표!J2&amp;"!A"&amp;ROW(중기목록표!A18),"중기   15 →")</f>
        <v>중기   15 →</v>
      </c>
      <c r="Z47" s="20" t="s">
        <v>1338</v>
      </c>
      <c r="AA47" s="110">
        <v>1.4E-2</v>
      </c>
      <c r="AB47" s="20" t="s">
        <v>1326</v>
      </c>
      <c r="AC47" s="113">
        <f>1*AA47</f>
        <v>1.4E-2</v>
      </c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</row>
    <row r="48" spans="1:45" ht="12.6" customHeight="1" x14ac:dyDescent="0.3">
      <c r="A48" s="68"/>
      <c r="B48" s="77" t="s">
        <v>1331</v>
      </c>
      <c r="C48" s="100">
        <f>E48+D48+F48</f>
        <v>1513.6999999999998</v>
      </c>
      <c r="D48" s="100">
        <f>SUMIF(N34:N47,M48,D34:D47)</f>
        <v>779.8</v>
      </c>
      <c r="E48" s="100">
        <f>SUMIF(N34:N47,M48,E34:E47)</f>
        <v>407.4</v>
      </c>
      <c r="F48" s="100">
        <f>SUMIF(N34:N47,M48,F34:F47)</f>
        <v>326.5</v>
      </c>
      <c r="G48" s="16" t="s">
        <v>1363</v>
      </c>
      <c r="M48" s="20" t="s">
        <v>1332</v>
      </c>
      <c r="N48" s="20" t="s">
        <v>1341</v>
      </c>
      <c r="Z48" s="109"/>
      <c r="AA48" s="109"/>
      <c r="AB48" s="109"/>
      <c r="AC48" s="109"/>
      <c r="AD48" s="109"/>
      <c r="AE48" s="109"/>
      <c r="AF48" s="109"/>
      <c r="AG48" s="109"/>
      <c r="AH48" s="109"/>
      <c r="AI48" s="109"/>
      <c r="AJ48" s="109"/>
      <c r="AK48" s="109"/>
      <c r="AL48" s="109"/>
      <c r="AM48" s="109"/>
      <c r="AN48" s="109"/>
      <c r="AO48" s="109"/>
      <c r="AP48" s="109"/>
      <c r="AQ48" s="109"/>
      <c r="AR48" s="109"/>
      <c r="AS48" s="109"/>
    </row>
    <row r="49" spans="1:45" ht="12.6" customHeight="1" x14ac:dyDescent="0.3">
      <c r="A49" s="78"/>
      <c r="B49" s="78"/>
      <c r="C49" s="98"/>
      <c r="D49" s="98"/>
      <c r="E49" s="98"/>
      <c r="F49" s="98"/>
      <c r="G49" s="16" t="s">
        <v>1317</v>
      </c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09"/>
    </row>
    <row r="50" spans="1:45" ht="12.6" customHeight="1" x14ac:dyDescent="0.3">
      <c r="A50" s="68"/>
      <c r="B50" s="77" t="s">
        <v>1365</v>
      </c>
      <c r="C50" s="78"/>
      <c r="D50" s="78"/>
      <c r="E50" s="78"/>
      <c r="F50" s="78"/>
      <c r="G50" s="16" t="s">
        <v>1364</v>
      </c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</row>
    <row r="51" spans="1:45" ht="12.6" customHeight="1" x14ac:dyDescent="0.3">
      <c r="A51" s="78"/>
      <c r="B51" s="78"/>
      <c r="C51" s="78"/>
      <c r="D51" s="78"/>
      <c r="E51" s="78"/>
      <c r="F51" s="78"/>
      <c r="G51" s="16" t="s">
        <v>1317</v>
      </c>
      <c r="Z51" s="109"/>
      <c r="AA51" s="109"/>
      <c r="AB51" s="109"/>
      <c r="AC51" s="109"/>
      <c r="AD51" s="109"/>
      <c r="AE51" s="109"/>
      <c r="AF51" s="109"/>
      <c r="AG51" s="109"/>
      <c r="AH51" s="109"/>
      <c r="AI51" s="109"/>
      <c r="AJ51" s="109"/>
      <c r="AK51" s="109"/>
      <c r="AL51" s="109"/>
      <c r="AM51" s="109"/>
      <c r="AN51" s="109"/>
      <c r="AO51" s="109"/>
      <c r="AP51" s="109"/>
      <c r="AQ51" s="109"/>
      <c r="AR51" s="109"/>
      <c r="AS51" s="109"/>
    </row>
    <row r="52" spans="1:45" ht="12.6" customHeight="1" x14ac:dyDescent="0.3">
      <c r="A52" s="68"/>
      <c r="B52" s="97" t="str">
        <f>" "&amp;TEXT(I52,"#,##0.0")&amp;" * "&amp;AA52&amp;" %  = "&amp;TEXT(C52,"#,##0.0")&amp;""</f>
        <v xml:space="preserve"> 1,513.7 * 24 %  = 363.2</v>
      </c>
      <c r="C52" s="99">
        <f>E52+D52+F52</f>
        <v>363.2</v>
      </c>
      <c r="D52" s="99">
        <f>IF(H52=0,0,ROUNDDOWN(J52*H52/100,1))</f>
        <v>0</v>
      </c>
      <c r="E52" s="99">
        <f>IF(H52=0,0,ROUNDDOWN(K52*H52/100,1))</f>
        <v>0</v>
      </c>
      <c r="F52" s="99">
        <f>IF(H52=0,0,ROUNDDOWN(L52*H52/100,1))</f>
        <v>363.2</v>
      </c>
      <c r="G52" s="16" t="s">
        <v>1366</v>
      </c>
      <c r="H52" s="105">
        <f>AC52</f>
        <v>24</v>
      </c>
      <c r="I52" s="106">
        <f>K52+J52+L52</f>
        <v>1513.6999999999998</v>
      </c>
      <c r="J52" s="37">
        <v>0</v>
      </c>
      <c r="K52" s="37">
        <v>0</v>
      </c>
      <c r="L52" s="39">
        <f>(SUMIF(O7:O51,"&gt;=1_01",C7:C51)-SUMIF(O7:O51,"&gt;1_03",C7:C51))</f>
        <v>1513.6999999999998</v>
      </c>
      <c r="M52" s="20" t="s">
        <v>1367</v>
      </c>
      <c r="N52" s="20" t="s">
        <v>1332</v>
      </c>
      <c r="Z52" s="20" t="s">
        <v>1338</v>
      </c>
      <c r="AA52" s="111">
        <v>24</v>
      </c>
      <c r="AB52" s="20" t="s">
        <v>1326</v>
      </c>
      <c r="AC52" s="113">
        <f>1*AA52</f>
        <v>24</v>
      </c>
      <c r="AD52" s="109"/>
      <c r="AE52" s="109"/>
      <c r="AF52" s="109"/>
      <c r="AG52" s="109"/>
      <c r="AH52" s="109"/>
      <c r="AI52" s="109"/>
      <c r="AJ52" s="109"/>
      <c r="AK52" s="109"/>
      <c r="AL52" s="109"/>
      <c r="AM52" s="109"/>
      <c r="AN52" s="109"/>
      <c r="AO52" s="109"/>
      <c r="AP52" s="109"/>
      <c r="AQ52" s="109"/>
      <c r="AR52" s="109"/>
      <c r="AS52" s="109"/>
    </row>
    <row r="53" spans="1:45" ht="12.6" customHeight="1" x14ac:dyDescent="0.3">
      <c r="A53" s="78"/>
      <c r="B53" s="78"/>
      <c r="C53" s="78"/>
      <c r="D53" s="78"/>
      <c r="E53" s="78"/>
      <c r="F53" s="78"/>
      <c r="G53" s="16" t="s">
        <v>1317</v>
      </c>
      <c r="Z53" s="109"/>
      <c r="AA53" s="109"/>
      <c r="AB53" s="109"/>
      <c r="AC53" s="109"/>
      <c r="AD53" s="109"/>
      <c r="AE53" s="109"/>
      <c r="AF53" s="109"/>
      <c r="AG53" s="109"/>
      <c r="AH53" s="109"/>
      <c r="AI53" s="109"/>
      <c r="AJ53" s="109"/>
      <c r="AK53" s="109"/>
      <c r="AL53" s="109"/>
      <c r="AM53" s="109"/>
      <c r="AN53" s="109"/>
      <c r="AO53" s="109"/>
      <c r="AP53" s="109"/>
      <c r="AQ53" s="109"/>
      <c r="AR53" s="109"/>
      <c r="AS53" s="109"/>
    </row>
    <row r="54" spans="1:45" ht="12.6" customHeight="1" x14ac:dyDescent="0.3">
      <c r="A54" s="68"/>
      <c r="B54" s="77" t="s">
        <v>1331</v>
      </c>
      <c r="C54" s="100">
        <f>E54+D54+F54</f>
        <v>363.2</v>
      </c>
      <c r="D54" s="100">
        <f>SUMIF(N49:N53,M54,D49:D53)</f>
        <v>0</v>
      </c>
      <c r="E54" s="100">
        <f>SUMIF(N49:N53,M54,E49:E53)</f>
        <v>0</v>
      </c>
      <c r="F54" s="100">
        <f>SUMIF(N49:N53,M54,F49:F53)</f>
        <v>363.2</v>
      </c>
      <c r="G54" s="16" t="s">
        <v>1363</v>
      </c>
      <c r="M54" s="20" t="s">
        <v>1332</v>
      </c>
      <c r="N54" s="20" t="s">
        <v>1341</v>
      </c>
      <c r="Z54" s="109"/>
      <c r="AA54" s="109"/>
      <c r="AB54" s="109"/>
      <c r="AC54" s="109"/>
      <c r="AD54" s="109"/>
      <c r="AE54" s="109"/>
      <c r="AF54" s="109"/>
      <c r="AG54" s="109"/>
      <c r="AH54" s="109"/>
      <c r="AI54" s="109"/>
      <c r="AJ54" s="109"/>
      <c r="AK54" s="109"/>
      <c r="AL54" s="109"/>
      <c r="AM54" s="109"/>
      <c r="AN54" s="109"/>
      <c r="AO54" s="109"/>
      <c r="AP54" s="109"/>
      <c r="AQ54" s="109"/>
      <c r="AR54" s="109"/>
      <c r="AS54" s="109"/>
    </row>
    <row r="55" spans="1:45" ht="12.6" customHeight="1" x14ac:dyDescent="0.3">
      <c r="A55" s="78"/>
      <c r="B55" s="78"/>
      <c r="C55" s="98"/>
      <c r="D55" s="98"/>
      <c r="E55" s="98"/>
      <c r="F55" s="98"/>
      <c r="G55" s="16" t="s">
        <v>1317</v>
      </c>
      <c r="Z55" s="109"/>
      <c r="AA55" s="109"/>
      <c r="AB55" s="109"/>
      <c r="AC55" s="109"/>
      <c r="AD55" s="109"/>
      <c r="AE55" s="109"/>
      <c r="AF55" s="109"/>
      <c r="AG55" s="109"/>
      <c r="AH55" s="109"/>
      <c r="AI55" s="109"/>
      <c r="AJ55" s="109"/>
      <c r="AK55" s="109"/>
      <c r="AL55" s="109"/>
      <c r="AM55" s="109"/>
      <c r="AN55" s="109"/>
      <c r="AO55" s="109"/>
      <c r="AP55" s="109"/>
      <c r="AQ55" s="109"/>
      <c r="AR55" s="109"/>
      <c r="AS55" s="109"/>
    </row>
    <row r="56" spans="1:45" ht="12.6" customHeight="1" x14ac:dyDescent="0.3">
      <c r="A56" s="68"/>
      <c r="B56" s="77" t="s">
        <v>1340</v>
      </c>
      <c r="C56" s="100">
        <f>E56+D56+F56</f>
        <v>1876.8999999999999</v>
      </c>
      <c r="D56" s="100">
        <f>SUMIF(N34:N55,M56,D34:D55)</f>
        <v>779.8</v>
      </c>
      <c r="E56" s="100">
        <f>SUMIF(N34:N55,M56,E34:E55)</f>
        <v>407.4</v>
      </c>
      <c r="F56" s="100">
        <f>SUMIF(N34:N55,M56,F34:F55)</f>
        <v>689.7</v>
      </c>
      <c r="G56" s="16" t="s">
        <v>1368</v>
      </c>
      <c r="M56" s="20" t="s">
        <v>1341</v>
      </c>
      <c r="N56" s="20" t="s">
        <v>1400</v>
      </c>
      <c r="Z56" s="109"/>
      <c r="AA56" s="109"/>
      <c r="AB56" s="109"/>
      <c r="AC56" s="109"/>
      <c r="AD56" s="109"/>
      <c r="AE56" s="109"/>
      <c r="AF56" s="109"/>
      <c r="AG56" s="109"/>
      <c r="AH56" s="109"/>
      <c r="AI56" s="109"/>
      <c r="AJ56" s="109"/>
      <c r="AK56" s="109"/>
      <c r="AL56" s="109"/>
      <c r="AM56" s="109"/>
      <c r="AN56" s="109"/>
      <c r="AO56" s="109"/>
      <c r="AP56" s="109"/>
      <c r="AQ56" s="109"/>
      <c r="AR56" s="109"/>
      <c r="AS56" s="109"/>
    </row>
    <row r="57" spans="1:45" ht="12.6" customHeight="1" x14ac:dyDescent="0.3">
      <c r="A57" s="78"/>
      <c r="B57" s="78"/>
      <c r="C57" s="98"/>
      <c r="D57" s="98"/>
      <c r="E57" s="98"/>
      <c r="F57" s="98"/>
      <c r="G57" s="16" t="s">
        <v>1317</v>
      </c>
      <c r="Z57" s="109"/>
      <c r="AA57" s="109"/>
      <c r="AB57" s="109"/>
      <c r="AC57" s="109"/>
      <c r="AD57" s="109"/>
      <c r="AE57" s="109"/>
      <c r="AF57" s="109"/>
      <c r="AG57" s="109"/>
      <c r="AH57" s="109"/>
      <c r="AI57" s="109"/>
      <c r="AJ57" s="109"/>
      <c r="AK57" s="109"/>
      <c r="AL57" s="109"/>
      <c r="AM57" s="109"/>
      <c r="AN57" s="109"/>
      <c r="AO57" s="109"/>
      <c r="AP57" s="109"/>
      <c r="AQ57" s="109"/>
      <c r="AR57" s="109"/>
      <c r="AS57" s="109"/>
    </row>
    <row r="58" spans="1:45" ht="12.6" customHeight="1" x14ac:dyDescent="0.3">
      <c r="A58" s="78"/>
      <c r="B58" s="78"/>
      <c r="C58" s="78"/>
      <c r="D58" s="78"/>
      <c r="E58" s="78"/>
      <c r="F58" s="78"/>
      <c r="G58" s="16" t="s">
        <v>1317</v>
      </c>
      <c r="Z58" s="109"/>
      <c r="AA58" s="109"/>
      <c r="AB58" s="109"/>
      <c r="AC58" s="109"/>
      <c r="AD58" s="109"/>
      <c r="AE58" s="109"/>
      <c r="AF58" s="109"/>
      <c r="AG58" s="109"/>
      <c r="AH58" s="109"/>
      <c r="AI58" s="109"/>
      <c r="AJ58" s="109"/>
      <c r="AK58" s="109"/>
      <c r="AL58" s="109"/>
      <c r="AM58" s="109"/>
      <c r="AN58" s="109"/>
      <c r="AO58" s="109"/>
      <c r="AP58" s="109"/>
      <c r="AQ58" s="109"/>
      <c r="AR58" s="109"/>
      <c r="AS58" s="109"/>
    </row>
    <row r="59" spans="1:45" ht="12.6" customHeight="1" x14ac:dyDescent="0.3">
      <c r="A59" s="68"/>
      <c r="B59" s="77" t="s">
        <v>1370</v>
      </c>
      <c r="C59" s="78"/>
      <c r="D59" s="78"/>
      <c r="E59" s="78"/>
      <c r="F59" s="78"/>
      <c r="G59" s="16" t="s">
        <v>1369</v>
      </c>
      <c r="Z59" s="109"/>
      <c r="AA59" s="109"/>
      <c r="AB59" s="109"/>
      <c r="AC59" s="109"/>
      <c r="AD59" s="109"/>
      <c r="AE59" s="109"/>
      <c r="AF59" s="109"/>
      <c r="AG59" s="109"/>
      <c r="AH59" s="109"/>
      <c r="AI59" s="109"/>
      <c r="AJ59" s="109"/>
      <c r="AK59" s="109"/>
      <c r="AL59" s="109"/>
      <c r="AM59" s="109"/>
      <c r="AN59" s="109"/>
      <c r="AO59" s="109"/>
      <c r="AP59" s="109"/>
      <c r="AQ59" s="109"/>
      <c r="AR59" s="109"/>
      <c r="AS59" s="109"/>
    </row>
    <row r="60" spans="1:45" ht="12.6" customHeight="1" x14ac:dyDescent="0.3">
      <c r="A60" s="78"/>
      <c r="B60" s="78"/>
      <c r="C60" s="78"/>
      <c r="D60" s="78"/>
      <c r="E60" s="78"/>
      <c r="F60" s="78"/>
      <c r="G60" s="16" t="s">
        <v>1317</v>
      </c>
      <c r="Z60" s="109"/>
      <c r="AA60" s="109"/>
      <c r="AB60" s="109"/>
      <c r="AC60" s="109"/>
      <c r="AD60" s="109"/>
      <c r="AE60" s="109"/>
      <c r="AF60" s="109"/>
      <c r="AG60" s="109"/>
      <c r="AH60" s="109"/>
      <c r="AI60" s="109"/>
      <c r="AJ60" s="109"/>
      <c r="AK60" s="109"/>
      <c r="AL60" s="109"/>
      <c r="AM60" s="109"/>
      <c r="AN60" s="109"/>
      <c r="AO60" s="109"/>
      <c r="AP60" s="109"/>
      <c r="AQ60" s="109"/>
      <c r="AR60" s="109"/>
      <c r="AS60" s="109"/>
    </row>
    <row r="61" spans="1:45" ht="12.6" customHeight="1" x14ac:dyDescent="0.3">
      <c r="A61" s="68"/>
      <c r="B61" s="77" t="s">
        <v>1372</v>
      </c>
      <c r="C61" s="78"/>
      <c r="D61" s="78"/>
      <c r="E61" s="78"/>
      <c r="F61" s="78"/>
      <c r="G61" s="16" t="s">
        <v>1371</v>
      </c>
      <c r="Z61" s="109"/>
      <c r="AA61" s="109"/>
      <c r="AB61" s="109"/>
      <c r="AC61" s="109"/>
      <c r="AD61" s="109"/>
      <c r="AE61" s="109"/>
      <c r="AF61" s="109"/>
      <c r="AG61" s="109"/>
      <c r="AH61" s="109"/>
      <c r="AI61" s="109"/>
      <c r="AJ61" s="109"/>
      <c r="AK61" s="109"/>
      <c r="AL61" s="109"/>
      <c r="AM61" s="109"/>
      <c r="AN61" s="109"/>
      <c r="AO61" s="109"/>
      <c r="AP61" s="109"/>
      <c r="AQ61" s="109"/>
      <c r="AR61" s="109"/>
      <c r="AS61" s="109"/>
    </row>
    <row r="62" spans="1:45" ht="12.6" customHeight="1" x14ac:dyDescent="0.3">
      <c r="A62" s="78"/>
      <c r="B62" s="78"/>
      <c r="C62" s="78"/>
      <c r="D62" s="78"/>
      <c r="E62" s="78"/>
      <c r="F62" s="78"/>
      <c r="G62" s="16" t="s">
        <v>1317</v>
      </c>
      <c r="Z62" s="109"/>
      <c r="AA62" s="109"/>
      <c r="AB62" s="109"/>
      <c r="AC62" s="109"/>
      <c r="AD62" s="109"/>
      <c r="AE62" s="109"/>
      <c r="AF62" s="109"/>
      <c r="AG62" s="109"/>
      <c r="AH62" s="109"/>
      <c r="AI62" s="109"/>
      <c r="AJ62" s="109"/>
      <c r="AK62" s="109"/>
      <c r="AL62" s="109"/>
      <c r="AM62" s="109"/>
      <c r="AN62" s="109"/>
      <c r="AO62" s="109"/>
      <c r="AP62" s="109"/>
      <c r="AQ62" s="109"/>
      <c r="AR62" s="109"/>
      <c r="AS62" s="109"/>
    </row>
    <row r="63" spans="1:45" ht="12.6" customHeight="1" x14ac:dyDescent="0.3">
      <c r="A63" s="68" t="s">
        <v>1374</v>
      </c>
      <c r="B63" s="97" t="str">
        <f>" 노 무 비  : "&amp;TEXT(I63,"#,##0"&amp;IF(I63&lt;&gt;INT(I63),".###",""))&amp;"  * "&amp;AA63&amp;" = "&amp;TEXT(C63,"#,##0.0")&amp;""</f>
        <v xml:space="preserve"> 노 무 비  : 55,700  * 0.008 = 445.6</v>
      </c>
      <c r="C63" s="99">
        <f>E63+D63+F63</f>
        <v>445.6</v>
      </c>
      <c r="D63" s="99">
        <f>IF(H63=0,0,ROUNDDOWN(J63*H63,1))</f>
        <v>445.6</v>
      </c>
      <c r="E63" s="99">
        <f>IF(H63=0,0,ROUNDDOWN(K63*H63,1))</f>
        <v>0</v>
      </c>
      <c r="F63" s="99">
        <f>IF(H63=0,0,ROUNDDOWN(L63*H63,1))</f>
        <v>0</v>
      </c>
      <c r="G63" s="16" t="s">
        <v>1373</v>
      </c>
      <c r="H63" s="105">
        <f>AC63</f>
        <v>8.0000000000000002E-3</v>
      </c>
      <c r="I63" s="106">
        <f>K63+J63+L63</f>
        <v>55700</v>
      </c>
      <c r="J63" s="39">
        <f>중기목록표!F8</f>
        <v>55700</v>
      </c>
      <c r="M63" s="20" t="s">
        <v>1375</v>
      </c>
      <c r="N63" s="20" t="s">
        <v>1341</v>
      </c>
      <c r="X63" s="108" t="str">
        <f>중기목록표!B8&amp;" / "&amp;중기목록표!C8</f>
        <v xml:space="preserve">굴삭기(1.0m3) / </v>
      </c>
      <c r="Y63" s="19" t="str">
        <f ca="1">HYPERLINK("#"&amp;중기목록표!J2&amp;"!A"&amp;ROW(중기목록표!A8),"중기    5 →")</f>
        <v>중기    5 →</v>
      </c>
      <c r="Z63" s="20" t="s">
        <v>1338</v>
      </c>
      <c r="AA63" s="110">
        <v>8.0000000000000002E-3</v>
      </c>
      <c r="AB63" s="20" t="s">
        <v>1326</v>
      </c>
      <c r="AC63" s="113">
        <f>1*AA63</f>
        <v>8.0000000000000002E-3</v>
      </c>
      <c r="AD63" s="109"/>
      <c r="AE63" s="109"/>
      <c r="AF63" s="109"/>
      <c r="AG63" s="109"/>
      <c r="AH63" s="109"/>
      <c r="AI63" s="109"/>
      <c r="AJ63" s="109"/>
      <c r="AK63" s="109"/>
      <c r="AL63" s="109"/>
      <c r="AM63" s="109"/>
      <c r="AN63" s="109"/>
      <c r="AO63" s="109"/>
      <c r="AP63" s="109"/>
      <c r="AQ63" s="109"/>
      <c r="AR63" s="109"/>
      <c r="AS63" s="109"/>
    </row>
    <row r="64" spans="1:45" ht="12.6" customHeight="1" x14ac:dyDescent="0.3">
      <c r="A64" s="78"/>
      <c r="B64" s="78"/>
      <c r="C64" s="78"/>
      <c r="D64" s="78"/>
      <c r="E64" s="78"/>
      <c r="F64" s="78"/>
      <c r="G64" s="16" t="s">
        <v>1317</v>
      </c>
      <c r="Z64" s="109"/>
      <c r="AA64" s="109"/>
      <c r="AB64" s="109"/>
      <c r="AC64" s="109"/>
      <c r="AD64" s="109"/>
      <c r="AE64" s="109"/>
      <c r="AF64" s="109"/>
      <c r="AG64" s="109"/>
      <c r="AH64" s="109"/>
      <c r="AI64" s="109"/>
      <c r="AJ64" s="109"/>
      <c r="AK64" s="109"/>
      <c r="AL64" s="109"/>
      <c r="AM64" s="109"/>
      <c r="AN64" s="109"/>
      <c r="AO64" s="109"/>
      <c r="AP64" s="109"/>
      <c r="AQ64" s="109"/>
      <c r="AR64" s="109"/>
      <c r="AS64" s="109"/>
    </row>
    <row r="65" spans="1:45" ht="12.6" customHeight="1" x14ac:dyDescent="0.3">
      <c r="A65" s="68" t="s">
        <v>1377</v>
      </c>
      <c r="B65" s="97" t="str">
        <f>" 재 료 비  : "&amp;TEXT(I65,"#,##0"&amp;IF(I65&lt;&gt;INT(I65),".###",""))&amp;"  * "&amp;AA65&amp;" = "&amp;TEXT(C65,"#,##0.0")&amp;""</f>
        <v xml:space="preserve"> 재 료 비  : 30,260  * 0.008 = 242.0</v>
      </c>
      <c r="C65" s="99">
        <f>E65+D65+F65</f>
        <v>242</v>
      </c>
      <c r="D65" s="99">
        <f>IF(H65=0,0,ROUNDDOWN(J65*H65,1))</f>
        <v>0</v>
      </c>
      <c r="E65" s="99">
        <f>IF(H65=0,0,ROUNDDOWN(K65*H65,1))</f>
        <v>242</v>
      </c>
      <c r="F65" s="99">
        <f>IF(H65=0,0,ROUNDDOWN(L65*H65,1))</f>
        <v>0</v>
      </c>
      <c r="G65" s="16" t="s">
        <v>1376</v>
      </c>
      <c r="H65" s="105">
        <f>AC65</f>
        <v>8.0000000000000002E-3</v>
      </c>
      <c r="I65" s="106">
        <f>K65+J65+L65</f>
        <v>30260</v>
      </c>
      <c r="K65" s="39">
        <f>중기목록표!G8</f>
        <v>30260</v>
      </c>
      <c r="M65" s="20" t="s">
        <v>1375</v>
      </c>
      <c r="N65" s="20" t="s">
        <v>1341</v>
      </c>
      <c r="X65" s="108" t="str">
        <f>중기목록표!B8&amp;" / "&amp;중기목록표!C8</f>
        <v xml:space="preserve">굴삭기(1.0m3) / </v>
      </c>
      <c r="Y65" s="19" t="str">
        <f ca="1">HYPERLINK("#"&amp;중기목록표!J2&amp;"!A"&amp;ROW(중기목록표!A8),"중기    5 →")</f>
        <v>중기    5 →</v>
      </c>
      <c r="Z65" s="20" t="s">
        <v>1338</v>
      </c>
      <c r="AA65" s="110">
        <v>8.0000000000000002E-3</v>
      </c>
      <c r="AB65" s="20" t="s">
        <v>1326</v>
      </c>
      <c r="AC65" s="113">
        <f>1*AA65</f>
        <v>8.0000000000000002E-3</v>
      </c>
      <c r="AD65" s="109"/>
      <c r="AE65" s="109"/>
      <c r="AF65" s="109"/>
      <c r="AG65" s="109"/>
      <c r="AH65" s="109"/>
      <c r="AI65" s="109"/>
      <c r="AJ65" s="109"/>
      <c r="AK65" s="109"/>
      <c r="AL65" s="109"/>
      <c r="AM65" s="109"/>
      <c r="AN65" s="109"/>
      <c r="AO65" s="109"/>
      <c r="AP65" s="109"/>
      <c r="AQ65" s="109"/>
      <c r="AR65" s="109"/>
      <c r="AS65" s="109"/>
    </row>
    <row r="66" spans="1:45" ht="12.6" customHeight="1" x14ac:dyDescent="0.3">
      <c r="A66" s="78"/>
      <c r="B66" s="78"/>
      <c r="C66" s="78"/>
      <c r="D66" s="78"/>
      <c r="E66" s="78"/>
      <c r="F66" s="78"/>
      <c r="G66" s="16" t="s">
        <v>1317</v>
      </c>
      <c r="Z66" s="109"/>
      <c r="AA66" s="109"/>
      <c r="AB66" s="109"/>
      <c r="AC66" s="109"/>
      <c r="AD66" s="109"/>
      <c r="AE66" s="109"/>
      <c r="AF66" s="109"/>
      <c r="AG66" s="109"/>
      <c r="AH66" s="109"/>
      <c r="AI66" s="109"/>
      <c r="AJ66" s="109"/>
      <c r="AK66" s="109"/>
      <c r="AL66" s="109"/>
      <c r="AM66" s="109"/>
      <c r="AN66" s="109"/>
      <c r="AO66" s="109"/>
      <c r="AP66" s="109"/>
      <c r="AQ66" s="109"/>
      <c r="AR66" s="109"/>
      <c r="AS66" s="109"/>
    </row>
    <row r="67" spans="1:45" ht="12.6" customHeight="1" x14ac:dyDescent="0.3">
      <c r="A67" s="68" t="s">
        <v>1379</v>
      </c>
      <c r="B67" s="97" t="str">
        <f>" 경    비  : "&amp;TEXT(I67,"#,##0"&amp;IF(I67&lt;&gt;INT(I67),".###",""))&amp;"  * "&amp;AA67&amp;" = "&amp;TEXT(C67,"#,##0.0")&amp;""</f>
        <v xml:space="preserve"> 경    비  : 27,901  * 0.008 = 223.2</v>
      </c>
      <c r="C67" s="99">
        <f>E67+D67+F67</f>
        <v>223.2</v>
      </c>
      <c r="D67" s="99">
        <f>IF(H67=0,0,ROUNDDOWN(J67*H67,1))</f>
        <v>0</v>
      </c>
      <c r="E67" s="99">
        <f>IF(H67=0,0,ROUNDDOWN(K67*H67,1))</f>
        <v>0</v>
      </c>
      <c r="F67" s="99">
        <f>IF(H67=0,0,ROUNDDOWN(L67*H67,1))</f>
        <v>223.2</v>
      </c>
      <c r="G67" s="16" t="s">
        <v>1378</v>
      </c>
      <c r="H67" s="105">
        <f>AC67</f>
        <v>8.0000000000000002E-3</v>
      </c>
      <c r="I67" s="106">
        <f>K67+J67+L67</f>
        <v>27901</v>
      </c>
      <c r="L67" s="39">
        <f>중기목록표!H8</f>
        <v>27901</v>
      </c>
      <c r="M67" s="20" t="s">
        <v>1375</v>
      </c>
      <c r="N67" s="20" t="s">
        <v>1341</v>
      </c>
      <c r="X67" s="108" t="str">
        <f>중기목록표!B8&amp;" / "&amp;중기목록표!C8</f>
        <v xml:space="preserve">굴삭기(1.0m3) / </v>
      </c>
      <c r="Y67" s="19" t="str">
        <f ca="1">HYPERLINK("#"&amp;중기목록표!J2&amp;"!A"&amp;ROW(중기목록표!A8),"중기    5 →")</f>
        <v>중기    5 →</v>
      </c>
      <c r="Z67" s="20" t="s">
        <v>1338</v>
      </c>
      <c r="AA67" s="110">
        <v>8.0000000000000002E-3</v>
      </c>
      <c r="AB67" s="20" t="s">
        <v>1326</v>
      </c>
      <c r="AC67" s="113">
        <f>1*AA67</f>
        <v>8.0000000000000002E-3</v>
      </c>
      <c r="AD67" s="109"/>
      <c r="AE67" s="109"/>
      <c r="AF67" s="109"/>
      <c r="AG67" s="109"/>
      <c r="AH67" s="109"/>
      <c r="AI67" s="109"/>
      <c r="AJ67" s="109"/>
      <c r="AK67" s="109"/>
      <c r="AL67" s="109"/>
      <c r="AM67" s="109"/>
      <c r="AN67" s="109"/>
      <c r="AO67" s="109"/>
      <c r="AP67" s="109"/>
      <c r="AQ67" s="109"/>
      <c r="AR67" s="109"/>
      <c r="AS67" s="109"/>
    </row>
    <row r="68" spans="1:45" ht="12.6" customHeight="1" x14ac:dyDescent="0.3">
      <c r="A68" s="78"/>
      <c r="B68" s="78"/>
      <c r="C68" s="78"/>
      <c r="D68" s="78"/>
      <c r="E68" s="78"/>
      <c r="F68" s="78"/>
      <c r="G68" s="16" t="s">
        <v>1317</v>
      </c>
      <c r="Z68" s="109"/>
      <c r="AA68" s="109"/>
      <c r="AB68" s="109"/>
      <c r="AC68" s="109"/>
      <c r="AD68" s="109"/>
      <c r="AE68" s="109"/>
      <c r="AF68" s="109"/>
      <c r="AG68" s="109"/>
      <c r="AH68" s="109"/>
      <c r="AI68" s="109"/>
      <c r="AJ68" s="109"/>
      <c r="AK68" s="109"/>
      <c r="AL68" s="109"/>
      <c r="AM68" s="109"/>
      <c r="AN68" s="109"/>
      <c r="AO68" s="109"/>
      <c r="AP68" s="109"/>
      <c r="AQ68" s="109"/>
      <c r="AR68" s="109"/>
      <c r="AS68" s="109"/>
    </row>
    <row r="69" spans="1:45" ht="12.6" customHeight="1" x14ac:dyDescent="0.3">
      <c r="A69" s="68"/>
      <c r="B69" s="77" t="s">
        <v>1340</v>
      </c>
      <c r="C69" s="100">
        <f>E69+D69+F69</f>
        <v>910.8</v>
      </c>
      <c r="D69" s="100">
        <f>SUMIF(N57:N68,M69,D57:D68)</f>
        <v>445.6</v>
      </c>
      <c r="E69" s="100">
        <f>SUMIF(N57:N68,M69,E57:E68)</f>
        <v>242</v>
      </c>
      <c r="F69" s="100">
        <f>SUMIF(N57:N68,M69,F57:F68)</f>
        <v>223.2</v>
      </c>
      <c r="G69" s="16" t="s">
        <v>1380</v>
      </c>
      <c r="M69" s="20" t="s">
        <v>1341</v>
      </c>
      <c r="N69" s="20" t="s">
        <v>1400</v>
      </c>
      <c r="Z69" s="109"/>
      <c r="AA69" s="109"/>
      <c r="AB69" s="109"/>
      <c r="AC69" s="109"/>
      <c r="AD69" s="109"/>
      <c r="AE69" s="109"/>
      <c r="AF69" s="109"/>
      <c r="AG69" s="109"/>
      <c r="AH69" s="109"/>
      <c r="AI69" s="109"/>
      <c r="AJ69" s="109"/>
      <c r="AK69" s="109"/>
      <c r="AL69" s="109"/>
      <c r="AM69" s="109"/>
      <c r="AN69" s="109"/>
      <c r="AO69" s="109"/>
      <c r="AP69" s="109"/>
      <c r="AQ69" s="109"/>
      <c r="AR69" s="109"/>
      <c r="AS69" s="109"/>
    </row>
    <row r="70" spans="1:45" ht="12.6" customHeight="1" x14ac:dyDescent="0.3">
      <c r="A70" s="78"/>
      <c r="B70" s="78"/>
      <c r="C70" s="98"/>
      <c r="D70" s="98"/>
      <c r="E70" s="98"/>
      <c r="F70" s="98"/>
      <c r="G70" s="16" t="s">
        <v>1317</v>
      </c>
      <c r="Z70" s="109"/>
      <c r="AA70" s="109"/>
      <c r="AB70" s="109"/>
      <c r="AC70" s="109"/>
      <c r="AD70" s="109"/>
      <c r="AE70" s="109"/>
      <c r="AF70" s="109"/>
      <c r="AG70" s="109"/>
      <c r="AH70" s="109"/>
      <c r="AI70" s="109"/>
      <c r="AJ70" s="109"/>
      <c r="AK70" s="109"/>
      <c r="AL70" s="109"/>
      <c r="AM70" s="109"/>
      <c r="AN70" s="109"/>
      <c r="AO70" s="109"/>
      <c r="AP70" s="109"/>
      <c r="AQ70" s="109"/>
      <c r="AR70" s="109"/>
      <c r="AS70" s="109"/>
    </row>
    <row r="71" spans="1:45" ht="12.6" customHeight="1" x14ac:dyDescent="0.3">
      <c r="A71" s="78"/>
      <c r="B71" s="78"/>
      <c r="C71" s="78"/>
      <c r="D71" s="78"/>
      <c r="E71" s="78"/>
      <c r="F71" s="78"/>
      <c r="G71" s="16" t="s">
        <v>1317</v>
      </c>
      <c r="Z71" s="109"/>
      <c r="AA71" s="109"/>
      <c r="AB71" s="109"/>
      <c r="AC71" s="109"/>
      <c r="AD71" s="109"/>
      <c r="AE71" s="109"/>
      <c r="AF71" s="109"/>
      <c r="AG71" s="109"/>
      <c r="AH71" s="109"/>
      <c r="AI71" s="109"/>
      <c r="AJ71" s="109"/>
      <c r="AK71" s="109"/>
      <c r="AL71" s="109"/>
      <c r="AM71" s="109"/>
      <c r="AN71" s="109"/>
      <c r="AO71" s="109"/>
      <c r="AP71" s="109"/>
      <c r="AQ71" s="109"/>
      <c r="AR71" s="109"/>
      <c r="AS71" s="109"/>
    </row>
    <row r="72" spans="1:45" ht="12.6" customHeight="1" x14ac:dyDescent="0.3">
      <c r="A72" s="68"/>
      <c r="B72" s="77" t="s">
        <v>1382</v>
      </c>
      <c r="C72" s="78"/>
      <c r="D72" s="78"/>
      <c r="E72" s="78"/>
      <c r="F72" s="78"/>
      <c r="G72" s="16" t="s">
        <v>1381</v>
      </c>
      <c r="Z72" s="109"/>
      <c r="AA72" s="109"/>
      <c r="AB72" s="109"/>
      <c r="AC72" s="109"/>
      <c r="AD72" s="109"/>
      <c r="AE72" s="109"/>
      <c r="AF72" s="109"/>
      <c r="AG72" s="109"/>
      <c r="AH72" s="109"/>
      <c r="AI72" s="109"/>
      <c r="AJ72" s="109"/>
      <c r="AK72" s="109"/>
      <c r="AL72" s="109"/>
      <c r="AM72" s="109"/>
      <c r="AN72" s="109"/>
      <c r="AO72" s="109"/>
      <c r="AP72" s="109"/>
      <c r="AQ72" s="109"/>
      <c r="AR72" s="109"/>
      <c r="AS72" s="109"/>
    </row>
    <row r="73" spans="1:45" ht="12.6" customHeight="1" x14ac:dyDescent="0.3">
      <c r="A73" s="78"/>
      <c r="B73" s="78"/>
      <c r="C73" s="78"/>
      <c r="D73" s="78"/>
      <c r="E73" s="78"/>
      <c r="F73" s="78"/>
      <c r="G73" s="16" t="s">
        <v>1317</v>
      </c>
      <c r="Z73" s="109"/>
      <c r="AA73" s="109"/>
      <c r="AB73" s="109"/>
      <c r="AC73" s="109"/>
      <c r="AD73" s="109"/>
      <c r="AE73" s="109"/>
      <c r="AF73" s="109"/>
      <c r="AG73" s="109"/>
      <c r="AH73" s="109"/>
      <c r="AI73" s="109"/>
      <c r="AJ73" s="109"/>
      <c r="AK73" s="109"/>
      <c r="AL73" s="109"/>
      <c r="AM73" s="109"/>
      <c r="AN73" s="109"/>
      <c r="AO73" s="109"/>
      <c r="AP73" s="109"/>
      <c r="AQ73" s="109"/>
      <c r="AR73" s="109"/>
      <c r="AS73" s="109"/>
    </row>
    <row r="74" spans="1:45" ht="12.6" customHeight="1" x14ac:dyDescent="0.3">
      <c r="A74" s="68"/>
      <c r="B74" s="97" t="str">
        <f>" q (버킷용량)  = "&amp;Z74&amp;" , k (버킷계수)  = "&amp;AD74&amp;" ,  E (작업효율)  = "&amp;AH74&amp;""</f>
        <v xml:space="preserve"> q (버킷용량)  = 1 , k (버킷계수)  = 0.55 ,  E (작업효율)  = 0.45</v>
      </c>
      <c r="C74" s="78"/>
      <c r="D74" s="78"/>
      <c r="E74" s="78"/>
      <c r="F74" s="78"/>
      <c r="G74" s="16" t="s">
        <v>1383</v>
      </c>
      <c r="Z74" s="111">
        <v>1</v>
      </c>
      <c r="AA74" s="20" t="s">
        <v>1326</v>
      </c>
      <c r="AB74" s="112">
        <f>Z74</f>
        <v>1</v>
      </c>
      <c r="AC74" s="20" t="s">
        <v>1385</v>
      </c>
      <c r="AD74" s="110">
        <v>0.55000000000000004</v>
      </c>
      <c r="AE74" s="20" t="s">
        <v>1326</v>
      </c>
      <c r="AF74" s="112">
        <f>AD74</f>
        <v>0.55000000000000004</v>
      </c>
      <c r="AG74" s="20" t="s">
        <v>1385</v>
      </c>
      <c r="AH74" s="110">
        <v>0.45</v>
      </c>
      <c r="AI74" s="20" t="s">
        <v>1326</v>
      </c>
      <c r="AJ74" s="112">
        <f>AH74</f>
        <v>0.45</v>
      </c>
      <c r="AK74" s="20" t="s">
        <v>1385</v>
      </c>
      <c r="AL74" s="109"/>
      <c r="AM74" s="109"/>
      <c r="AN74" s="109"/>
      <c r="AO74" s="109"/>
      <c r="AP74" s="109"/>
      <c r="AQ74" s="109"/>
      <c r="AR74" s="109"/>
      <c r="AS74" s="109"/>
    </row>
    <row r="75" spans="1:45" ht="12.6" customHeight="1" x14ac:dyDescent="0.3">
      <c r="A75" s="78"/>
      <c r="B75" s="78"/>
      <c r="C75" s="78"/>
      <c r="D75" s="78"/>
      <c r="E75" s="78"/>
      <c r="F75" s="78"/>
      <c r="G75" s="16" t="s">
        <v>1317</v>
      </c>
      <c r="Z75" s="109"/>
      <c r="AA75" s="109"/>
      <c r="AB75" s="109"/>
      <c r="AC75" s="109"/>
      <c r="AD75" s="109"/>
      <c r="AE75" s="109"/>
      <c r="AF75" s="109"/>
      <c r="AG75" s="109"/>
      <c r="AH75" s="109"/>
      <c r="AI75" s="109"/>
      <c r="AJ75" s="109"/>
      <c r="AK75" s="109"/>
      <c r="AL75" s="109"/>
      <c r="AM75" s="109"/>
      <c r="AN75" s="109"/>
      <c r="AO75" s="109"/>
      <c r="AP75" s="109"/>
      <c r="AQ75" s="109"/>
      <c r="AR75" s="109"/>
      <c r="AS75" s="109"/>
    </row>
    <row r="76" spans="1:45" ht="12.6" customHeight="1" x14ac:dyDescent="0.3">
      <c r="A76" s="68"/>
      <c r="B76" s="97" t="str">
        <f>" f (체적환산계수)  = "&amp;Z76&amp;" / "&amp;AB76&amp;"  = "&amp;AD76&amp;""</f>
        <v xml:space="preserve"> f (체적환산계수)  = 1.15 / 1.85  = 0.62</v>
      </c>
      <c r="C76" s="78"/>
      <c r="D76" s="78"/>
      <c r="E76" s="78"/>
      <c r="F76" s="78"/>
      <c r="G76" s="16" t="s">
        <v>1384</v>
      </c>
      <c r="Z76" s="110">
        <v>1.1499999999999999</v>
      </c>
      <c r="AA76" s="20" t="s">
        <v>1387</v>
      </c>
      <c r="AB76" s="110">
        <v>1.85</v>
      </c>
      <c r="AC76" s="20" t="s">
        <v>1326</v>
      </c>
      <c r="AD76" s="112" t="str">
        <f>TEXT(ROUND(Z76/AB76,2),"0.00")</f>
        <v>0.62</v>
      </c>
      <c r="AE76" s="109"/>
      <c r="AF76" s="109"/>
      <c r="AG76" s="109"/>
      <c r="AH76" s="109"/>
      <c r="AI76" s="109"/>
      <c r="AJ76" s="109"/>
      <c r="AK76" s="109"/>
      <c r="AL76" s="109"/>
      <c r="AM76" s="109"/>
      <c r="AN76" s="109"/>
      <c r="AO76" s="109"/>
      <c r="AP76" s="109"/>
      <c r="AQ76" s="109"/>
      <c r="AR76" s="109"/>
      <c r="AS76" s="109"/>
    </row>
    <row r="77" spans="1:45" ht="12.6" customHeight="1" x14ac:dyDescent="0.3">
      <c r="A77" s="78"/>
      <c r="B77" s="78"/>
      <c r="C77" s="78"/>
      <c r="D77" s="78"/>
      <c r="E77" s="78"/>
      <c r="F77" s="78"/>
      <c r="G77" s="16" t="s">
        <v>1317</v>
      </c>
      <c r="Z77" s="109"/>
      <c r="AA77" s="109"/>
      <c r="AB77" s="109"/>
      <c r="AC77" s="109"/>
      <c r="AD77" s="109"/>
      <c r="AE77" s="109"/>
      <c r="AF77" s="109"/>
      <c r="AG77" s="109"/>
      <c r="AH77" s="109"/>
      <c r="AI77" s="109"/>
      <c r="AJ77" s="109"/>
      <c r="AK77" s="109"/>
      <c r="AL77" s="109"/>
      <c r="AM77" s="109"/>
      <c r="AN77" s="109"/>
      <c r="AO77" s="109"/>
      <c r="AP77" s="109"/>
      <c r="AQ77" s="109"/>
      <c r="AR77" s="109"/>
      <c r="AS77" s="109"/>
    </row>
    <row r="78" spans="1:45" ht="12.6" customHeight="1" x14ac:dyDescent="0.3">
      <c r="A78" s="68"/>
      <c r="B78" s="97" t="str">
        <f>" Cm (1회 사이클 시간(초))  = "&amp;Z78&amp;"  (135°) "</f>
        <v xml:space="preserve"> Cm (1회 사이클 시간(초))  = 20  (135°) </v>
      </c>
      <c r="C78" s="78"/>
      <c r="D78" s="78"/>
      <c r="E78" s="78"/>
      <c r="F78" s="78"/>
      <c r="G78" s="16" t="s">
        <v>1386</v>
      </c>
      <c r="Z78" s="111">
        <v>20</v>
      </c>
      <c r="AA78" s="20" t="s">
        <v>1326</v>
      </c>
      <c r="AB78" s="112">
        <f>Z78</f>
        <v>20</v>
      </c>
      <c r="AC78" s="109"/>
      <c r="AD78" s="109"/>
      <c r="AE78" s="109"/>
      <c r="AF78" s="109"/>
      <c r="AG78" s="109"/>
      <c r="AH78" s="109"/>
      <c r="AI78" s="109"/>
      <c r="AJ78" s="109"/>
      <c r="AK78" s="109"/>
      <c r="AL78" s="109"/>
      <c r="AM78" s="109"/>
      <c r="AN78" s="109"/>
      <c r="AO78" s="109"/>
      <c r="AP78" s="109"/>
      <c r="AQ78" s="109"/>
      <c r="AR78" s="109"/>
      <c r="AS78" s="109"/>
    </row>
    <row r="79" spans="1:45" ht="12.6" customHeight="1" x14ac:dyDescent="0.3">
      <c r="A79" s="78"/>
      <c r="B79" s="78"/>
      <c r="C79" s="78"/>
      <c r="D79" s="78"/>
      <c r="E79" s="78"/>
      <c r="F79" s="78"/>
      <c r="G79" s="16" t="s">
        <v>1317</v>
      </c>
      <c r="Z79" s="109"/>
      <c r="AA79" s="109"/>
      <c r="AB79" s="109"/>
      <c r="AC79" s="109"/>
      <c r="AD79" s="109"/>
      <c r="AE79" s="109"/>
      <c r="AF79" s="109"/>
      <c r="AG79" s="109"/>
      <c r="AH79" s="109"/>
      <c r="AI79" s="109"/>
      <c r="AJ79" s="109"/>
      <c r="AK79" s="109"/>
      <c r="AL79" s="109"/>
      <c r="AM79" s="109"/>
      <c r="AN79" s="109"/>
      <c r="AO79" s="109"/>
      <c r="AP79" s="109"/>
      <c r="AQ79" s="109"/>
      <c r="AR79" s="109"/>
      <c r="AS79" s="109"/>
    </row>
    <row r="80" spans="1:45" ht="12.6" customHeight="1" x14ac:dyDescent="0.3">
      <c r="A80" s="78"/>
      <c r="B80" s="78"/>
      <c r="C80" s="78"/>
      <c r="D80" s="78"/>
      <c r="E80" s="78"/>
      <c r="F80" s="78"/>
      <c r="G80" s="16" t="s">
        <v>1317</v>
      </c>
      <c r="Z80" s="109"/>
      <c r="AA80" s="109"/>
      <c r="AB80" s="109"/>
      <c r="AC80" s="109"/>
      <c r="AD80" s="109"/>
      <c r="AE80" s="109"/>
      <c r="AF80" s="109"/>
      <c r="AG80" s="109"/>
      <c r="AH80" s="109"/>
      <c r="AI80" s="109"/>
      <c r="AJ80" s="109"/>
      <c r="AK80" s="109"/>
      <c r="AL80" s="109"/>
      <c r="AM80" s="109"/>
      <c r="AN80" s="109"/>
      <c r="AO80" s="109"/>
      <c r="AP80" s="109"/>
      <c r="AQ80" s="109"/>
      <c r="AR80" s="109"/>
      <c r="AS80" s="109"/>
    </row>
    <row r="81" spans="1:45" ht="12.6" customHeight="1" x14ac:dyDescent="0.3">
      <c r="A81" s="68"/>
      <c r="B81" s="97" t="str">
        <f>" Q1 (시간당 작업량)  = "&amp;Z81&amp;"*q*k*f*E/Cm = "&amp;AL81&amp;" ㎥/hr "</f>
        <v xml:space="preserve"> Q1 (시간당 작업량)  = 3600*q*k*f*E/Cm = 27.62 ㎥/hr </v>
      </c>
      <c r="C81" s="78"/>
      <c r="D81" s="78"/>
      <c r="E81" s="78"/>
      <c r="F81" s="78"/>
      <c r="G81" s="16" t="s">
        <v>1388</v>
      </c>
      <c r="Z81" s="111">
        <v>3600</v>
      </c>
      <c r="AA81" s="20" t="s">
        <v>1390</v>
      </c>
      <c r="AB81" s="112">
        <f>AB74</f>
        <v>1</v>
      </c>
      <c r="AC81" s="20" t="s">
        <v>1390</v>
      </c>
      <c r="AD81" s="112">
        <f>AF74</f>
        <v>0.55000000000000004</v>
      </c>
      <c r="AE81" s="20" t="s">
        <v>1390</v>
      </c>
      <c r="AF81" s="112" t="str">
        <f>AD76</f>
        <v>0.62</v>
      </c>
      <c r="AG81" s="20" t="s">
        <v>1390</v>
      </c>
      <c r="AH81" s="112">
        <f>AJ74</f>
        <v>0.45</v>
      </c>
      <c r="AI81" s="20" t="s">
        <v>1387</v>
      </c>
      <c r="AJ81" s="112">
        <f>AB78</f>
        <v>20</v>
      </c>
      <c r="AK81" s="20" t="s">
        <v>1326</v>
      </c>
      <c r="AL81" s="112" t="str">
        <f>TEXT(ROUND(Z81*AB74*AF74*AD76*AJ74/AB78,2),"0.00")</f>
        <v>27.62</v>
      </c>
      <c r="AM81" s="109"/>
      <c r="AN81" s="109"/>
      <c r="AO81" s="109"/>
      <c r="AP81" s="109"/>
      <c r="AQ81" s="109"/>
      <c r="AR81" s="109"/>
      <c r="AS81" s="109"/>
    </row>
    <row r="82" spans="1:45" ht="12.6" customHeight="1" x14ac:dyDescent="0.3">
      <c r="A82" s="78"/>
      <c r="B82" s="78"/>
      <c r="C82" s="78"/>
      <c r="D82" s="78"/>
      <c r="E82" s="78"/>
      <c r="F82" s="78"/>
      <c r="G82" s="16" t="s">
        <v>1317</v>
      </c>
      <c r="Z82" s="109"/>
      <c r="AA82" s="109"/>
      <c r="AB82" s="109"/>
      <c r="AC82" s="109"/>
      <c r="AD82" s="109"/>
      <c r="AE82" s="109"/>
      <c r="AF82" s="109"/>
      <c r="AG82" s="109"/>
      <c r="AH82" s="109"/>
      <c r="AI82" s="109"/>
      <c r="AJ82" s="109"/>
      <c r="AK82" s="109"/>
      <c r="AL82" s="109"/>
      <c r="AM82" s="109"/>
      <c r="AN82" s="109"/>
      <c r="AO82" s="109"/>
      <c r="AP82" s="109"/>
      <c r="AQ82" s="109"/>
      <c r="AR82" s="109"/>
      <c r="AS82" s="109"/>
    </row>
    <row r="83" spans="1:45" ht="12.6" customHeight="1" x14ac:dyDescent="0.3">
      <c r="A83" s="78"/>
      <c r="B83" s="78"/>
      <c r="C83" s="78"/>
      <c r="D83" s="78"/>
      <c r="E83" s="78"/>
      <c r="F83" s="78"/>
      <c r="G83" s="16" t="s">
        <v>1317</v>
      </c>
      <c r="Z83" s="109"/>
      <c r="AA83" s="109"/>
      <c r="AB83" s="109"/>
      <c r="AC83" s="109"/>
      <c r="AD83" s="109"/>
      <c r="AE83" s="109"/>
      <c r="AF83" s="109"/>
      <c r="AG83" s="109"/>
      <c r="AH83" s="109"/>
      <c r="AI83" s="109"/>
      <c r="AJ83" s="109"/>
      <c r="AK83" s="109"/>
      <c r="AL83" s="109"/>
      <c r="AM83" s="109"/>
      <c r="AN83" s="109"/>
      <c r="AO83" s="109"/>
      <c r="AP83" s="109"/>
      <c r="AQ83" s="109"/>
      <c r="AR83" s="109"/>
      <c r="AS83" s="109"/>
    </row>
    <row r="84" spans="1:45" ht="12.6" customHeight="1" x14ac:dyDescent="0.3">
      <c r="A84" s="68" t="s">
        <v>1391</v>
      </c>
      <c r="B84" s="97" t="str">
        <f>" 노 무 비  :   "&amp;TEXT(I84,"#,##0"&amp;IF(I84&lt;&gt;INT(I84),".###",""))&amp;" / Q1  / "&amp;AC84&amp;"  = "&amp;TEXT(C84,"#,##0.0")&amp;""</f>
        <v xml:space="preserve"> 노 무 비  :   55,700 / Q1  / 2  = 1,008.3</v>
      </c>
      <c r="C84" s="99">
        <f>E84+D84+F84</f>
        <v>1008.3</v>
      </c>
      <c r="D84" s="99">
        <f>IF(H84=0,0,ROUNDDOWN(J84*H84,1))</f>
        <v>1008.3</v>
      </c>
      <c r="E84" s="99">
        <f>IF(H84=0,0,ROUNDDOWN(K84*H84,1))</f>
        <v>0</v>
      </c>
      <c r="F84" s="99">
        <f>IF(H84=0,0,ROUNDDOWN(L84*H84,1))</f>
        <v>0</v>
      </c>
      <c r="G84" s="16" t="s">
        <v>1389</v>
      </c>
      <c r="H84" s="105">
        <f>AE84</f>
        <v>1.8102824040550324E-2</v>
      </c>
      <c r="I84" s="106">
        <f>K84+J84+L84</f>
        <v>55700</v>
      </c>
      <c r="J84" s="39">
        <f>중기목록표!F26</f>
        <v>55700</v>
      </c>
      <c r="M84" s="20" t="s">
        <v>1392</v>
      </c>
      <c r="N84" s="20" t="s">
        <v>1341</v>
      </c>
      <c r="X84" s="108" t="str">
        <f>중기목록표!B26&amp;" / "&amp;중기목록표!C26</f>
        <v>굴삭기(1.0m3) / 할증율:1.20</v>
      </c>
      <c r="Y84" s="19" t="str">
        <f ca="1">HYPERLINK("#"&amp;중기목록표!J2&amp;"!A"&amp;ROW(중기목록표!A26),"중기   23 →")</f>
        <v>중기   23 →</v>
      </c>
      <c r="Z84" s="20" t="s">
        <v>1393</v>
      </c>
      <c r="AA84" s="112" t="str">
        <f>AL81</f>
        <v>27.62</v>
      </c>
      <c r="AB84" s="20" t="s">
        <v>1387</v>
      </c>
      <c r="AC84" s="111">
        <v>2</v>
      </c>
      <c r="AD84" s="20" t="s">
        <v>1326</v>
      </c>
      <c r="AE84" s="113">
        <f>1/AL81/AC84</f>
        <v>1.8102824040550324E-2</v>
      </c>
      <c r="AF84" s="109"/>
      <c r="AG84" s="109"/>
      <c r="AH84" s="109"/>
      <c r="AI84" s="109"/>
      <c r="AJ84" s="109"/>
      <c r="AK84" s="109"/>
      <c r="AL84" s="109"/>
      <c r="AM84" s="109"/>
      <c r="AN84" s="109"/>
      <c r="AO84" s="109"/>
      <c r="AP84" s="109"/>
      <c r="AQ84" s="109"/>
      <c r="AR84" s="109"/>
      <c r="AS84" s="109"/>
    </row>
    <row r="85" spans="1:45" ht="12.6" customHeight="1" x14ac:dyDescent="0.3">
      <c r="A85" s="78"/>
      <c r="B85" s="78"/>
      <c r="C85" s="78"/>
      <c r="D85" s="78"/>
      <c r="E85" s="78"/>
      <c r="F85" s="78"/>
      <c r="G85" s="16" t="s">
        <v>1317</v>
      </c>
      <c r="Z85" s="109"/>
      <c r="AA85" s="109"/>
      <c r="AB85" s="109"/>
      <c r="AC85" s="109"/>
      <c r="AD85" s="109"/>
      <c r="AE85" s="109"/>
      <c r="AF85" s="109"/>
      <c r="AG85" s="109"/>
      <c r="AH85" s="109"/>
      <c r="AI85" s="109"/>
      <c r="AJ85" s="109"/>
      <c r="AK85" s="109"/>
      <c r="AL85" s="109"/>
      <c r="AM85" s="109"/>
      <c r="AN85" s="109"/>
      <c r="AO85" s="109"/>
      <c r="AP85" s="109"/>
      <c r="AQ85" s="109"/>
      <c r="AR85" s="109"/>
      <c r="AS85" s="109"/>
    </row>
    <row r="86" spans="1:45" ht="12.6" customHeight="1" x14ac:dyDescent="0.3">
      <c r="A86" s="78"/>
      <c r="B86" s="78"/>
      <c r="C86" s="78"/>
      <c r="D86" s="78"/>
      <c r="E86" s="78"/>
      <c r="F86" s="78"/>
      <c r="G86" s="16" t="s">
        <v>1317</v>
      </c>
      <c r="Z86" s="109"/>
      <c r="AA86" s="109"/>
      <c r="AB86" s="109"/>
      <c r="AC86" s="109"/>
      <c r="AD86" s="109"/>
      <c r="AE86" s="109"/>
      <c r="AF86" s="109"/>
      <c r="AG86" s="109"/>
      <c r="AH86" s="109"/>
      <c r="AI86" s="109"/>
      <c r="AJ86" s="109"/>
      <c r="AK86" s="109"/>
      <c r="AL86" s="109"/>
      <c r="AM86" s="109"/>
      <c r="AN86" s="109"/>
      <c r="AO86" s="109"/>
      <c r="AP86" s="109"/>
      <c r="AQ86" s="109"/>
      <c r="AR86" s="109"/>
      <c r="AS86" s="109"/>
    </row>
    <row r="87" spans="1:45" ht="12.6" customHeight="1" x14ac:dyDescent="0.3">
      <c r="A87" s="68" t="s">
        <v>1395</v>
      </c>
      <c r="B87" s="97" t="str">
        <f>" 재 료 비  :   "&amp;TEXT(I87,"#,##0"&amp;IF(I87&lt;&gt;INT(I87),".###",""))&amp;" / Q1  / "&amp;AC87&amp;" = "&amp;TEXT(C87,"#,##0.0")&amp;""</f>
        <v xml:space="preserve"> 재 료 비  :   30,260 / Q1  / 2 = 547.7</v>
      </c>
      <c r="C87" s="99">
        <f>E87+D87+F87</f>
        <v>547.70000000000005</v>
      </c>
      <c r="D87" s="99">
        <f>IF(H87=0,0,ROUNDDOWN(J87*H87,1))</f>
        <v>0</v>
      </c>
      <c r="E87" s="99">
        <f>IF(H87=0,0,ROUNDDOWN(K87*H87,1))</f>
        <v>547.70000000000005</v>
      </c>
      <c r="F87" s="99">
        <f>IF(H87=0,0,ROUNDDOWN(L87*H87,1))</f>
        <v>0</v>
      </c>
      <c r="G87" s="16" t="s">
        <v>1394</v>
      </c>
      <c r="H87" s="105">
        <f>AE87</f>
        <v>1.8102824040550324E-2</v>
      </c>
      <c r="I87" s="106">
        <f>K87+J87+L87</f>
        <v>30260</v>
      </c>
      <c r="K87" s="39">
        <f>중기목록표!G26</f>
        <v>30260</v>
      </c>
      <c r="M87" s="20" t="s">
        <v>1392</v>
      </c>
      <c r="N87" s="20" t="s">
        <v>1341</v>
      </c>
      <c r="X87" s="108" t="str">
        <f>중기목록표!B26&amp;" / "&amp;중기목록표!C26</f>
        <v>굴삭기(1.0m3) / 할증율:1.20</v>
      </c>
      <c r="Y87" s="19" t="str">
        <f ca="1">HYPERLINK("#"&amp;중기목록표!J2&amp;"!A"&amp;ROW(중기목록표!A26),"중기   23 →")</f>
        <v>중기   23 →</v>
      </c>
      <c r="Z87" s="20" t="s">
        <v>1393</v>
      </c>
      <c r="AA87" s="112" t="str">
        <f>AL81</f>
        <v>27.62</v>
      </c>
      <c r="AB87" s="20" t="s">
        <v>1387</v>
      </c>
      <c r="AC87" s="111">
        <v>2</v>
      </c>
      <c r="AD87" s="20" t="s">
        <v>1326</v>
      </c>
      <c r="AE87" s="113">
        <f>1/AL81/AC87</f>
        <v>1.8102824040550324E-2</v>
      </c>
      <c r="AF87" s="109"/>
      <c r="AG87" s="109"/>
      <c r="AH87" s="109"/>
      <c r="AI87" s="109"/>
      <c r="AJ87" s="109"/>
      <c r="AK87" s="109"/>
      <c r="AL87" s="109"/>
      <c r="AM87" s="109"/>
      <c r="AN87" s="109"/>
      <c r="AO87" s="109"/>
      <c r="AP87" s="109"/>
      <c r="AQ87" s="109"/>
      <c r="AR87" s="109"/>
      <c r="AS87" s="109"/>
    </row>
    <row r="88" spans="1:45" ht="12.6" customHeight="1" x14ac:dyDescent="0.3">
      <c r="A88" s="78"/>
      <c r="B88" s="78"/>
      <c r="C88" s="78"/>
      <c r="D88" s="78"/>
      <c r="E88" s="78"/>
      <c r="F88" s="78"/>
      <c r="G88" s="16" t="s">
        <v>1317</v>
      </c>
      <c r="Z88" s="109"/>
      <c r="AA88" s="109"/>
      <c r="AB88" s="109"/>
      <c r="AC88" s="109"/>
      <c r="AD88" s="109"/>
      <c r="AE88" s="109"/>
      <c r="AF88" s="109"/>
      <c r="AG88" s="109"/>
      <c r="AH88" s="109"/>
      <c r="AI88" s="109"/>
      <c r="AJ88" s="109"/>
      <c r="AK88" s="109"/>
      <c r="AL88" s="109"/>
      <c r="AM88" s="109"/>
      <c r="AN88" s="109"/>
      <c r="AO88" s="109"/>
      <c r="AP88" s="109"/>
      <c r="AQ88" s="109"/>
      <c r="AR88" s="109"/>
      <c r="AS88" s="109"/>
    </row>
    <row r="89" spans="1:45" ht="12.6" customHeight="1" x14ac:dyDescent="0.3">
      <c r="A89" s="78"/>
      <c r="B89" s="78"/>
      <c r="C89" s="78"/>
      <c r="D89" s="78"/>
      <c r="E89" s="78"/>
      <c r="F89" s="78"/>
      <c r="G89" s="16" t="s">
        <v>1317</v>
      </c>
      <c r="Z89" s="109"/>
      <c r="AA89" s="109"/>
      <c r="AB89" s="109"/>
      <c r="AC89" s="109"/>
      <c r="AD89" s="109"/>
      <c r="AE89" s="109"/>
      <c r="AF89" s="109"/>
      <c r="AG89" s="109"/>
      <c r="AH89" s="109"/>
      <c r="AI89" s="109"/>
      <c r="AJ89" s="109"/>
      <c r="AK89" s="109"/>
      <c r="AL89" s="109"/>
      <c r="AM89" s="109"/>
      <c r="AN89" s="109"/>
      <c r="AO89" s="109"/>
      <c r="AP89" s="109"/>
      <c r="AQ89" s="109"/>
      <c r="AR89" s="109"/>
      <c r="AS89" s="109"/>
    </row>
    <row r="90" spans="1:45" ht="12.6" customHeight="1" x14ac:dyDescent="0.3">
      <c r="A90" s="68" t="s">
        <v>1397</v>
      </c>
      <c r="B90" s="97" t="str">
        <f>" 경    비  :   "&amp;TEXT(I90,"#,##0"&amp;IF(I90&lt;&gt;INT(I90),".###",""))&amp;" / Q1  / "&amp;AC90&amp;" = "&amp;TEXT(C90,"#,##0.0")&amp;""</f>
        <v xml:space="preserve"> 경    비  :   32,183 / Q1  / 2 = 582.6</v>
      </c>
      <c r="C90" s="99">
        <f>E90+D90+F90</f>
        <v>582.6</v>
      </c>
      <c r="D90" s="99">
        <f>IF(H90=0,0,ROUNDDOWN(J90*H90,1))</f>
        <v>0</v>
      </c>
      <c r="E90" s="99">
        <f>IF(H90=0,0,ROUNDDOWN(K90*H90,1))</f>
        <v>0</v>
      </c>
      <c r="F90" s="99">
        <f>IF(H90=0,0,ROUNDDOWN(L90*H90,1))</f>
        <v>582.6</v>
      </c>
      <c r="G90" s="16" t="s">
        <v>1396</v>
      </c>
      <c r="H90" s="105">
        <f>AE90</f>
        <v>1.8102824040550324E-2</v>
      </c>
      <c r="I90" s="106">
        <f>K90+J90+L90</f>
        <v>32183</v>
      </c>
      <c r="L90" s="39">
        <f>중기목록표!H26</f>
        <v>32183</v>
      </c>
      <c r="M90" s="20" t="s">
        <v>1392</v>
      </c>
      <c r="N90" s="20" t="s">
        <v>1341</v>
      </c>
      <c r="X90" s="108" t="str">
        <f>중기목록표!B26&amp;" / "&amp;중기목록표!C26</f>
        <v>굴삭기(1.0m3) / 할증율:1.20</v>
      </c>
      <c r="Y90" s="19" t="str">
        <f ca="1">HYPERLINK("#"&amp;중기목록표!J2&amp;"!A"&amp;ROW(중기목록표!A26),"중기   23 →")</f>
        <v>중기   23 →</v>
      </c>
      <c r="Z90" s="20" t="s">
        <v>1393</v>
      </c>
      <c r="AA90" s="112" t="str">
        <f>AL81</f>
        <v>27.62</v>
      </c>
      <c r="AB90" s="20" t="s">
        <v>1387</v>
      </c>
      <c r="AC90" s="111">
        <v>2</v>
      </c>
      <c r="AD90" s="20" t="s">
        <v>1326</v>
      </c>
      <c r="AE90" s="113">
        <f>1/AL81/AC90</f>
        <v>1.8102824040550324E-2</v>
      </c>
      <c r="AF90" s="109"/>
      <c r="AG90" s="109"/>
      <c r="AH90" s="109"/>
      <c r="AI90" s="109"/>
      <c r="AJ90" s="109"/>
      <c r="AK90" s="109"/>
      <c r="AL90" s="109"/>
      <c r="AM90" s="109"/>
      <c r="AN90" s="109"/>
      <c r="AO90" s="109"/>
      <c r="AP90" s="109"/>
      <c r="AQ90" s="109"/>
      <c r="AR90" s="109"/>
      <c r="AS90" s="109"/>
    </row>
    <row r="91" spans="1:45" ht="12.6" customHeight="1" x14ac:dyDescent="0.3">
      <c r="A91" s="78"/>
      <c r="B91" s="78"/>
      <c r="C91" s="78"/>
      <c r="D91" s="78"/>
      <c r="E91" s="78"/>
      <c r="F91" s="78"/>
      <c r="G91" s="16" t="s">
        <v>1317</v>
      </c>
      <c r="Z91" s="109"/>
      <c r="AA91" s="109"/>
      <c r="AB91" s="109"/>
      <c r="AC91" s="109"/>
      <c r="AD91" s="109"/>
      <c r="AE91" s="109"/>
      <c r="AF91" s="109"/>
      <c r="AG91" s="109"/>
      <c r="AH91" s="109"/>
      <c r="AI91" s="109"/>
      <c r="AJ91" s="109"/>
      <c r="AK91" s="109"/>
      <c r="AL91" s="109"/>
      <c r="AM91" s="109"/>
      <c r="AN91" s="109"/>
      <c r="AO91" s="109"/>
      <c r="AP91" s="109"/>
      <c r="AQ91" s="109"/>
      <c r="AR91" s="109"/>
      <c r="AS91" s="109"/>
    </row>
    <row r="92" spans="1:45" ht="12.6" customHeight="1" x14ac:dyDescent="0.3">
      <c r="A92" s="68"/>
      <c r="B92" s="77" t="s">
        <v>1340</v>
      </c>
      <c r="C92" s="100">
        <f>E92+D92+F92</f>
        <v>2138.6</v>
      </c>
      <c r="D92" s="100">
        <f>SUMIF(N70:N91,M92,D70:D91)</f>
        <v>1008.3</v>
      </c>
      <c r="E92" s="100">
        <f>SUMIF(N70:N91,M92,E70:E91)</f>
        <v>547.70000000000005</v>
      </c>
      <c r="F92" s="100">
        <f>SUMIF(N70:N91,M92,F70:F91)</f>
        <v>582.6</v>
      </c>
      <c r="G92" s="16" t="s">
        <v>1380</v>
      </c>
      <c r="M92" s="20" t="s">
        <v>1341</v>
      </c>
      <c r="N92" s="20" t="s">
        <v>1400</v>
      </c>
      <c r="Z92" s="109"/>
      <c r="AA92" s="109"/>
      <c r="AB92" s="109"/>
      <c r="AC92" s="109"/>
      <c r="AD92" s="109"/>
      <c r="AE92" s="109"/>
      <c r="AF92" s="109"/>
      <c r="AG92" s="109"/>
      <c r="AH92" s="109"/>
      <c r="AI92" s="109"/>
      <c r="AJ92" s="109"/>
      <c r="AK92" s="109"/>
      <c r="AL92" s="109"/>
      <c r="AM92" s="109"/>
      <c r="AN92" s="109"/>
      <c r="AO92" s="109"/>
      <c r="AP92" s="109"/>
      <c r="AQ92" s="109"/>
      <c r="AR92" s="109"/>
      <c r="AS92" s="109"/>
    </row>
    <row r="93" spans="1:45" ht="12.6" customHeight="1" x14ac:dyDescent="0.3">
      <c r="A93" s="78"/>
      <c r="B93" s="78"/>
      <c r="C93" s="98"/>
      <c r="D93" s="98"/>
      <c r="E93" s="98"/>
      <c r="F93" s="98"/>
      <c r="G93" s="16" t="s">
        <v>1317</v>
      </c>
      <c r="Z93" s="109"/>
      <c r="AA93" s="109"/>
      <c r="AB93" s="109"/>
      <c r="AC93" s="109"/>
      <c r="AD93" s="109"/>
      <c r="AE93" s="109"/>
      <c r="AF93" s="109"/>
      <c r="AG93" s="109"/>
      <c r="AH93" s="109"/>
      <c r="AI93" s="109"/>
      <c r="AJ93" s="109"/>
      <c r="AK93" s="109"/>
      <c r="AL93" s="109"/>
      <c r="AM93" s="109"/>
      <c r="AN93" s="109"/>
      <c r="AO93" s="109"/>
      <c r="AP93" s="109"/>
      <c r="AQ93" s="109"/>
      <c r="AR93" s="109"/>
      <c r="AS93" s="109"/>
    </row>
    <row r="94" spans="1:45" ht="12.6" customHeight="1" x14ac:dyDescent="0.3">
      <c r="A94" s="68"/>
      <c r="B94" s="77" t="s">
        <v>1399</v>
      </c>
      <c r="C94" s="100">
        <f>E94+D94+F94</f>
        <v>11238.599999999999</v>
      </c>
      <c r="D94" s="100">
        <f>SUMIF(N7:N93,M94,D7:D93)</f>
        <v>4243.7</v>
      </c>
      <c r="E94" s="100">
        <f>SUMIF(N7:N93,M94,E7:E93)</f>
        <v>5499.4</v>
      </c>
      <c r="F94" s="100">
        <f>SUMIF(N7:N93,M94,F7:F93)</f>
        <v>1495.5</v>
      </c>
      <c r="G94" s="16" t="s">
        <v>1398</v>
      </c>
      <c r="M94" s="20" t="s">
        <v>1400</v>
      </c>
      <c r="N94" s="20" t="s">
        <v>1128</v>
      </c>
      <c r="Z94" s="109"/>
      <c r="AA94" s="109"/>
      <c r="AB94" s="109"/>
      <c r="AC94" s="109"/>
      <c r="AD94" s="109"/>
      <c r="AE94" s="109"/>
      <c r="AF94" s="109"/>
      <c r="AG94" s="109"/>
      <c r="AH94" s="109"/>
      <c r="AI94" s="109"/>
      <c r="AJ94" s="109"/>
      <c r="AK94" s="109"/>
      <c r="AL94" s="109"/>
      <c r="AM94" s="109"/>
      <c r="AN94" s="109"/>
      <c r="AO94" s="109"/>
      <c r="AP94" s="109"/>
      <c r="AQ94" s="109"/>
      <c r="AR94" s="109"/>
      <c r="AS94" s="109"/>
    </row>
    <row r="95" spans="1:45" ht="12.6" customHeight="1" x14ac:dyDescent="0.3">
      <c r="A95" s="78"/>
      <c r="B95" s="78"/>
      <c r="C95" s="98"/>
      <c r="D95" s="98"/>
      <c r="E95" s="98"/>
      <c r="F95" s="98"/>
      <c r="Z95" s="109"/>
      <c r="AA95" s="109"/>
      <c r="AB95" s="109"/>
      <c r="AC95" s="109"/>
      <c r="AD95" s="109"/>
      <c r="AE95" s="109"/>
      <c r="AF95" s="109"/>
      <c r="AG95" s="109"/>
      <c r="AH95" s="109"/>
      <c r="AI95" s="109"/>
      <c r="AJ95" s="109"/>
      <c r="AK95" s="109"/>
      <c r="AL95" s="109"/>
      <c r="AM95" s="109"/>
      <c r="AN95" s="109"/>
      <c r="AO95" s="109"/>
      <c r="AP95" s="109"/>
      <c r="AQ95" s="109"/>
      <c r="AR95" s="109"/>
      <c r="AS95" s="109"/>
    </row>
    <row r="96" spans="1:45" ht="12.6" customHeight="1" x14ac:dyDescent="0.3">
      <c r="A96" s="78"/>
      <c r="B96" s="78"/>
      <c r="C96" s="78"/>
      <c r="D96" s="78"/>
      <c r="E96" s="78"/>
      <c r="F96" s="78"/>
      <c r="Z96" s="109"/>
      <c r="AA96" s="109"/>
      <c r="AB96" s="109"/>
      <c r="AC96" s="109"/>
      <c r="AD96" s="109"/>
      <c r="AE96" s="109"/>
      <c r="AF96" s="109"/>
      <c r="AG96" s="109"/>
      <c r="AH96" s="109"/>
      <c r="AI96" s="109"/>
      <c r="AJ96" s="109"/>
      <c r="AK96" s="109"/>
      <c r="AL96" s="109"/>
      <c r="AM96" s="109"/>
      <c r="AN96" s="109"/>
      <c r="AO96" s="109"/>
      <c r="AP96" s="109"/>
      <c r="AQ96" s="109"/>
      <c r="AR96" s="109"/>
      <c r="AS96" s="109"/>
    </row>
    <row r="97" spans="1:45" ht="12.6" customHeight="1" x14ac:dyDescent="0.3">
      <c r="A97" s="78"/>
      <c r="B97" s="78"/>
      <c r="C97" s="78"/>
      <c r="D97" s="78"/>
      <c r="E97" s="78"/>
      <c r="F97" s="78"/>
      <c r="Z97" s="109"/>
      <c r="AA97" s="109"/>
      <c r="AB97" s="109"/>
      <c r="AC97" s="109"/>
      <c r="AD97" s="109"/>
      <c r="AE97" s="109"/>
      <c r="AF97" s="109"/>
      <c r="AG97" s="109"/>
      <c r="AH97" s="109"/>
      <c r="AI97" s="109"/>
      <c r="AJ97" s="109"/>
      <c r="AK97" s="109"/>
      <c r="AL97" s="109"/>
      <c r="AM97" s="109"/>
      <c r="AN97" s="109"/>
      <c r="AO97" s="109"/>
      <c r="AP97" s="109"/>
      <c r="AQ97" s="109"/>
      <c r="AR97" s="109"/>
      <c r="AS97" s="109"/>
    </row>
    <row r="98" spans="1:45" ht="12.6" customHeight="1" x14ac:dyDescent="0.3">
      <c r="A98" s="78"/>
      <c r="B98" s="78"/>
      <c r="C98" s="78"/>
      <c r="D98" s="78"/>
      <c r="E98" s="78"/>
      <c r="F98" s="78"/>
      <c r="Z98" s="109"/>
      <c r="AA98" s="109"/>
      <c r="AB98" s="109"/>
      <c r="AC98" s="109"/>
      <c r="AD98" s="109"/>
      <c r="AE98" s="109"/>
      <c r="AF98" s="109"/>
      <c r="AG98" s="109"/>
      <c r="AH98" s="109"/>
      <c r="AI98" s="109"/>
      <c r="AJ98" s="109"/>
      <c r="AK98" s="109"/>
      <c r="AL98" s="109"/>
      <c r="AM98" s="109"/>
      <c r="AN98" s="109"/>
      <c r="AO98" s="109"/>
      <c r="AP98" s="109"/>
      <c r="AQ98" s="109"/>
      <c r="AR98" s="109"/>
      <c r="AS98" s="109"/>
    </row>
    <row r="99" spans="1:45" ht="12.6" customHeight="1" x14ac:dyDescent="0.3">
      <c r="A99" s="78"/>
      <c r="B99" s="78"/>
      <c r="C99" s="78"/>
      <c r="D99" s="78"/>
      <c r="E99" s="78"/>
      <c r="F99" s="78"/>
      <c r="Z99" s="109"/>
      <c r="AA99" s="109"/>
      <c r="AB99" s="109"/>
      <c r="AC99" s="109"/>
      <c r="AD99" s="109"/>
      <c r="AE99" s="109"/>
      <c r="AF99" s="109"/>
      <c r="AG99" s="109"/>
      <c r="AH99" s="109"/>
      <c r="AI99" s="109"/>
      <c r="AJ99" s="109"/>
      <c r="AK99" s="109"/>
      <c r="AL99" s="109"/>
      <c r="AM99" s="109"/>
      <c r="AN99" s="109"/>
      <c r="AO99" s="109"/>
      <c r="AP99" s="109"/>
      <c r="AQ99" s="109"/>
      <c r="AR99" s="109"/>
      <c r="AS99" s="109"/>
    </row>
    <row r="100" spans="1:45" ht="12.6" customHeight="1" x14ac:dyDescent="0.3">
      <c r="A100" s="78"/>
      <c r="B100" s="78"/>
      <c r="C100" s="78"/>
      <c r="D100" s="78"/>
      <c r="E100" s="78"/>
      <c r="F100" s="78"/>
      <c r="Z100" s="109"/>
      <c r="AA100" s="109"/>
      <c r="AB100" s="109"/>
      <c r="AC100" s="109"/>
      <c r="AD100" s="109"/>
      <c r="AE100" s="109"/>
      <c r="AF100" s="109"/>
      <c r="AG100" s="109"/>
      <c r="AH100" s="109"/>
      <c r="AI100" s="109"/>
      <c r="AJ100" s="109"/>
      <c r="AK100" s="109"/>
      <c r="AL100" s="109"/>
      <c r="AM100" s="109"/>
      <c r="AN100" s="109"/>
      <c r="AO100" s="109"/>
      <c r="AP100" s="109"/>
      <c r="AQ100" s="109"/>
      <c r="AR100" s="109"/>
      <c r="AS100" s="109"/>
    </row>
    <row r="101" spans="1:45" ht="12.6" customHeight="1" x14ac:dyDescent="0.3">
      <c r="A101" s="78"/>
      <c r="B101" s="78"/>
      <c r="C101" s="78"/>
      <c r="D101" s="78"/>
      <c r="E101" s="78"/>
      <c r="F101" s="78"/>
      <c r="Z101" s="109"/>
      <c r="AA101" s="109"/>
      <c r="AB101" s="109"/>
      <c r="AC101" s="109"/>
      <c r="AD101" s="109"/>
      <c r="AE101" s="109"/>
      <c r="AF101" s="109"/>
      <c r="AG101" s="109"/>
      <c r="AH101" s="109"/>
      <c r="AI101" s="109"/>
      <c r="AJ101" s="109"/>
      <c r="AK101" s="109"/>
      <c r="AL101" s="109"/>
      <c r="AM101" s="109"/>
      <c r="AN101" s="109"/>
      <c r="AO101" s="109"/>
      <c r="AP101" s="109"/>
      <c r="AQ101" s="109"/>
      <c r="AR101" s="109"/>
      <c r="AS101" s="109"/>
    </row>
    <row r="102" spans="1:45" ht="12.6" customHeight="1" x14ac:dyDescent="0.3">
      <c r="A102" s="78"/>
      <c r="B102" s="78"/>
      <c r="C102" s="78"/>
      <c r="D102" s="78"/>
      <c r="E102" s="78"/>
      <c r="F102" s="78"/>
      <c r="Z102" s="109"/>
      <c r="AA102" s="109"/>
      <c r="AB102" s="109"/>
      <c r="AC102" s="109"/>
      <c r="AD102" s="109"/>
      <c r="AE102" s="109"/>
      <c r="AF102" s="109"/>
      <c r="AG102" s="109"/>
      <c r="AH102" s="109"/>
      <c r="AI102" s="109"/>
      <c r="AJ102" s="109"/>
      <c r="AK102" s="109"/>
      <c r="AL102" s="109"/>
      <c r="AM102" s="109"/>
      <c r="AN102" s="109"/>
      <c r="AO102" s="109"/>
      <c r="AP102" s="109"/>
      <c r="AQ102" s="109"/>
      <c r="AR102" s="109"/>
      <c r="AS102" s="109"/>
    </row>
    <row r="103" spans="1:45" ht="12.6" customHeight="1" x14ac:dyDescent="0.3">
      <c r="A103" s="78"/>
      <c r="B103" s="78"/>
      <c r="C103" s="78"/>
      <c r="D103" s="78"/>
      <c r="E103" s="78"/>
      <c r="F103" s="78"/>
      <c r="Z103" s="109"/>
      <c r="AA103" s="109"/>
      <c r="AB103" s="109"/>
      <c r="AC103" s="109"/>
      <c r="AD103" s="109"/>
      <c r="AE103" s="109"/>
      <c r="AF103" s="109"/>
      <c r="AG103" s="109"/>
      <c r="AH103" s="109"/>
      <c r="AI103" s="109"/>
      <c r="AJ103" s="109"/>
      <c r="AK103" s="109"/>
      <c r="AL103" s="109"/>
      <c r="AM103" s="109"/>
      <c r="AN103" s="109"/>
      <c r="AO103" s="109"/>
      <c r="AP103" s="109"/>
      <c r="AQ103" s="109"/>
      <c r="AR103" s="109"/>
      <c r="AS103" s="109"/>
    </row>
    <row r="104" spans="1:45" ht="12.6" customHeight="1" x14ac:dyDescent="0.3">
      <c r="A104" s="78"/>
      <c r="B104" s="78"/>
      <c r="C104" s="78"/>
      <c r="D104" s="78"/>
      <c r="E104" s="78"/>
      <c r="F104" s="78"/>
      <c r="Z104" s="109"/>
      <c r="AA104" s="109"/>
      <c r="AB104" s="109"/>
      <c r="AC104" s="109"/>
      <c r="AD104" s="109"/>
      <c r="AE104" s="109"/>
      <c r="AF104" s="109"/>
      <c r="AG104" s="109"/>
      <c r="AH104" s="109"/>
      <c r="AI104" s="109"/>
      <c r="AJ104" s="109"/>
      <c r="AK104" s="109"/>
      <c r="AL104" s="109"/>
      <c r="AM104" s="109"/>
      <c r="AN104" s="109"/>
      <c r="AO104" s="109"/>
      <c r="AP104" s="109"/>
      <c r="AQ104" s="109"/>
      <c r="AR104" s="109"/>
      <c r="AS104" s="109"/>
    </row>
    <row r="105" spans="1:45" ht="12.6" customHeight="1" x14ac:dyDescent="0.3">
      <c r="A105" s="78"/>
      <c r="B105" s="78"/>
      <c r="C105" s="78"/>
      <c r="D105" s="78"/>
      <c r="E105" s="78"/>
      <c r="F105" s="78"/>
      <c r="Z105" s="109"/>
      <c r="AA105" s="109"/>
      <c r="AB105" s="109"/>
      <c r="AC105" s="109"/>
      <c r="AD105" s="109"/>
      <c r="AE105" s="109"/>
      <c r="AF105" s="109"/>
      <c r="AG105" s="109"/>
      <c r="AH105" s="109"/>
      <c r="AI105" s="109"/>
      <c r="AJ105" s="109"/>
      <c r="AK105" s="109"/>
      <c r="AL105" s="109"/>
      <c r="AM105" s="109"/>
      <c r="AN105" s="109"/>
      <c r="AO105" s="109"/>
      <c r="AP105" s="109"/>
      <c r="AQ105" s="109"/>
      <c r="AR105" s="109"/>
      <c r="AS105" s="109"/>
    </row>
    <row r="106" spans="1:45" ht="12.6" customHeight="1" x14ac:dyDescent="0.3">
      <c r="A106" s="78"/>
      <c r="B106" s="78"/>
      <c r="C106" s="78"/>
      <c r="D106" s="78"/>
      <c r="E106" s="78"/>
      <c r="F106" s="78"/>
      <c r="Z106" s="109"/>
      <c r="AA106" s="109"/>
      <c r="AB106" s="109"/>
      <c r="AC106" s="109"/>
      <c r="AD106" s="109"/>
      <c r="AE106" s="109"/>
      <c r="AF106" s="109"/>
      <c r="AG106" s="109"/>
      <c r="AH106" s="109"/>
      <c r="AI106" s="109"/>
      <c r="AJ106" s="109"/>
      <c r="AK106" s="109"/>
      <c r="AL106" s="109"/>
      <c r="AM106" s="109"/>
      <c r="AN106" s="109"/>
      <c r="AO106" s="109"/>
      <c r="AP106" s="109"/>
      <c r="AQ106" s="109"/>
      <c r="AR106" s="109"/>
      <c r="AS106" s="109"/>
    </row>
    <row r="107" spans="1:45" ht="12.6" customHeight="1" x14ac:dyDescent="0.3">
      <c r="A107" s="78"/>
      <c r="B107" s="78"/>
      <c r="C107" s="78"/>
      <c r="D107" s="78"/>
      <c r="E107" s="78"/>
      <c r="F107" s="78"/>
      <c r="Z107" s="109"/>
      <c r="AA107" s="109"/>
      <c r="AB107" s="109"/>
      <c r="AC107" s="109"/>
      <c r="AD107" s="109"/>
      <c r="AE107" s="109"/>
      <c r="AF107" s="109"/>
      <c r="AG107" s="109"/>
      <c r="AH107" s="109"/>
      <c r="AI107" s="109"/>
      <c r="AJ107" s="109"/>
      <c r="AK107" s="109"/>
      <c r="AL107" s="109"/>
      <c r="AM107" s="109"/>
      <c r="AN107" s="109"/>
      <c r="AO107" s="109"/>
      <c r="AP107" s="109"/>
      <c r="AQ107" s="109"/>
      <c r="AR107" s="109"/>
      <c r="AS107" s="109"/>
    </row>
    <row r="108" spans="1:45" ht="12.6" customHeight="1" x14ac:dyDescent="0.3">
      <c r="A108" s="58"/>
      <c r="B108" s="58"/>
      <c r="C108" s="58"/>
      <c r="D108" s="58"/>
      <c r="E108" s="58"/>
      <c r="F108" s="58"/>
      <c r="Z108" s="109"/>
      <c r="AA108" s="109"/>
      <c r="AB108" s="109"/>
      <c r="AC108" s="109"/>
      <c r="AD108" s="109"/>
      <c r="AE108" s="109"/>
      <c r="AF108" s="109"/>
      <c r="AG108" s="109"/>
      <c r="AH108" s="109"/>
      <c r="AI108" s="109"/>
      <c r="AJ108" s="109"/>
      <c r="AK108" s="109"/>
      <c r="AL108" s="109"/>
      <c r="AM108" s="109"/>
      <c r="AN108" s="109"/>
      <c r="AO108" s="109"/>
      <c r="AP108" s="109"/>
      <c r="AQ108" s="109"/>
      <c r="AR108" s="109"/>
      <c r="AS108" s="109"/>
    </row>
    <row r="109" spans="1:45" ht="12.6" customHeight="1" x14ac:dyDescent="0.3">
      <c r="A109" s="159" t="s">
        <v>1401</v>
      </c>
      <c r="B109" s="152"/>
      <c r="C109" s="55">
        <f>E109+D109+F109</f>
        <v>11237</v>
      </c>
      <c r="D109" s="54">
        <f>ROUNDDOWN(SUMIF(N7:N94,M109,D7:D94),0)</f>
        <v>4243</v>
      </c>
      <c r="E109" s="63">
        <f>ROUNDDOWN(SUMIF(N7:N94,M109,E7:E94),0)</f>
        <v>5499</v>
      </c>
      <c r="F109" s="55">
        <f>ROUNDDOWN(SUMIF(N7:N94,M109,F7:F94),0)</f>
        <v>1495</v>
      </c>
      <c r="M109" s="20" t="s">
        <v>1128</v>
      </c>
      <c r="Z109" s="109"/>
      <c r="AA109" s="109"/>
      <c r="AB109" s="109"/>
      <c r="AC109" s="109"/>
      <c r="AD109" s="109"/>
      <c r="AE109" s="109"/>
      <c r="AF109" s="109"/>
      <c r="AG109" s="109"/>
      <c r="AH109" s="109"/>
      <c r="AI109" s="109"/>
      <c r="AJ109" s="109"/>
      <c r="AK109" s="109"/>
      <c r="AL109" s="109"/>
      <c r="AM109" s="109"/>
      <c r="AN109" s="109"/>
      <c r="AO109" s="109"/>
      <c r="AP109" s="109"/>
      <c r="AQ109" s="109"/>
      <c r="AR109" s="109"/>
      <c r="AS109" s="109"/>
    </row>
    <row r="110" spans="1:45" ht="12.6" customHeight="1" x14ac:dyDescent="0.3">
      <c r="A110" s="95" t="s">
        <v>17</v>
      </c>
      <c r="B110" s="96" t="s">
        <v>17</v>
      </c>
      <c r="C110" s="158">
        <f>C144</f>
        <v>2334</v>
      </c>
      <c r="D110" s="158">
        <f>D144</f>
        <v>1487</v>
      </c>
      <c r="E110" s="158">
        <f>E144</f>
        <v>410</v>
      </c>
      <c r="F110" s="158">
        <f>F144</f>
        <v>437</v>
      </c>
      <c r="G110" s="36" t="str">
        <f>HYPERLINK("#G"&amp;ROW(G133),"_x0005_`BDCOD|D00009_x0007_`POSS|"&amp;ROW(G112)&amp;"_x0007_`POSE|"&amp;ROW(G133)&amp;"_x0007_`")</f>
        <v>_x0005_`BDCOD|D00009_x0007_`POSS|112_x0007_`POSE|133_x0007_`</v>
      </c>
      <c r="Z110" s="109"/>
      <c r="AA110" s="109"/>
      <c r="AB110" s="109"/>
      <c r="AC110" s="109"/>
      <c r="AD110" s="109"/>
      <c r="AE110" s="109"/>
      <c r="AF110" s="109"/>
      <c r="AG110" s="109"/>
      <c r="AH110" s="109"/>
      <c r="AI110" s="109"/>
      <c r="AJ110" s="109"/>
      <c r="AK110" s="109"/>
      <c r="AL110" s="109"/>
      <c r="AM110" s="109"/>
      <c r="AN110" s="109"/>
      <c r="AO110" s="109"/>
      <c r="AP110" s="109"/>
      <c r="AQ110" s="109"/>
      <c r="AR110" s="109"/>
      <c r="AS110" s="109"/>
    </row>
    <row r="111" spans="1:45" ht="12.6" customHeight="1" x14ac:dyDescent="0.3">
      <c r="A111" s="84"/>
      <c r="B111" s="96" t="s">
        <v>171</v>
      </c>
      <c r="C111" s="141"/>
      <c r="D111" s="141"/>
      <c r="E111" s="141"/>
      <c r="F111" s="141"/>
      <c r="M111" s="20" t="s">
        <v>170</v>
      </c>
      <c r="Z111" s="109"/>
      <c r="AA111" s="109"/>
      <c r="AB111" s="109"/>
      <c r="AC111" s="109"/>
      <c r="AD111" s="109"/>
      <c r="AE111" s="109"/>
      <c r="AF111" s="109"/>
      <c r="AG111" s="109"/>
      <c r="AH111" s="109"/>
      <c r="AI111" s="109"/>
      <c r="AJ111" s="109"/>
      <c r="AK111" s="109"/>
      <c r="AL111" s="109"/>
      <c r="AM111" s="109"/>
      <c r="AN111" s="109"/>
      <c r="AO111" s="109"/>
      <c r="AP111" s="109"/>
      <c r="AQ111" s="109"/>
      <c r="AR111" s="109"/>
      <c r="AS111" s="109"/>
    </row>
    <row r="112" spans="1:45" ht="12.6" customHeight="1" x14ac:dyDescent="0.3">
      <c r="A112" s="78"/>
      <c r="B112" s="78"/>
      <c r="C112" s="98"/>
      <c r="D112" s="98"/>
      <c r="E112" s="98"/>
      <c r="F112" s="98"/>
      <c r="G112" s="16" t="s">
        <v>1317</v>
      </c>
      <c r="Z112" s="109"/>
      <c r="AA112" s="109"/>
      <c r="AB112" s="109"/>
      <c r="AC112" s="109"/>
      <c r="AD112" s="109"/>
      <c r="AE112" s="109"/>
      <c r="AF112" s="109"/>
      <c r="AG112" s="109"/>
      <c r="AH112" s="109"/>
      <c r="AI112" s="109"/>
      <c r="AJ112" s="109"/>
      <c r="AK112" s="109"/>
      <c r="AL112" s="109"/>
      <c r="AM112" s="109"/>
      <c r="AN112" s="109"/>
      <c r="AO112" s="109"/>
      <c r="AP112" s="109"/>
      <c r="AQ112" s="109"/>
      <c r="AR112" s="109"/>
      <c r="AS112" s="109"/>
    </row>
    <row r="113" spans="1:45" ht="12.6" customHeight="1" x14ac:dyDescent="0.3">
      <c r="A113" s="78"/>
      <c r="B113" s="78"/>
      <c r="C113" s="78"/>
      <c r="D113" s="78"/>
      <c r="E113" s="78"/>
      <c r="F113" s="78"/>
      <c r="G113" s="16" t="s">
        <v>1317</v>
      </c>
      <c r="Z113" s="109"/>
      <c r="AA113" s="109"/>
      <c r="AB113" s="109"/>
      <c r="AC113" s="109"/>
      <c r="AD113" s="109"/>
      <c r="AE113" s="109"/>
      <c r="AF113" s="109"/>
      <c r="AG113" s="109"/>
      <c r="AH113" s="109"/>
      <c r="AI113" s="109"/>
      <c r="AJ113" s="109"/>
      <c r="AK113" s="109"/>
      <c r="AL113" s="109"/>
      <c r="AM113" s="109"/>
      <c r="AN113" s="109"/>
      <c r="AO113" s="109"/>
      <c r="AP113" s="109"/>
      <c r="AQ113" s="109"/>
      <c r="AR113" s="109"/>
      <c r="AS113" s="109"/>
    </row>
    <row r="114" spans="1:45" ht="12.6" customHeight="1" x14ac:dyDescent="0.3">
      <c r="A114" s="68"/>
      <c r="B114" s="77" t="s">
        <v>1403</v>
      </c>
      <c r="C114" s="78"/>
      <c r="D114" s="78"/>
      <c r="E114" s="78"/>
      <c r="F114" s="78"/>
      <c r="G114" s="16" t="s">
        <v>1402</v>
      </c>
      <c r="Z114" s="109"/>
      <c r="AA114" s="109"/>
      <c r="AB114" s="109"/>
      <c r="AC114" s="109"/>
      <c r="AD114" s="109"/>
      <c r="AE114" s="109"/>
      <c r="AF114" s="109"/>
      <c r="AG114" s="109"/>
      <c r="AH114" s="109"/>
      <c r="AI114" s="109"/>
      <c r="AJ114" s="109"/>
      <c r="AK114" s="109"/>
      <c r="AL114" s="109"/>
      <c r="AM114" s="109"/>
      <c r="AN114" s="109"/>
      <c r="AO114" s="109"/>
      <c r="AP114" s="109"/>
      <c r="AQ114" s="109"/>
      <c r="AR114" s="109"/>
      <c r="AS114" s="109"/>
    </row>
    <row r="115" spans="1:45" ht="12.6" customHeight="1" x14ac:dyDescent="0.3">
      <c r="A115" s="78"/>
      <c r="B115" s="78"/>
      <c r="C115" s="78"/>
      <c r="D115" s="78"/>
      <c r="E115" s="78"/>
      <c r="F115" s="78"/>
      <c r="G115" s="16" t="s">
        <v>1317</v>
      </c>
      <c r="Z115" s="109"/>
      <c r="AA115" s="109"/>
      <c r="AB115" s="109"/>
      <c r="AC115" s="109"/>
      <c r="AD115" s="109"/>
      <c r="AE115" s="109"/>
      <c r="AF115" s="109"/>
      <c r="AG115" s="109"/>
      <c r="AH115" s="109"/>
      <c r="AI115" s="109"/>
      <c r="AJ115" s="109"/>
      <c r="AK115" s="109"/>
      <c r="AL115" s="109"/>
      <c r="AM115" s="109"/>
      <c r="AN115" s="109"/>
      <c r="AO115" s="109"/>
      <c r="AP115" s="109"/>
      <c r="AQ115" s="109"/>
      <c r="AR115" s="109"/>
      <c r="AS115" s="109"/>
    </row>
    <row r="116" spans="1:45" ht="12.6" customHeight="1" x14ac:dyDescent="0.3">
      <c r="A116" s="78"/>
      <c r="B116" s="78"/>
      <c r="C116" s="78"/>
      <c r="D116" s="78"/>
      <c r="E116" s="78"/>
      <c r="F116" s="78"/>
      <c r="G116" s="16" t="s">
        <v>1317</v>
      </c>
      <c r="Z116" s="109"/>
      <c r="AA116" s="109"/>
      <c r="AB116" s="109"/>
      <c r="AC116" s="109"/>
      <c r="AD116" s="109"/>
      <c r="AE116" s="109"/>
      <c r="AF116" s="109"/>
      <c r="AG116" s="109"/>
      <c r="AH116" s="109"/>
      <c r="AI116" s="109"/>
      <c r="AJ116" s="109"/>
      <c r="AK116" s="109"/>
      <c r="AL116" s="109"/>
      <c r="AM116" s="109"/>
      <c r="AN116" s="109"/>
      <c r="AO116" s="109"/>
      <c r="AP116" s="109"/>
      <c r="AQ116" s="109"/>
      <c r="AR116" s="109"/>
      <c r="AS116" s="109"/>
    </row>
    <row r="117" spans="1:45" ht="12.6" customHeight="1" x14ac:dyDescent="0.3">
      <c r="A117" s="68"/>
      <c r="B117" s="97" t="str">
        <f>"q = "&amp;Z117&amp;" , f = "&amp;AD117&amp;"/"&amp;AF117&amp;" = "&amp;AH117&amp;" , K = "&amp;AJ117&amp;""</f>
        <v>q = 0.4 , f = 1/1.25 = 0.80 , K = 0.9</v>
      </c>
      <c r="C117" s="78"/>
      <c r="D117" s="78"/>
      <c r="E117" s="78"/>
      <c r="F117" s="78"/>
      <c r="G117" s="16" t="s">
        <v>1404</v>
      </c>
      <c r="Z117" s="110">
        <v>0.4</v>
      </c>
      <c r="AA117" s="20" t="s">
        <v>1326</v>
      </c>
      <c r="AB117" s="112">
        <f>Z117</f>
        <v>0.4</v>
      </c>
      <c r="AC117" s="20" t="s">
        <v>1385</v>
      </c>
      <c r="AD117" s="111">
        <v>1</v>
      </c>
      <c r="AE117" s="20" t="s">
        <v>1387</v>
      </c>
      <c r="AF117" s="110">
        <v>1.25</v>
      </c>
      <c r="AG117" s="20" t="s">
        <v>1326</v>
      </c>
      <c r="AH117" s="112" t="str">
        <f>TEXT(ROUND(AD117/AF117,2),"0.00")</f>
        <v>0.80</v>
      </c>
      <c r="AI117" s="20" t="s">
        <v>1385</v>
      </c>
      <c r="AJ117" s="110">
        <v>0.9</v>
      </c>
      <c r="AK117" s="20" t="s">
        <v>1326</v>
      </c>
      <c r="AL117" s="112">
        <f>AJ117</f>
        <v>0.9</v>
      </c>
      <c r="AM117" s="20" t="s">
        <v>1385</v>
      </c>
      <c r="AN117" s="109"/>
      <c r="AO117" s="109"/>
      <c r="AP117" s="109"/>
      <c r="AQ117" s="109"/>
      <c r="AR117" s="109"/>
      <c r="AS117" s="109"/>
    </row>
    <row r="118" spans="1:45" ht="12.6" customHeight="1" x14ac:dyDescent="0.3">
      <c r="A118" s="78"/>
      <c r="B118" s="78"/>
      <c r="C118" s="78"/>
      <c r="D118" s="78"/>
      <c r="E118" s="78"/>
      <c r="F118" s="78"/>
      <c r="G118" s="16" t="s">
        <v>1317</v>
      </c>
      <c r="Z118" s="109"/>
      <c r="AA118" s="109"/>
      <c r="AB118" s="109"/>
      <c r="AC118" s="109"/>
      <c r="AD118" s="109"/>
      <c r="AE118" s="109"/>
      <c r="AF118" s="109"/>
      <c r="AG118" s="109"/>
      <c r="AH118" s="109"/>
      <c r="AI118" s="109"/>
      <c r="AJ118" s="109"/>
      <c r="AK118" s="109"/>
      <c r="AL118" s="109"/>
      <c r="AM118" s="109"/>
      <c r="AN118" s="109"/>
      <c r="AO118" s="109"/>
      <c r="AP118" s="109"/>
      <c r="AQ118" s="109"/>
      <c r="AR118" s="109"/>
      <c r="AS118" s="109"/>
    </row>
    <row r="119" spans="1:45" ht="12.6" customHeight="1" x14ac:dyDescent="0.3">
      <c r="A119" s="68"/>
      <c r="B119" s="97" t="str">
        <f>"Cm = "&amp;Z119&amp;" sec (135˚) , E = "&amp;AD119&amp;"-"&amp;AF119&amp;" = "&amp;AH119&amp;""</f>
        <v>Cm = 18 sec (135˚) , E = 0.7-0.05 = 0.65</v>
      </c>
      <c r="C119" s="78"/>
      <c r="D119" s="78"/>
      <c r="E119" s="78"/>
      <c r="F119" s="78"/>
      <c r="G119" s="16" t="s">
        <v>1405</v>
      </c>
      <c r="Z119" s="111">
        <v>18</v>
      </c>
      <c r="AA119" s="20" t="s">
        <v>1326</v>
      </c>
      <c r="AB119" s="112">
        <f>Z119</f>
        <v>18</v>
      </c>
      <c r="AC119" s="20" t="s">
        <v>1385</v>
      </c>
      <c r="AD119" s="110">
        <v>0.7</v>
      </c>
      <c r="AE119" s="20" t="s">
        <v>1407</v>
      </c>
      <c r="AF119" s="110">
        <v>0.05</v>
      </c>
      <c r="AG119" s="20" t="s">
        <v>1326</v>
      </c>
      <c r="AH119" s="112" t="str">
        <f>TEXT(ROUND(AD119-AF119,2),"0.00")</f>
        <v>0.65</v>
      </c>
      <c r="AI119" s="20" t="s">
        <v>1385</v>
      </c>
      <c r="AJ119" s="109"/>
      <c r="AK119" s="109"/>
      <c r="AL119" s="109"/>
      <c r="AM119" s="109"/>
      <c r="AN119" s="109"/>
      <c r="AO119" s="109"/>
      <c r="AP119" s="109"/>
      <c r="AQ119" s="109"/>
      <c r="AR119" s="109"/>
      <c r="AS119" s="109"/>
    </row>
    <row r="120" spans="1:45" ht="12.6" customHeight="1" x14ac:dyDescent="0.3">
      <c r="A120" s="78"/>
      <c r="B120" s="78"/>
      <c r="C120" s="78"/>
      <c r="D120" s="78"/>
      <c r="E120" s="78"/>
      <c r="F120" s="78"/>
      <c r="G120" s="16" t="s">
        <v>1317</v>
      </c>
      <c r="Z120" s="109"/>
      <c r="AA120" s="109"/>
      <c r="AB120" s="109"/>
      <c r="AC120" s="109"/>
      <c r="AD120" s="109"/>
      <c r="AE120" s="109"/>
      <c r="AF120" s="109"/>
      <c r="AG120" s="109"/>
      <c r="AH120" s="109"/>
      <c r="AI120" s="109"/>
      <c r="AJ120" s="109"/>
      <c r="AK120" s="109"/>
      <c r="AL120" s="109"/>
      <c r="AM120" s="109"/>
      <c r="AN120" s="109"/>
      <c r="AO120" s="109"/>
      <c r="AP120" s="109"/>
      <c r="AQ120" s="109"/>
      <c r="AR120" s="109"/>
      <c r="AS120" s="109"/>
    </row>
    <row r="121" spans="1:45" ht="12.6" customHeight="1" x14ac:dyDescent="0.3">
      <c r="A121" s="68"/>
      <c r="B121" s="97" t="str">
        <f>"Q = "&amp;Z121&amp;"*q*K*f*E/Cm = "&amp;AL121&amp;" m3/hr "</f>
        <v xml:space="preserve">Q = 3600*q*K*f*E/Cm = 37.44 m3/hr </v>
      </c>
      <c r="C121" s="78"/>
      <c r="D121" s="78"/>
      <c r="E121" s="78"/>
      <c r="F121" s="78"/>
      <c r="G121" s="16" t="s">
        <v>1406</v>
      </c>
      <c r="Z121" s="111">
        <v>3600</v>
      </c>
      <c r="AA121" s="20" t="s">
        <v>1390</v>
      </c>
      <c r="AB121" s="112">
        <f>AB117</f>
        <v>0.4</v>
      </c>
      <c r="AC121" s="20" t="s">
        <v>1390</v>
      </c>
      <c r="AD121" s="112">
        <f>AL117</f>
        <v>0.9</v>
      </c>
      <c r="AE121" s="20" t="s">
        <v>1390</v>
      </c>
      <c r="AF121" s="112" t="str">
        <f>AH117</f>
        <v>0.80</v>
      </c>
      <c r="AG121" s="20" t="s">
        <v>1390</v>
      </c>
      <c r="AH121" s="112" t="str">
        <f>AH119</f>
        <v>0.65</v>
      </c>
      <c r="AI121" s="20" t="s">
        <v>1387</v>
      </c>
      <c r="AJ121" s="112">
        <f>AB119</f>
        <v>18</v>
      </c>
      <c r="AK121" s="20" t="s">
        <v>1326</v>
      </c>
      <c r="AL121" s="112" t="str">
        <f>TEXT(ROUND(Z121*AB117*AL117*AH117*AH119/AB119,2),"0.00")</f>
        <v>37.44</v>
      </c>
      <c r="AM121" s="109"/>
      <c r="AN121" s="109"/>
      <c r="AO121" s="109"/>
      <c r="AP121" s="109"/>
      <c r="AQ121" s="109"/>
      <c r="AR121" s="109"/>
      <c r="AS121" s="109"/>
    </row>
    <row r="122" spans="1:45" ht="12.6" customHeight="1" x14ac:dyDescent="0.3">
      <c r="A122" s="78"/>
      <c r="B122" s="78"/>
      <c r="C122" s="78"/>
      <c r="D122" s="78"/>
      <c r="E122" s="78"/>
      <c r="F122" s="78"/>
      <c r="G122" s="16" t="s">
        <v>1317</v>
      </c>
      <c r="Z122" s="109"/>
      <c r="AA122" s="109"/>
      <c r="AB122" s="109"/>
      <c r="AC122" s="109"/>
      <c r="AD122" s="109"/>
      <c r="AE122" s="109"/>
      <c r="AF122" s="109"/>
      <c r="AG122" s="109"/>
      <c r="AH122" s="109"/>
      <c r="AI122" s="109"/>
      <c r="AJ122" s="109"/>
      <c r="AK122" s="109"/>
      <c r="AL122" s="109"/>
      <c r="AM122" s="109"/>
      <c r="AN122" s="109"/>
      <c r="AO122" s="109"/>
      <c r="AP122" s="109"/>
      <c r="AQ122" s="109"/>
      <c r="AR122" s="109"/>
      <c r="AS122" s="109"/>
    </row>
    <row r="123" spans="1:45" ht="12.6" customHeight="1" x14ac:dyDescent="0.3">
      <c r="A123" s="78"/>
      <c r="B123" s="78"/>
      <c r="C123" s="78"/>
      <c r="D123" s="78"/>
      <c r="E123" s="78"/>
      <c r="F123" s="78"/>
      <c r="G123" s="16" t="s">
        <v>1317</v>
      </c>
      <c r="Z123" s="109"/>
      <c r="AA123" s="109"/>
      <c r="AB123" s="109"/>
      <c r="AC123" s="109"/>
      <c r="AD123" s="109"/>
      <c r="AE123" s="109"/>
      <c r="AF123" s="109"/>
      <c r="AG123" s="109"/>
      <c r="AH123" s="109"/>
      <c r="AI123" s="109"/>
      <c r="AJ123" s="109"/>
      <c r="AK123" s="109"/>
      <c r="AL123" s="109"/>
      <c r="AM123" s="109"/>
      <c r="AN123" s="109"/>
      <c r="AO123" s="109"/>
      <c r="AP123" s="109"/>
      <c r="AQ123" s="109"/>
      <c r="AR123" s="109"/>
      <c r="AS123" s="109"/>
    </row>
    <row r="124" spans="1:45" ht="12.6" customHeight="1" x14ac:dyDescent="0.3">
      <c r="A124" s="78"/>
      <c r="B124" s="78"/>
      <c r="C124" s="78"/>
      <c r="D124" s="78"/>
      <c r="E124" s="78"/>
      <c r="F124" s="78"/>
      <c r="G124" s="16" t="s">
        <v>1317</v>
      </c>
      <c r="Z124" s="109"/>
      <c r="AA124" s="109"/>
      <c r="AB124" s="109"/>
      <c r="AC124" s="109"/>
      <c r="AD124" s="109"/>
      <c r="AE124" s="109"/>
      <c r="AF124" s="109"/>
      <c r="AG124" s="109"/>
      <c r="AH124" s="109"/>
      <c r="AI124" s="109"/>
      <c r="AJ124" s="109"/>
      <c r="AK124" s="109"/>
      <c r="AL124" s="109"/>
      <c r="AM124" s="109"/>
      <c r="AN124" s="109"/>
      <c r="AO124" s="109"/>
      <c r="AP124" s="109"/>
      <c r="AQ124" s="109"/>
      <c r="AR124" s="109"/>
      <c r="AS124" s="109"/>
    </row>
    <row r="125" spans="1:45" ht="12.6" customHeight="1" x14ac:dyDescent="0.3">
      <c r="A125" s="68" t="s">
        <v>1409</v>
      </c>
      <c r="B125" s="97" t="str">
        <f>" 노 무 비  : "&amp;TEXT(I125,"#,##0"&amp;IF(I125&lt;&gt;INT(I125),".###",""))&amp;" / Q  = "&amp;TEXT(C125,"#,##0.0")&amp;""</f>
        <v xml:space="preserve"> 노 무 비  : 55,700 / Q  = 1,487.7</v>
      </c>
      <c r="C125" s="99">
        <f>E125+D125+F125</f>
        <v>1487.7</v>
      </c>
      <c r="D125" s="99">
        <f>IF(H125=0,0,ROUNDDOWN(J125*H125,1))</f>
        <v>1487.7</v>
      </c>
      <c r="E125" s="99">
        <f>IF(H125=0,0,ROUNDDOWN(K125*H125,1))</f>
        <v>0</v>
      </c>
      <c r="F125" s="99">
        <f>IF(H125=0,0,ROUNDDOWN(L125*H125,1))</f>
        <v>0</v>
      </c>
      <c r="G125" s="16" t="s">
        <v>1408</v>
      </c>
      <c r="H125" s="105">
        <f>AC125</f>
        <v>2.6709401709401712E-2</v>
      </c>
      <c r="I125" s="106">
        <f>K125+J125+L125</f>
        <v>55700</v>
      </c>
      <c r="J125" s="39">
        <f>중기목록표!F6</f>
        <v>55700</v>
      </c>
      <c r="M125" s="20" t="s">
        <v>1410</v>
      </c>
      <c r="N125" s="20" t="s">
        <v>1332</v>
      </c>
      <c r="X125" s="108" t="str">
        <f>중기목록표!B6&amp;" / "&amp;중기목록표!C6</f>
        <v xml:space="preserve">굴삭기(0.4m3) / </v>
      </c>
      <c r="Y125" s="19" t="str">
        <f ca="1">HYPERLINK("#"&amp;중기목록표!J2&amp;"!A"&amp;ROW(중기목록표!A6),"중기    3 →")</f>
        <v>중기    3 →</v>
      </c>
      <c r="Z125" s="20" t="s">
        <v>1393</v>
      </c>
      <c r="AA125" s="112" t="str">
        <f>AL121</f>
        <v>37.44</v>
      </c>
      <c r="AB125" s="20" t="s">
        <v>1326</v>
      </c>
      <c r="AC125" s="113">
        <f>1/AL121</f>
        <v>2.6709401709401712E-2</v>
      </c>
      <c r="AD125" s="109"/>
      <c r="AE125" s="109"/>
      <c r="AF125" s="109"/>
      <c r="AG125" s="109"/>
      <c r="AH125" s="109"/>
      <c r="AI125" s="109"/>
      <c r="AJ125" s="109"/>
      <c r="AK125" s="109"/>
      <c r="AL125" s="109"/>
      <c r="AM125" s="109"/>
      <c r="AN125" s="109"/>
      <c r="AO125" s="109"/>
      <c r="AP125" s="109"/>
      <c r="AQ125" s="109"/>
      <c r="AR125" s="109"/>
      <c r="AS125" s="109"/>
    </row>
    <row r="126" spans="1:45" ht="12.6" customHeight="1" x14ac:dyDescent="0.3">
      <c r="A126" s="78"/>
      <c r="B126" s="78"/>
      <c r="C126" s="78"/>
      <c r="D126" s="78"/>
      <c r="E126" s="78"/>
      <c r="F126" s="78"/>
      <c r="G126" s="16" t="s">
        <v>1317</v>
      </c>
      <c r="Z126" s="109"/>
      <c r="AA126" s="109"/>
      <c r="AB126" s="109"/>
      <c r="AC126" s="109"/>
      <c r="AD126" s="109"/>
      <c r="AE126" s="109"/>
      <c r="AF126" s="109"/>
      <c r="AG126" s="109"/>
      <c r="AH126" s="109"/>
      <c r="AI126" s="109"/>
      <c r="AJ126" s="109"/>
      <c r="AK126" s="109"/>
      <c r="AL126" s="109"/>
      <c r="AM126" s="109"/>
      <c r="AN126" s="109"/>
      <c r="AO126" s="109"/>
      <c r="AP126" s="109"/>
      <c r="AQ126" s="109"/>
      <c r="AR126" s="109"/>
      <c r="AS126" s="109"/>
    </row>
    <row r="127" spans="1:45" ht="12.6" customHeight="1" x14ac:dyDescent="0.3">
      <c r="A127" s="68" t="s">
        <v>1412</v>
      </c>
      <c r="B127" s="97" t="str">
        <f>" 재 료 비  : "&amp;TEXT(I127,"#,##0"&amp;IF(I127&lt;&gt;INT(I127),".###",""))&amp;" / Q  = "&amp;TEXT(C127,"#,##0.0")&amp;""</f>
        <v xml:space="preserve"> 재 료 비  : 15,363 / Q  = 410.3</v>
      </c>
      <c r="C127" s="99">
        <f>E127+D127+F127</f>
        <v>410.3</v>
      </c>
      <c r="D127" s="99">
        <f>IF(H127=0,0,ROUNDDOWN(J127*H127,1))</f>
        <v>0</v>
      </c>
      <c r="E127" s="99">
        <f>IF(H127=0,0,ROUNDDOWN(K127*H127,1))</f>
        <v>410.3</v>
      </c>
      <c r="F127" s="99">
        <f>IF(H127=0,0,ROUNDDOWN(L127*H127,1))</f>
        <v>0</v>
      </c>
      <c r="G127" s="16" t="s">
        <v>1411</v>
      </c>
      <c r="H127" s="105">
        <f>AC127</f>
        <v>2.6709401709401712E-2</v>
      </c>
      <c r="I127" s="106">
        <f>K127+J127+L127</f>
        <v>15363</v>
      </c>
      <c r="K127" s="39">
        <f>중기목록표!G6</f>
        <v>15363</v>
      </c>
      <c r="M127" s="20" t="s">
        <v>1410</v>
      </c>
      <c r="N127" s="20" t="s">
        <v>1332</v>
      </c>
      <c r="X127" s="108" t="str">
        <f>중기목록표!B6&amp;" / "&amp;중기목록표!C6</f>
        <v xml:space="preserve">굴삭기(0.4m3) / </v>
      </c>
      <c r="Y127" s="19" t="str">
        <f ca="1">HYPERLINK("#"&amp;중기목록표!J2&amp;"!A"&amp;ROW(중기목록표!A6),"중기    3 →")</f>
        <v>중기    3 →</v>
      </c>
      <c r="Z127" s="20" t="s">
        <v>1393</v>
      </c>
      <c r="AA127" s="112" t="str">
        <f>AL121</f>
        <v>37.44</v>
      </c>
      <c r="AB127" s="20" t="s">
        <v>1326</v>
      </c>
      <c r="AC127" s="113">
        <f>1/AL121</f>
        <v>2.6709401709401712E-2</v>
      </c>
      <c r="AD127" s="109"/>
      <c r="AE127" s="109"/>
      <c r="AF127" s="109"/>
      <c r="AG127" s="109"/>
      <c r="AH127" s="109"/>
      <c r="AI127" s="109"/>
      <c r="AJ127" s="109"/>
      <c r="AK127" s="109"/>
      <c r="AL127" s="109"/>
      <c r="AM127" s="109"/>
      <c r="AN127" s="109"/>
      <c r="AO127" s="109"/>
      <c r="AP127" s="109"/>
      <c r="AQ127" s="109"/>
      <c r="AR127" s="109"/>
      <c r="AS127" s="109"/>
    </row>
    <row r="128" spans="1:45" ht="12.6" customHeight="1" x14ac:dyDescent="0.3">
      <c r="A128" s="78"/>
      <c r="B128" s="78"/>
      <c r="C128" s="78"/>
      <c r="D128" s="78"/>
      <c r="E128" s="78"/>
      <c r="F128" s="78"/>
      <c r="G128" s="16" t="s">
        <v>1317</v>
      </c>
      <c r="Z128" s="109"/>
      <c r="AA128" s="109"/>
      <c r="AB128" s="109"/>
      <c r="AC128" s="109"/>
      <c r="AD128" s="109"/>
      <c r="AE128" s="109"/>
      <c r="AF128" s="109"/>
      <c r="AG128" s="109"/>
      <c r="AH128" s="109"/>
      <c r="AI128" s="109"/>
      <c r="AJ128" s="109"/>
      <c r="AK128" s="109"/>
      <c r="AL128" s="109"/>
      <c r="AM128" s="109"/>
      <c r="AN128" s="109"/>
      <c r="AO128" s="109"/>
      <c r="AP128" s="109"/>
      <c r="AQ128" s="109"/>
      <c r="AR128" s="109"/>
      <c r="AS128" s="109"/>
    </row>
    <row r="129" spans="1:45" ht="12.6" customHeight="1" x14ac:dyDescent="0.3">
      <c r="A129" s="68" t="s">
        <v>1414</v>
      </c>
      <c r="B129" s="97" t="str">
        <f>" 경    비  : "&amp;TEXT(I129,"#,##0"&amp;IF(I129&lt;&gt;INT(I129),".###",""))&amp;" / Q  = "&amp;TEXT(C129,"#,##0.0")&amp;""</f>
        <v xml:space="preserve"> 경    비  : 16,378 / Q  = 437.4</v>
      </c>
      <c r="C129" s="99">
        <f>E129+D129+F129</f>
        <v>437.4</v>
      </c>
      <c r="D129" s="99">
        <f>IF(H129=0,0,ROUNDDOWN(J129*H129,1))</f>
        <v>0</v>
      </c>
      <c r="E129" s="99">
        <f>IF(H129=0,0,ROUNDDOWN(K129*H129,1))</f>
        <v>0</v>
      </c>
      <c r="F129" s="99">
        <f>IF(H129=0,0,ROUNDDOWN(L129*H129,1))</f>
        <v>437.4</v>
      </c>
      <c r="G129" s="16" t="s">
        <v>1413</v>
      </c>
      <c r="H129" s="105">
        <f>AC129</f>
        <v>2.6709401709401712E-2</v>
      </c>
      <c r="I129" s="106">
        <f>K129+J129+L129</f>
        <v>16378</v>
      </c>
      <c r="L129" s="39">
        <f>중기목록표!H6</f>
        <v>16378</v>
      </c>
      <c r="M129" s="20" t="s">
        <v>1410</v>
      </c>
      <c r="N129" s="20" t="s">
        <v>1332</v>
      </c>
      <c r="X129" s="108" t="str">
        <f>중기목록표!B6&amp;" / "&amp;중기목록표!C6</f>
        <v xml:space="preserve">굴삭기(0.4m3) / </v>
      </c>
      <c r="Y129" s="19" t="str">
        <f ca="1">HYPERLINK("#"&amp;중기목록표!J2&amp;"!A"&amp;ROW(중기목록표!A6),"중기    3 →")</f>
        <v>중기    3 →</v>
      </c>
      <c r="Z129" s="20" t="s">
        <v>1393</v>
      </c>
      <c r="AA129" s="112" t="str">
        <f>AL121</f>
        <v>37.44</v>
      </c>
      <c r="AB129" s="20" t="s">
        <v>1326</v>
      </c>
      <c r="AC129" s="113">
        <f>1/AL121</f>
        <v>2.6709401709401712E-2</v>
      </c>
      <c r="AD129" s="109"/>
      <c r="AE129" s="109"/>
      <c r="AF129" s="109"/>
      <c r="AG129" s="109"/>
      <c r="AH129" s="109"/>
      <c r="AI129" s="109"/>
      <c r="AJ129" s="109"/>
      <c r="AK129" s="109"/>
      <c r="AL129" s="109"/>
      <c r="AM129" s="109"/>
      <c r="AN129" s="109"/>
      <c r="AO129" s="109"/>
      <c r="AP129" s="109"/>
      <c r="AQ129" s="109"/>
      <c r="AR129" s="109"/>
      <c r="AS129" s="109"/>
    </row>
    <row r="130" spans="1:45" ht="12.6" customHeight="1" x14ac:dyDescent="0.3">
      <c r="A130" s="78"/>
      <c r="B130" s="78"/>
      <c r="C130" s="78"/>
      <c r="D130" s="78"/>
      <c r="E130" s="78"/>
      <c r="F130" s="78"/>
      <c r="G130" s="16" t="s">
        <v>1317</v>
      </c>
      <c r="Z130" s="109"/>
      <c r="AA130" s="109"/>
      <c r="AB130" s="109"/>
      <c r="AC130" s="109"/>
      <c r="AD130" s="109"/>
      <c r="AE130" s="109"/>
      <c r="AF130" s="109"/>
      <c r="AG130" s="109"/>
      <c r="AH130" s="109"/>
      <c r="AI130" s="109"/>
      <c r="AJ130" s="109"/>
      <c r="AK130" s="109"/>
      <c r="AL130" s="109"/>
      <c r="AM130" s="109"/>
      <c r="AN130" s="109"/>
      <c r="AO130" s="109"/>
      <c r="AP130" s="109"/>
      <c r="AQ130" s="109"/>
      <c r="AR130" s="109"/>
      <c r="AS130" s="109"/>
    </row>
    <row r="131" spans="1:45" ht="12.6" customHeight="1" x14ac:dyDescent="0.3">
      <c r="A131" s="78"/>
      <c r="B131" s="78"/>
      <c r="C131" s="78"/>
      <c r="D131" s="78"/>
      <c r="E131" s="78"/>
      <c r="F131" s="78"/>
      <c r="G131" s="16" t="s">
        <v>1317</v>
      </c>
      <c r="Z131" s="109"/>
      <c r="AA131" s="109"/>
      <c r="AB131" s="109"/>
      <c r="AC131" s="109"/>
      <c r="AD131" s="109"/>
      <c r="AE131" s="109"/>
      <c r="AF131" s="109"/>
      <c r="AG131" s="109"/>
      <c r="AH131" s="109"/>
      <c r="AI131" s="109"/>
      <c r="AJ131" s="109"/>
      <c r="AK131" s="109"/>
      <c r="AL131" s="109"/>
      <c r="AM131" s="109"/>
      <c r="AN131" s="109"/>
      <c r="AO131" s="109"/>
      <c r="AP131" s="109"/>
      <c r="AQ131" s="109"/>
      <c r="AR131" s="109"/>
      <c r="AS131" s="109"/>
    </row>
    <row r="132" spans="1:45" ht="12.6" customHeight="1" x14ac:dyDescent="0.3">
      <c r="A132" s="78"/>
      <c r="B132" s="78"/>
      <c r="C132" s="78"/>
      <c r="D132" s="78"/>
      <c r="E132" s="78"/>
      <c r="F132" s="78"/>
      <c r="G132" s="16" t="s">
        <v>1317</v>
      </c>
      <c r="Z132" s="109"/>
      <c r="AA132" s="109"/>
      <c r="AB132" s="109"/>
      <c r="AC132" s="109"/>
      <c r="AD132" s="109"/>
      <c r="AE132" s="109"/>
      <c r="AF132" s="109"/>
      <c r="AG132" s="109"/>
      <c r="AH132" s="109"/>
      <c r="AI132" s="109"/>
      <c r="AJ132" s="109"/>
      <c r="AK132" s="109"/>
      <c r="AL132" s="109"/>
      <c r="AM132" s="109"/>
      <c r="AN132" s="109"/>
      <c r="AO132" s="109"/>
      <c r="AP132" s="109"/>
      <c r="AQ132" s="109"/>
      <c r="AR132" s="109"/>
      <c r="AS132" s="109"/>
    </row>
    <row r="133" spans="1:45" ht="12.6" customHeight="1" x14ac:dyDescent="0.3">
      <c r="A133" s="68"/>
      <c r="B133" s="77" t="s">
        <v>1331</v>
      </c>
      <c r="C133" s="100">
        <f>E133+D133+F133</f>
        <v>2335.4</v>
      </c>
      <c r="D133" s="100">
        <f>SUMIF(N112:N132,M133,D112:D132)</f>
        <v>1487.7</v>
      </c>
      <c r="E133" s="100">
        <f>SUMIF(N112:N132,M133,E112:E132)</f>
        <v>410.3</v>
      </c>
      <c r="F133" s="100">
        <f>SUMIF(N112:N132,M133,F112:F132)</f>
        <v>437.4</v>
      </c>
      <c r="G133" s="16" t="s">
        <v>1415</v>
      </c>
      <c r="M133" s="20" t="s">
        <v>1332</v>
      </c>
      <c r="N133" s="20" t="s">
        <v>1128</v>
      </c>
      <c r="Z133" s="109"/>
      <c r="AA133" s="109"/>
      <c r="AB133" s="109"/>
      <c r="AC133" s="109"/>
      <c r="AD133" s="109"/>
      <c r="AE133" s="109"/>
      <c r="AF133" s="109"/>
      <c r="AG133" s="109"/>
      <c r="AH133" s="109"/>
      <c r="AI133" s="109"/>
      <c r="AJ133" s="109"/>
      <c r="AK133" s="109"/>
      <c r="AL133" s="109"/>
      <c r="AM133" s="109"/>
      <c r="AN133" s="109"/>
      <c r="AO133" s="109"/>
      <c r="AP133" s="109"/>
      <c r="AQ133" s="109"/>
      <c r="AR133" s="109"/>
      <c r="AS133" s="109"/>
    </row>
    <row r="134" spans="1:45" ht="12.6" customHeight="1" x14ac:dyDescent="0.3">
      <c r="A134" s="78"/>
      <c r="B134" s="78"/>
      <c r="C134" s="98"/>
      <c r="D134" s="98"/>
      <c r="E134" s="98"/>
      <c r="F134" s="98"/>
      <c r="Z134" s="109"/>
      <c r="AA134" s="109"/>
      <c r="AB134" s="109"/>
      <c r="AC134" s="109"/>
      <c r="AD134" s="109"/>
      <c r="AE134" s="109"/>
      <c r="AF134" s="109"/>
      <c r="AG134" s="109"/>
      <c r="AH134" s="109"/>
      <c r="AI134" s="109"/>
      <c r="AJ134" s="109"/>
      <c r="AK134" s="109"/>
      <c r="AL134" s="109"/>
      <c r="AM134" s="109"/>
      <c r="AN134" s="109"/>
      <c r="AO134" s="109"/>
      <c r="AP134" s="109"/>
      <c r="AQ134" s="109"/>
      <c r="AR134" s="109"/>
      <c r="AS134" s="109"/>
    </row>
    <row r="135" spans="1:45" ht="12.6" customHeight="1" x14ac:dyDescent="0.3">
      <c r="A135" s="78"/>
      <c r="B135" s="78"/>
      <c r="C135" s="78"/>
      <c r="D135" s="78"/>
      <c r="E135" s="78"/>
      <c r="F135" s="78"/>
      <c r="Z135" s="109"/>
      <c r="AA135" s="109"/>
      <c r="AB135" s="109"/>
      <c r="AC135" s="109"/>
      <c r="AD135" s="109"/>
      <c r="AE135" s="109"/>
      <c r="AF135" s="109"/>
      <c r="AG135" s="109"/>
      <c r="AH135" s="109"/>
      <c r="AI135" s="109"/>
      <c r="AJ135" s="109"/>
      <c r="AK135" s="109"/>
      <c r="AL135" s="109"/>
      <c r="AM135" s="109"/>
      <c r="AN135" s="109"/>
      <c r="AO135" s="109"/>
      <c r="AP135" s="109"/>
      <c r="AQ135" s="109"/>
      <c r="AR135" s="109"/>
      <c r="AS135" s="109"/>
    </row>
    <row r="136" spans="1:45" ht="12.6" customHeight="1" x14ac:dyDescent="0.3">
      <c r="A136" s="78"/>
      <c r="B136" s="78"/>
      <c r="C136" s="78"/>
      <c r="D136" s="78"/>
      <c r="E136" s="78"/>
      <c r="F136" s="78"/>
      <c r="Z136" s="109"/>
      <c r="AA136" s="109"/>
      <c r="AB136" s="109"/>
      <c r="AC136" s="109"/>
      <c r="AD136" s="109"/>
      <c r="AE136" s="109"/>
      <c r="AF136" s="109"/>
      <c r="AG136" s="109"/>
      <c r="AH136" s="109"/>
      <c r="AI136" s="109"/>
      <c r="AJ136" s="109"/>
      <c r="AK136" s="109"/>
      <c r="AL136" s="109"/>
      <c r="AM136" s="109"/>
      <c r="AN136" s="109"/>
      <c r="AO136" s="109"/>
      <c r="AP136" s="109"/>
      <c r="AQ136" s="109"/>
      <c r="AR136" s="109"/>
      <c r="AS136" s="109"/>
    </row>
    <row r="137" spans="1:45" ht="12.6" customHeight="1" x14ac:dyDescent="0.3">
      <c r="A137" s="78"/>
      <c r="B137" s="78"/>
      <c r="C137" s="78"/>
      <c r="D137" s="78"/>
      <c r="E137" s="78"/>
      <c r="F137" s="78"/>
      <c r="Z137" s="109"/>
      <c r="AA137" s="109"/>
      <c r="AB137" s="109"/>
      <c r="AC137" s="109"/>
      <c r="AD137" s="109"/>
      <c r="AE137" s="109"/>
      <c r="AF137" s="109"/>
      <c r="AG137" s="109"/>
      <c r="AH137" s="109"/>
      <c r="AI137" s="109"/>
      <c r="AJ137" s="109"/>
      <c r="AK137" s="109"/>
      <c r="AL137" s="109"/>
      <c r="AM137" s="109"/>
      <c r="AN137" s="109"/>
      <c r="AO137" s="109"/>
      <c r="AP137" s="109"/>
      <c r="AQ137" s="109"/>
      <c r="AR137" s="109"/>
      <c r="AS137" s="109"/>
    </row>
    <row r="138" spans="1:45" ht="12.6" customHeight="1" x14ac:dyDescent="0.3">
      <c r="A138" s="78"/>
      <c r="B138" s="78"/>
      <c r="C138" s="78"/>
      <c r="D138" s="78"/>
      <c r="E138" s="78"/>
      <c r="F138" s="78"/>
      <c r="Z138" s="109"/>
      <c r="AA138" s="109"/>
      <c r="AB138" s="109"/>
      <c r="AC138" s="109"/>
      <c r="AD138" s="109"/>
      <c r="AE138" s="109"/>
      <c r="AF138" s="109"/>
      <c r="AG138" s="109"/>
      <c r="AH138" s="109"/>
      <c r="AI138" s="109"/>
      <c r="AJ138" s="109"/>
      <c r="AK138" s="109"/>
      <c r="AL138" s="109"/>
      <c r="AM138" s="109"/>
      <c r="AN138" s="109"/>
      <c r="AO138" s="109"/>
      <c r="AP138" s="109"/>
      <c r="AQ138" s="109"/>
      <c r="AR138" s="109"/>
      <c r="AS138" s="109"/>
    </row>
    <row r="139" spans="1:45" ht="12.6" customHeight="1" x14ac:dyDescent="0.3">
      <c r="A139" s="78"/>
      <c r="B139" s="78"/>
      <c r="C139" s="78"/>
      <c r="D139" s="78"/>
      <c r="E139" s="78"/>
      <c r="F139" s="78"/>
      <c r="Z139" s="109"/>
      <c r="AA139" s="109"/>
      <c r="AB139" s="109"/>
      <c r="AC139" s="109"/>
      <c r="AD139" s="109"/>
      <c r="AE139" s="109"/>
      <c r="AF139" s="109"/>
      <c r="AG139" s="109"/>
      <c r="AH139" s="109"/>
      <c r="AI139" s="109"/>
      <c r="AJ139" s="109"/>
      <c r="AK139" s="109"/>
      <c r="AL139" s="109"/>
      <c r="AM139" s="109"/>
      <c r="AN139" s="109"/>
      <c r="AO139" s="109"/>
      <c r="AP139" s="109"/>
      <c r="AQ139" s="109"/>
      <c r="AR139" s="109"/>
      <c r="AS139" s="109"/>
    </row>
    <row r="140" spans="1:45" ht="12.6" customHeight="1" x14ac:dyDescent="0.3">
      <c r="A140" s="78"/>
      <c r="B140" s="78"/>
      <c r="C140" s="78"/>
      <c r="D140" s="78"/>
      <c r="E140" s="78"/>
      <c r="F140" s="78"/>
      <c r="Z140" s="109"/>
      <c r="AA140" s="109"/>
      <c r="AB140" s="109"/>
      <c r="AC140" s="109"/>
      <c r="AD140" s="109"/>
      <c r="AE140" s="109"/>
      <c r="AF140" s="109"/>
      <c r="AG140" s="109"/>
      <c r="AH140" s="109"/>
      <c r="AI140" s="109"/>
      <c r="AJ140" s="109"/>
      <c r="AK140" s="109"/>
      <c r="AL140" s="109"/>
      <c r="AM140" s="109"/>
      <c r="AN140" s="109"/>
      <c r="AO140" s="109"/>
      <c r="AP140" s="109"/>
      <c r="AQ140" s="109"/>
      <c r="AR140" s="109"/>
      <c r="AS140" s="109"/>
    </row>
    <row r="141" spans="1:45" ht="12.6" customHeight="1" x14ac:dyDescent="0.3">
      <c r="A141" s="78"/>
      <c r="B141" s="78"/>
      <c r="C141" s="78"/>
      <c r="D141" s="78"/>
      <c r="E141" s="78"/>
      <c r="F141" s="78"/>
      <c r="Z141" s="109"/>
      <c r="AA141" s="109"/>
      <c r="AB141" s="109"/>
      <c r="AC141" s="109"/>
      <c r="AD141" s="109"/>
      <c r="AE141" s="109"/>
      <c r="AF141" s="109"/>
      <c r="AG141" s="109"/>
      <c r="AH141" s="109"/>
      <c r="AI141" s="109"/>
      <c r="AJ141" s="109"/>
      <c r="AK141" s="109"/>
      <c r="AL141" s="109"/>
      <c r="AM141" s="109"/>
      <c r="AN141" s="109"/>
      <c r="AO141" s="109"/>
      <c r="AP141" s="109"/>
      <c r="AQ141" s="109"/>
      <c r="AR141" s="109"/>
      <c r="AS141" s="109"/>
    </row>
    <row r="142" spans="1:45" ht="12.6" customHeight="1" x14ac:dyDescent="0.3">
      <c r="A142" s="78"/>
      <c r="B142" s="78"/>
      <c r="C142" s="78"/>
      <c r="D142" s="78"/>
      <c r="E142" s="78"/>
      <c r="F142" s="78"/>
      <c r="Z142" s="109"/>
      <c r="AA142" s="109"/>
      <c r="AB142" s="109"/>
      <c r="AC142" s="109"/>
      <c r="AD142" s="109"/>
      <c r="AE142" s="109"/>
      <c r="AF142" s="109"/>
      <c r="AG142" s="109"/>
      <c r="AH142" s="109"/>
      <c r="AI142" s="109"/>
      <c r="AJ142" s="109"/>
      <c r="AK142" s="109"/>
      <c r="AL142" s="109"/>
      <c r="AM142" s="109"/>
      <c r="AN142" s="109"/>
      <c r="AO142" s="109"/>
      <c r="AP142" s="109"/>
      <c r="AQ142" s="109"/>
      <c r="AR142" s="109"/>
      <c r="AS142" s="109"/>
    </row>
    <row r="143" spans="1:45" ht="12.6" customHeight="1" x14ac:dyDescent="0.3">
      <c r="A143" s="58"/>
      <c r="B143" s="58"/>
      <c r="C143" s="58"/>
      <c r="D143" s="58"/>
      <c r="E143" s="58"/>
      <c r="F143" s="58"/>
      <c r="Z143" s="109"/>
      <c r="AA143" s="109"/>
      <c r="AB143" s="109"/>
      <c r="AC143" s="109"/>
      <c r="AD143" s="109"/>
      <c r="AE143" s="109"/>
      <c r="AF143" s="109"/>
      <c r="AG143" s="109"/>
      <c r="AH143" s="109"/>
      <c r="AI143" s="109"/>
      <c r="AJ143" s="109"/>
      <c r="AK143" s="109"/>
      <c r="AL143" s="109"/>
      <c r="AM143" s="109"/>
      <c r="AN143" s="109"/>
      <c r="AO143" s="109"/>
      <c r="AP143" s="109"/>
      <c r="AQ143" s="109"/>
      <c r="AR143" s="109"/>
      <c r="AS143" s="109"/>
    </row>
    <row r="144" spans="1:45" ht="12.6" customHeight="1" x14ac:dyDescent="0.3">
      <c r="A144" s="159" t="s">
        <v>1401</v>
      </c>
      <c r="B144" s="152"/>
      <c r="C144" s="55">
        <f>E144+D144+F144</f>
        <v>2334</v>
      </c>
      <c r="D144" s="54">
        <f>ROUNDDOWN(SUMIF(N112:N133,M144,D112:D133),0)</f>
        <v>1487</v>
      </c>
      <c r="E144" s="63">
        <f>ROUNDDOWN(SUMIF(N112:N133,M144,E112:E133),0)</f>
        <v>410</v>
      </c>
      <c r="F144" s="55">
        <f>ROUNDDOWN(SUMIF(N112:N133,M144,F112:F133),0)</f>
        <v>437</v>
      </c>
      <c r="M144" s="20" t="s">
        <v>1128</v>
      </c>
      <c r="Z144" s="109"/>
      <c r="AA144" s="109"/>
      <c r="AB144" s="109"/>
      <c r="AC144" s="109"/>
      <c r="AD144" s="109"/>
      <c r="AE144" s="109"/>
      <c r="AF144" s="109"/>
      <c r="AG144" s="109"/>
      <c r="AH144" s="109"/>
      <c r="AI144" s="109"/>
      <c r="AJ144" s="109"/>
      <c r="AK144" s="109"/>
      <c r="AL144" s="109"/>
      <c r="AM144" s="109"/>
      <c r="AN144" s="109"/>
      <c r="AO144" s="109"/>
      <c r="AP144" s="109"/>
      <c r="AQ144" s="109"/>
      <c r="AR144" s="109"/>
      <c r="AS144" s="109"/>
    </row>
    <row r="145" spans="1:45" ht="12.6" customHeight="1" x14ac:dyDescent="0.3">
      <c r="A145" s="95" t="s">
        <v>23</v>
      </c>
      <c r="B145" s="96" t="s">
        <v>23</v>
      </c>
      <c r="C145" s="158">
        <f>C214</f>
        <v>35404</v>
      </c>
      <c r="D145" s="158">
        <f>D214</f>
        <v>18430</v>
      </c>
      <c r="E145" s="158">
        <f>E214</f>
        <v>6085</v>
      </c>
      <c r="F145" s="158">
        <f>F214</f>
        <v>10889</v>
      </c>
      <c r="G145" s="36" t="str">
        <f>HYPERLINK("#G"&amp;ROW(G198),"_x0005_`BDCOD|D00042_x0007_`POSS|"&amp;ROW(G147)&amp;"_x0007_`POSE|"&amp;ROW(G198)&amp;"_x0007_`")</f>
        <v>_x0005_`BDCOD|D00042_x0007_`POSS|147_x0007_`POSE|198_x0007_`</v>
      </c>
      <c r="Z145" s="109"/>
      <c r="AA145" s="109"/>
      <c r="AB145" s="109"/>
      <c r="AC145" s="109"/>
      <c r="AD145" s="109"/>
      <c r="AE145" s="109"/>
      <c r="AF145" s="109"/>
      <c r="AG145" s="109"/>
      <c r="AH145" s="109"/>
      <c r="AI145" s="109"/>
      <c r="AJ145" s="109"/>
      <c r="AK145" s="109"/>
      <c r="AL145" s="109"/>
      <c r="AM145" s="109"/>
      <c r="AN145" s="109"/>
      <c r="AO145" s="109"/>
      <c r="AP145" s="109"/>
      <c r="AQ145" s="109"/>
      <c r="AR145" s="109"/>
      <c r="AS145" s="109"/>
    </row>
    <row r="146" spans="1:45" ht="12.6" customHeight="1" x14ac:dyDescent="0.3">
      <c r="A146" s="84"/>
      <c r="B146" s="96" t="s">
        <v>175</v>
      </c>
      <c r="C146" s="141"/>
      <c r="D146" s="141"/>
      <c r="E146" s="141"/>
      <c r="F146" s="141"/>
      <c r="M146" s="20" t="s">
        <v>174</v>
      </c>
      <c r="Z146" s="109"/>
      <c r="AA146" s="109"/>
      <c r="AB146" s="109"/>
      <c r="AC146" s="109"/>
      <c r="AD146" s="109"/>
      <c r="AE146" s="109"/>
      <c r="AF146" s="109"/>
      <c r="AG146" s="109"/>
      <c r="AH146" s="109"/>
      <c r="AI146" s="109"/>
      <c r="AJ146" s="109"/>
      <c r="AK146" s="109"/>
      <c r="AL146" s="109"/>
      <c r="AM146" s="109"/>
      <c r="AN146" s="109"/>
      <c r="AO146" s="109"/>
      <c r="AP146" s="109"/>
      <c r="AQ146" s="109"/>
      <c r="AR146" s="109"/>
      <c r="AS146" s="109"/>
    </row>
    <row r="147" spans="1:45" ht="12.6" customHeight="1" x14ac:dyDescent="0.3">
      <c r="A147" s="78"/>
      <c r="B147" s="78"/>
      <c r="C147" s="98"/>
      <c r="D147" s="98"/>
      <c r="E147" s="98"/>
      <c r="F147" s="98"/>
      <c r="G147" s="16" t="s">
        <v>1317</v>
      </c>
      <c r="Z147" s="109"/>
      <c r="AA147" s="109"/>
      <c r="AB147" s="109"/>
      <c r="AC147" s="109"/>
      <c r="AD147" s="109"/>
      <c r="AE147" s="109"/>
      <c r="AF147" s="109"/>
      <c r="AG147" s="109"/>
      <c r="AH147" s="109"/>
      <c r="AI147" s="109"/>
      <c r="AJ147" s="109"/>
      <c r="AK147" s="109"/>
      <c r="AL147" s="109"/>
      <c r="AM147" s="109"/>
      <c r="AN147" s="109"/>
      <c r="AO147" s="109"/>
      <c r="AP147" s="109"/>
      <c r="AQ147" s="109"/>
      <c r="AR147" s="109"/>
      <c r="AS147" s="109"/>
    </row>
    <row r="148" spans="1:45" ht="12.6" customHeight="1" x14ac:dyDescent="0.3">
      <c r="A148" s="78"/>
      <c r="B148" s="78"/>
      <c r="C148" s="78"/>
      <c r="D148" s="78"/>
      <c r="E148" s="78"/>
      <c r="F148" s="78"/>
      <c r="G148" s="16" t="s">
        <v>1317</v>
      </c>
      <c r="Z148" s="109"/>
      <c r="AA148" s="109"/>
      <c r="AB148" s="109"/>
      <c r="AC148" s="109"/>
      <c r="AD148" s="109"/>
      <c r="AE148" s="109"/>
      <c r="AF148" s="109"/>
      <c r="AG148" s="109"/>
      <c r="AH148" s="109"/>
      <c r="AI148" s="109"/>
      <c r="AJ148" s="109"/>
      <c r="AK148" s="109"/>
      <c r="AL148" s="109"/>
      <c r="AM148" s="109"/>
      <c r="AN148" s="109"/>
      <c r="AO148" s="109"/>
      <c r="AP148" s="109"/>
      <c r="AQ148" s="109"/>
      <c r="AR148" s="109"/>
      <c r="AS148" s="109"/>
    </row>
    <row r="149" spans="1:45" ht="12.6" customHeight="1" x14ac:dyDescent="0.3">
      <c r="A149" s="78"/>
      <c r="B149" s="78"/>
      <c r="C149" s="78"/>
      <c r="D149" s="78"/>
      <c r="E149" s="78"/>
      <c r="F149" s="78"/>
      <c r="G149" s="16" t="s">
        <v>1317</v>
      </c>
      <c r="Z149" s="109"/>
      <c r="AA149" s="109"/>
      <c r="AB149" s="109"/>
      <c r="AC149" s="109"/>
      <c r="AD149" s="109"/>
      <c r="AE149" s="109"/>
      <c r="AF149" s="109"/>
      <c r="AG149" s="109"/>
      <c r="AH149" s="109"/>
      <c r="AI149" s="109"/>
      <c r="AJ149" s="109"/>
      <c r="AK149" s="109"/>
      <c r="AL149" s="109"/>
      <c r="AM149" s="109"/>
      <c r="AN149" s="109"/>
      <c r="AO149" s="109"/>
      <c r="AP149" s="109"/>
      <c r="AQ149" s="109"/>
      <c r="AR149" s="109"/>
      <c r="AS149" s="109"/>
    </row>
    <row r="150" spans="1:45" ht="12.6" customHeight="1" x14ac:dyDescent="0.3">
      <c r="A150" s="68"/>
      <c r="B150" s="77" t="s">
        <v>1417</v>
      </c>
      <c r="C150" s="78"/>
      <c r="D150" s="78"/>
      <c r="E150" s="78"/>
      <c r="F150" s="78"/>
      <c r="G150" s="16" t="s">
        <v>1416</v>
      </c>
      <c r="Z150" s="109"/>
      <c r="AA150" s="109"/>
      <c r="AB150" s="109"/>
      <c r="AC150" s="109"/>
      <c r="AD150" s="109"/>
      <c r="AE150" s="109"/>
      <c r="AF150" s="109"/>
      <c r="AG150" s="109"/>
      <c r="AH150" s="109"/>
      <c r="AI150" s="109"/>
      <c r="AJ150" s="109"/>
      <c r="AK150" s="109"/>
      <c r="AL150" s="109"/>
      <c r="AM150" s="109"/>
      <c r="AN150" s="109"/>
      <c r="AO150" s="109"/>
      <c r="AP150" s="109"/>
      <c r="AQ150" s="109"/>
      <c r="AR150" s="109"/>
      <c r="AS150" s="109"/>
    </row>
    <row r="151" spans="1:45" ht="12.6" customHeight="1" x14ac:dyDescent="0.3">
      <c r="A151" s="78"/>
      <c r="B151" s="78"/>
      <c r="C151" s="78"/>
      <c r="D151" s="78"/>
      <c r="E151" s="78"/>
      <c r="F151" s="78"/>
      <c r="G151" s="16" t="s">
        <v>1317</v>
      </c>
      <c r="Z151" s="109"/>
      <c r="AA151" s="109"/>
      <c r="AB151" s="109"/>
      <c r="AC151" s="109"/>
      <c r="AD151" s="109"/>
      <c r="AE151" s="109"/>
      <c r="AF151" s="109"/>
      <c r="AG151" s="109"/>
      <c r="AH151" s="109"/>
      <c r="AI151" s="109"/>
      <c r="AJ151" s="109"/>
      <c r="AK151" s="109"/>
      <c r="AL151" s="109"/>
      <c r="AM151" s="109"/>
      <c r="AN151" s="109"/>
      <c r="AO151" s="109"/>
      <c r="AP151" s="109"/>
      <c r="AQ151" s="109"/>
      <c r="AR151" s="109"/>
      <c r="AS151" s="109"/>
    </row>
    <row r="152" spans="1:45" ht="12.6" customHeight="1" x14ac:dyDescent="0.3">
      <c r="A152" s="68"/>
      <c r="B152" s="97" t="str">
        <f>"Q (시간당작업량)  =  "&amp;Z152&amp;"  ㎥/hr "</f>
        <v xml:space="preserve">Q (시간당작업량)  =  3.5  ㎥/hr </v>
      </c>
      <c r="C152" s="78"/>
      <c r="D152" s="78"/>
      <c r="E152" s="78"/>
      <c r="F152" s="78"/>
      <c r="G152" s="16" t="s">
        <v>1418</v>
      </c>
      <c r="Z152" s="110">
        <v>3.5</v>
      </c>
      <c r="AA152" s="20" t="s">
        <v>1326</v>
      </c>
      <c r="AB152" s="112">
        <f>Z152</f>
        <v>3.5</v>
      </c>
      <c r="AC152" s="109"/>
      <c r="AD152" s="109"/>
      <c r="AE152" s="109"/>
      <c r="AF152" s="109"/>
      <c r="AG152" s="109"/>
      <c r="AH152" s="109"/>
      <c r="AI152" s="109"/>
      <c r="AJ152" s="109"/>
      <c r="AK152" s="109"/>
      <c r="AL152" s="109"/>
      <c r="AM152" s="109"/>
      <c r="AN152" s="109"/>
      <c r="AO152" s="109"/>
      <c r="AP152" s="109"/>
      <c r="AQ152" s="109"/>
      <c r="AR152" s="109"/>
      <c r="AS152" s="109"/>
    </row>
    <row r="153" spans="1:45" ht="12.6" customHeight="1" x14ac:dyDescent="0.3">
      <c r="A153" s="78"/>
      <c r="B153" s="78"/>
      <c r="C153" s="78"/>
      <c r="D153" s="78"/>
      <c r="E153" s="78"/>
      <c r="F153" s="78"/>
      <c r="G153" s="16" t="s">
        <v>1317</v>
      </c>
      <c r="Z153" s="109"/>
      <c r="AA153" s="109"/>
      <c r="AB153" s="109"/>
      <c r="AC153" s="109"/>
      <c r="AD153" s="109"/>
      <c r="AE153" s="109"/>
      <c r="AF153" s="109"/>
      <c r="AG153" s="109"/>
      <c r="AH153" s="109"/>
      <c r="AI153" s="109"/>
      <c r="AJ153" s="109"/>
      <c r="AK153" s="109"/>
      <c r="AL153" s="109"/>
      <c r="AM153" s="109"/>
      <c r="AN153" s="109"/>
      <c r="AO153" s="109"/>
      <c r="AP153" s="109"/>
      <c r="AQ153" s="109"/>
      <c r="AR153" s="109"/>
      <c r="AS153" s="109"/>
    </row>
    <row r="154" spans="1:45" ht="12.6" customHeight="1" x14ac:dyDescent="0.3">
      <c r="A154" s="78"/>
      <c r="B154" s="78"/>
      <c r="C154" s="78"/>
      <c r="D154" s="78"/>
      <c r="E154" s="78"/>
      <c r="F154" s="78"/>
      <c r="G154" s="16" t="s">
        <v>1317</v>
      </c>
      <c r="Z154" s="109"/>
      <c r="AA154" s="109"/>
      <c r="AB154" s="109"/>
      <c r="AC154" s="109"/>
      <c r="AD154" s="109"/>
      <c r="AE154" s="109"/>
      <c r="AF154" s="109"/>
      <c r="AG154" s="109"/>
      <c r="AH154" s="109"/>
      <c r="AI154" s="109"/>
      <c r="AJ154" s="109"/>
      <c r="AK154" s="109"/>
      <c r="AL154" s="109"/>
      <c r="AM154" s="109"/>
      <c r="AN154" s="109"/>
      <c r="AO154" s="109"/>
      <c r="AP154" s="109"/>
      <c r="AQ154" s="109"/>
      <c r="AR154" s="109"/>
      <c r="AS154" s="109"/>
    </row>
    <row r="155" spans="1:45" ht="12.6" customHeight="1" x14ac:dyDescent="0.3">
      <c r="A155" s="68" t="s">
        <v>1420</v>
      </c>
      <c r="B155" s="97" t="str">
        <f>" 노 무 비  :   "&amp;TEXT(I155,"#,##0"&amp;IF(I155&lt;&gt;INT(I155),".###",""))&amp;" / Q = "&amp;TEXT(C155,"#,##0.0")&amp;""</f>
        <v xml:space="preserve"> 노 무 비  :   55,700 / Q = 15,914.2</v>
      </c>
      <c r="C155" s="99">
        <f>E155+D155+F155</f>
        <v>15914.2</v>
      </c>
      <c r="D155" s="99">
        <f>IF(H155=0,0,ROUNDDOWN(J155*H155,1))</f>
        <v>15914.2</v>
      </c>
      <c r="E155" s="99">
        <f>IF(H155=0,0,ROUNDDOWN(K155*H155,1))</f>
        <v>0</v>
      </c>
      <c r="F155" s="99">
        <f>IF(H155=0,0,ROUNDDOWN(L155*H155,1))</f>
        <v>0</v>
      </c>
      <c r="G155" s="16" t="s">
        <v>1419</v>
      </c>
      <c r="H155" s="105">
        <f>AC155</f>
        <v>0.2857142857142857</v>
      </c>
      <c r="I155" s="106">
        <f>K155+J155+L155</f>
        <v>55700</v>
      </c>
      <c r="J155" s="39">
        <f>중기목록표!F10</f>
        <v>55700</v>
      </c>
      <c r="M155" s="20" t="s">
        <v>1421</v>
      </c>
      <c r="N155" s="20" t="s">
        <v>1332</v>
      </c>
      <c r="X155" s="108" t="str">
        <f>중기목록표!B10&amp;" / "&amp;중기목록표!C10</f>
        <v xml:space="preserve">굴삭기+브레카(0.7m3) / </v>
      </c>
      <c r="Y155" s="19" t="str">
        <f ca="1">HYPERLINK("#"&amp;중기목록표!J2&amp;"!A"&amp;ROW(중기목록표!A10),"중기    7 →")</f>
        <v>중기    7 →</v>
      </c>
      <c r="Z155" s="20" t="s">
        <v>1393</v>
      </c>
      <c r="AA155" s="112">
        <f>AB152</f>
        <v>3.5</v>
      </c>
      <c r="AB155" s="20" t="s">
        <v>1326</v>
      </c>
      <c r="AC155" s="113">
        <f>1/AB152</f>
        <v>0.2857142857142857</v>
      </c>
      <c r="AD155" s="109"/>
      <c r="AE155" s="109"/>
      <c r="AF155" s="109"/>
      <c r="AG155" s="109"/>
      <c r="AH155" s="109"/>
      <c r="AI155" s="109"/>
      <c r="AJ155" s="109"/>
      <c r="AK155" s="109"/>
      <c r="AL155" s="109"/>
      <c r="AM155" s="109"/>
      <c r="AN155" s="109"/>
      <c r="AO155" s="109"/>
      <c r="AP155" s="109"/>
      <c r="AQ155" s="109"/>
      <c r="AR155" s="109"/>
      <c r="AS155" s="109"/>
    </row>
    <row r="156" spans="1:45" ht="12.6" customHeight="1" x14ac:dyDescent="0.3">
      <c r="A156" s="78"/>
      <c r="B156" s="78"/>
      <c r="C156" s="78"/>
      <c r="D156" s="78"/>
      <c r="E156" s="78"/>
      <c r="F156" s="78"/>
      <c r="G156" s="16" t="s">
        <v>1317</v>
      </c>
      <c r="Z156" s="109"/>
      <c r="AA156" s="109"/>
      <c r="AB156" s="109"/>
      <c r="AC156" s="109"/>
      <c r="AD156" s="109"/>
      <c r="AE156" s="109"/>
      <c r="AF156" s="109"/>
      <c r="AG156" s="109"/>
      <c r="AH156" s="109"/>
      <c r="AI156" s="109"/>
      <c r="AJ156" s="109"/>
      <c r="AK156" s="109"/>
      <c r="AL156" s="109"/>
      <c r="AM156" s="109"/>
      <c r="AN156" s="109"/>
      <c r="AO156" s="109"/>
      <c r="AP156" s="109"/>
      <c r="AQ156" s="109"/>
      <c r="AR156" s="109"/>
      <c r="AS156" s="109"/>
    </row>
    <row r="157" spans="1:45" ht="12.6" customHeight="1" x14ac:dyDescent="0.3">
      <c r="A157" s="78"/>
      <c r="B157" s="78"/>
      <c r="C157" s="78"/>
      <c r="D157" s="78"/>
      <c r="E157" s="78"/>
      <c r="F157" s="78"/>
      <c r="G157" s="16" t="s">
        <v>1317</v>
      </c>
      <c r="Z157" s="109"/>
      <c r="AA157" s="109"/>
      <c r="AB157" s="109"/>
      <c r="AC157" s="109"/>
      <c r="AD157" s="109"/>
      <c r="AE157" s="109"/>
      <c r="AF157" s="109"/>
      <c r="AG157" s="109"/>
      <c r="AH157" s="109"/>
      <c r="AI157" s="109"/>
      <c r="AJ157" s="109"/>
      <c r="AK157" s="109"/>
      <c r="AL157" s="109"/>
      <c r="AM157" s="109"/>
      <c r="AN157" s="109"/>
      <c r="AO157" s="109"/>
      <c r="AP157" s="109"/>
      <c r="AQ157" s="109"/>
      <c r="AR157" s="109"/>
      <c r="AS157" s="109"/>
    </row>
    <row r="158" spans="1:45" ht="12.6" customHeight="1" x14ac:dyDescent="0.3">
      <c r="A158" s="68" t="s">
        <v>1423</v>
      </c>
      <c r="B158" s="97" t="str">
        <f>" 재 료 비  :   "&amp;TEXT(I158,"#,##0"&amp;IF(I158&lt;&gt;INT(I158),".###",""))&amp;" / Q = "&amp;TEXT(C158,"#,##0.0")&amp;""</f>
        <v xml:space="preserve"> 재 료 비  :   17,116 / Q = 4,890.2</v>
      </c>
      <c r="C158" s="99">
        <f>E158+D158+F158</f>
        <v>4890.2</v>
      </c>
      <c r="D158" s="99">
        <f>IF(H158=0,0,ROUNDDOWN(J158*H158,1))</f>
        <v>0</v>
      </c>
      <c r="E158" s="99">
        <f>IF(H158=0,0,ROUNDDOWN(K158*H158,1))</f>
        <v>4890.2</v>
      </c>
      <c r="F158" s="99">
        <f>IF(H158=0,0,ROUNDDOWN(L158*H158,1))</f>
        <v>0</v>
      </c>
      <c r="G158" s="16" t="s">
        <v>1422</v>
      </c>
      <c r="H158" s="105">
        <f>AC158</f>
        <v>0.2857142857142857</v>
      </c>
      <c r="I158" s="106">
        <f>K158+J158+L158</f>
        <v>17116</v>
      </c>
      <c r="K158" s="39">
        <f>중기목록표!G10</f>
        <v>17116</v>
      </c>
      <c r="M158" s="20" t="s">
        <v>1421</v>
      </c>
      <c r="N158" s="20" t="s">
        <v>1332</v>
      </c>
      <c r="X158" s="108" t="str">
        <f>중기목록표!B10&amp;" / "&amp;중기목록표!C10</f>
        <v xml:space="preserve">굴삭기+브레카(0.7m3) / </v>
      </c>
      <c r="Y158" s="19" t="str">
        <f ca="1">HYPERLINK("#"&amp;중기목록표!J2&amp;"!A"&amp;ROW(중기목록표!A10),"중기    7 →")</f>
        <v>중기    7 →</v>
      </c>
      <c r="Z158" s="20" t="s">
        <v>1393</v>
      </c>
      <c r="AA158" s="112">
        <f>AB152</f>
        <v>3.5</v>
      </c>
      <c r="AB158" s="20" t="s">
        <v>1326</v>
      </c>
      <c r="AC158" s="113">
        <f>1/AB152</f>
        <v>0.2857142857142857</v>
      </c>
      <c r="AD158" s="109"/>
      <c r="AE158" s="109"/>
      <c r="AF158" s="109"/>
      <c r="AG158" s="109"/>
      <c r="AH158" s="109"/>
      <c r="AI158" s="109"/>
      <c r="AJ158" s="109"/>
      <c r="AK158" s="109"/>
      <c r="AL158" s="109"/>
      <c r="AM158" s="109"/>
      <c r="AN158" s="109"/>
      <c r="AO158" s="109"/>
      <c r="AP158" s="109"/>
      <c r="AQ158" s="109"/>
      <c r="AR158" s="109"/>
      <c r="AS158" s="109"/>
    </row>
    <row r="159" spans="1:45" ht="12.6" customHeight="1" x14ac:dyDescent="0.3">
      <c r="A159" s="78"/>
      <c r="B159" s="78"/>
      <c r="C159" s="78"/>
      <c r="D159" s="78"/>
      <c r="E159" s="78"/>
      <c r="F159" s="78"/>
      <c r="G159" s="16" t="s">
        <v>1317</v>
      </c>
      <c r="Z159" s="109"/>
      <c r="AA159" s="109"/>
      <c r="AB159" s="109"/>
      <c r="AC159" s="109"/>
      <c r="AD159" s="109"/>
      <c r="AE159" s="109"/>
      <c r="AF159" s="109"/>
      <c r="AG159" s="109"/>
      <c r="AH159" s="109"/>
      <c r="AI159" s="109"/>
      <c r="AJ159" s="109"/>
      <c r="AK159" s="109"/>
      <c r="AL159" s="109"/>
      <c r="AM159" s="109"/>
      <c r="AN159" s="109"/>
      <c r="AO159" s="109"/>
      <c r="AP159" s="109"/>
      <c r="AQ159" s="109"/>
      <c r="AR159" s="109"/>
      <c r="AS159" s="109"/>
    </row>
    <row r="160" spans="1:45" ht="12.6" customHeight="1" x14ac:dyDescent="0.3">
      <c r="A160" s="78"/>
      <c r="B160" s="78"/>
      <c r="C160" s="78"/>
      <c r="D160" s="78"/>
      <c r="E160" s="78"/>
      <c r="F160" s="78"/>
      <c r="G160" s="16" t="s">
        <v>1317</v>
      </c>
      <c r="Z160" s="109"/>
      <c r="AA160" s="109"/>
      <c r="AB160" s="109"/>
      <c r="AC160" s="109"/>
      <c r="AD160" s="109"/>
      <c r="AE160" s="109"/>
      <c r="AF160" s="109"/>
      <c r="AG160" s="109"/>
      <c r="AH160" s="109"/>
      <c r="AI160" s="109"/>
      <c r="AJ160" s="109"/>
      <c r="AK160" s="109"/>
      <c r="AL160" s="109"/>
      <c r="AM160" s="109"/>
      <c r="AN160" s="109"/>
      <c r="AO160" s="109"/>
      <c r="AP160" s="109"/>
      <c r="AQ160" s="109"/>
      <c r="AR160" s="109"/>
      <c r="AS160" s="109"/>
    </row>
    <row r="161" spans="1:45" ht="12.6" customHeight="1" x14ac:dyDescent="0.3">
      <c r="A161" s="68" t="s">
        <v>1425</v>
      </c>
      <c r="B161" s="97" t="str">
        <f>" 경    비  :   "&amp;TEXT(I161,"#,##0"&amp;IF(I161&lt;&gt;INT(I161),".###",""))&amp;" / Q = "&amp;TEXT(C161,"#,##0.0")&amp;""</f>
        <v xml:space="preserve"> 경    비  :   33,897 / Q = 9,684.8</v>
      </c>
      <c r="C161" s="99">
        <f>E161+D161+F161</f>
        <v>9684.7999999999993</v>
      </c>
      <c r="D161" s="99">
        <f>IF(H161=0,0,ROUNDDOWN(J161*H161,1))</f>
        <v>0</v>
      </c>
      <c r="E161" s="99">
        <f>IF(H161=0,0,ROUNDDOWN(K161*H161,1))</f>
        <v>0</v>
      </c>
      <c r="F161" s="99">
        <f>IF(H161=0,0,ROUNDDOWN(L161*H161,1))</f>
        <v>9684.7999999999993</v>
      </c>
      <c r="G161" s="16" t="s">
        <v>1424</v>
      </c>
      <c r="H161" s="105">
        <f>AC161</f>
        <v>0.2857142857142857</v>
      </c>
      <c r="I161" s="106">
        <f>K161+J161+L161</f>
        <v>33897</v>
      </c>
      <c r="L161" s="39">
        <f>중기목록표!H10</f>
        <v>33897</v>
      </c>
      <c r="M161" s="20" t="s">
        <v>1421</v>
      </c>
      <c r="N161" s="20" t="s">
        <v>1332</v>
      </c>
      <c r="X161" s="108" t="str">
        <f>중기목록표!B10&amp;" / "&amp;중기목록표!C10</f>
        <v xml:space="preserve">굴삭기+브레카(0.7m3) / </v>
      </c>
      <c r="Y161" s="19" t="str">
        <f ca="1">HYPERLINK("#"&amp;중기목록표!J2&amp;"!A"&amp;ROW(중기목록표!A10),"중기    7 →")</f>
        <v>중기    7 →</v>
      </c>
      <c r="Z161" s="20" t="s">
        <v>1393</v>
      </c>
      <c r="AA161" s="112">
        <f>AB152</f>
        <v>3.5</v>
      </c>
      <c r="AB161" s="20" t="s">
        <v>1326</v>
      </c>
      <c r="AC161" s="113">
        <f>1/AB152</f>
        <v>0.2857142857142857</v>
      </c>
      <c r="AD161" s="109"/>
      <c r="AE161" s="109"/>
      <c r="AF161" s="109"/>
      <c r="AG161" s="109"/>
      <c r="AH161" s="109"/>
      <c r="AI161" s="109"/>
      <c r="AJ161" s="109"/>
      <c r="AK161" s="109"/>
      <c r="AL161" s="109"/>
      <c r="AM161" s="109"/>
      <c r="AN161" s="109"/>
      <c r="AO161" s="109"/>
      <c r="AP161" s="109"/>
      <c r="AQ161" s="109"/>
      <c r="AR161" s="109"/>
      <c r="AS161" s="109"/>
    </row>
    <row r="162" spans="1:45" ht="12.6" customHeight="1" x14ac:dyDescent="0.3">
      <c r="A162" s="78"/>
      <c r="B162" s="78"/>
      <c r="C162" s="78"/>
      <c r="D162" s="78"/>
      <c r="E162" s="78"/>
      <c r="F162" s="78"/>
      <c r="G162" s="16" t="s">
        <v>1317</v>
      </c>
      <c r="Z162" s="109"/>
      <c r="AA162" s="109"/>
      <c r="AB162" s="109"/>
      <c r="AC162" s="109"/>
      <c r="AD162" s="109"/>
      <c r="AE162" s="109"/>
      <c r="AF162" s="109"/>
      <c r="AG162" s="109"/>
      <c r="AH162" s="109"/>
      <c r="AI162" s="109"/>
      <c r="AJ162" s="109"/>
      <c r="AK162" s="109"/>
      <c r="AL162" s="109"/>
      <c r="AM162" s="109"/>
      <c r="AN162" s="109"/>
      <c r="AO162" s="109"/>
      <c r="AP162" s="109"/>
      <c r="AQ162" s="109"/>
      <c r="AR162" s="109"/>
      <c r="AS162" s="109"/>
    </row>
    <row r="163" spans="1:45" ht="12.6" customHeight="1" x14ac:dyDescent="0.3">
      <c r="A163" s="78"/>
      <c r="B163" s="78"/>
      <c r="C163" s="78"/>
      <c r="D163" s="78"/>
      <c r="E163" s="78"/>
      <c r="F163" s="78"/>
      <c r="G163" s="16" t="s">
        <v>1317</v>
      </c>
      <c r="Z163" s="109"/>
      <c r="AA163" s="109"/>
      <c r="AB163" s="109"/>
      <c r="AC163" s="109"/>
      <c r="AD163" s="109"/>
      <c r="AE163" s="109"/>
      <c r="AF163" s="109"/>
      <c r="AG163" s="109"/>
      <c r="AH163" s="109"/>
      <c r="AI163" s="109"/>
      <c r="AJ163" s="109"/>
      <c r="AK163" s="109"/>
      <c r="AL163" s="109"/>
      <c r="AM163" s="109"/>
      <c r="AN163" s="109"/>
      <c r="AO163" s="109"/>
      <c r="AP163" s="109"/>
      <c r="AQ163" s="109"/>
      <c r="AR163" s="109"/>
      <c r="AS163" s="109"/>
    </row>
    <row r="164" spans="1:45" ht="12.6" customHeight="1" x14ac:dyDescent="0.3">
      <c r="A164" s="68"/>
      <c r="B164" s="77" t="s">
        <v>1331</v>
      </c>
      <c r="C164" s="100">
        <f>E164+D164+F164</f>
        <v>30489.200000000001</v>
      </c>
      <c r="D164" s="100">
        <f>SUMIF(N147:N163,M164,D147:D163)</f>
        <v>15914.2</v>
      </c>
      <c r="E164" s="100">
        <f>SUMIF(N147:N163,M164,E147:E163)</f>
        <v>4890.2</v>
      </c>
      <c r="F164" s="100">
        <f>SUMIF(N147:N163,M164,F147:F163)</f>
        <v>9684.7999999999993</v>
      </c>
      <c r="G164" s="16" t="s">
        <v>1415</v>
      </c>
      <c r="M164" s="20" t="s">
        <v>1332</v>
      </c>
      <c r="N164" s="20" t="s">
        <v>1341</v>
      </c>
      <c r="Z164" s="109"/>
      <c r="AA164" s="109"/>
      <c r="AB164" s="109"/>
      <c r="AC164" s="109"/>
      <c r="AD164" s="109"/>
      <c r="AE164" s="109"/>
      <c r="AF164" s="109"/>
      <c r="AG164" s="109"/>
      <c r="AH164" s="109"/>
      <c r="AI164" s="109"/>
      <c r="AJ164" s="109"/>
      <c r="AK164" s="109"/>
      <c r="AL164" s="109"/>
      <c r="AM164" s="109"/>
      <c r="AN164" s="109"/>
      <c r="AO164" s="109"/>
      <c r="AP164" s="109"/>
      <c r="AQ164" s="109"/>
      <c r="AR164" s="109"/>
      <c r="AS164" s="109"/>
    </row>
    <row r="165" spans="1:45" ht="12.6" customHeight="1" x14ac:dyDescent="0.3">
      <c r="A165" s="78"/>
      <c r="B165" s="78"/>
      <c r="C165" s="98"/>
      <c r="D165" s="98"/>
      <c r="E165" s="98"/>
      <c r="F165" s="98"/>
      <c r="G165" s="16" t="s">
        <v>1317</v>
      </c>
      <c r="Z165" s="109"/>
      <c r="AA165" s="109"/>
      <c r="AB165" s="109"/>
      <c r="AC165" s="109"/>
      <c r="AD165" s="109"/>
      <c r="AE165" s="109"/>
      <c r="AF165" s="109"/>
      <c r="AG165" s="109"/>
      <c r="AH165" s="109"/>
      <c r="AI165" s="109"/>
      <c r="AJ165" s="109"/>
      <c r="AK165" s="109"/>
      <c r="AL165" s="109"/>
      <c r="AM165" s="109"/>
      <c r="AN165" s="109"/>
      <c r="AO165" s="109"/>
      <c r="AP165" s="109"/>
      <c r="AQ165" s="109"/>
      <c r="AR165" s="109"/>
      <c r="AS165" s="109"/>
    </row>
    <row r="166" spans="1:45" ht="12.6" customHeight="1" x14ac:dyDescent="0.3">
      <c r="A166" s="78"/>
      <c r="B166" s="78"/>
      <c r="C166" s="78"/>
      <c r="D166" s="78"/>
      <c r="E166" s="78"/>
      <c r="F166" s="78"/>
      <c r="G166" s="16" t="s">
        <v>1317</v>
      </c>
      <c r="Z166" s="109"/>
      <c r="AA166" s="109"/>
      <c r="AB166" s="109"/>
      <c r="AC166" s="109"/>
      <c r="AD166" s="109"/>
      <c r="AE166" s="109"/>
      <c r="AF166" s="109"/>
      <c r="AG166" s="109"/>
      <c r="AH166" s="109"/>
      <c r="AI166" s="109"/>
      <c r="AJ166" s="109"/>
      <c r="AK166" s="109"/>
      <c r="AL166" s="109"/>
      <c r="AM166" s="109"/>
      <c r="AN166" s="109"/>
      <c r="AO166" s="109"/>
      <c r="AP166" s="109"/>
      <c r="AQ166" s="109"/>
      <c r="AR166" s="109"/>
      <c r="AS166" s="109"/>
    </row>
    <row r="167" spans="1:45" ht="12.6" customHeight="1" x14ac:dyDescent="0.3">
      <c r="A167" s="68"/>
      <c r="B167" s="77" t="s">
        <v>1427</v>
      </c>
      <c r="C167" s="78"/>
      <c r="D167" s="78"/>
      <c r="E167" s="78"/>
      <c r="F167" s="78"/>
      <c r="G167" s="16" t="s">
        <v>1426</v>
      </c>
      <c r="Z167" s="109"/>
      <c r="AA167" s="109"/>
      <c r="AB167" s="109"/>
      <c r="AC167" s="109"/>
      <c r="AD167" s="109"/>
      <c r="AE167" s="109"/>
      <c r="AF167" s="109"/>
      <c r="AG167" s="109"/>
      <c r="AH167" s="109"/>
      <c r="AI167" s="109"/>
      <c r="AJ167" s="109"/>
      <c r="AK167" s="109"/>
      <c r="AL167" s="109"/>
      <c r="AM167" s="109"/>
      <c r="AN167" s="109"/>
      <c r="AO167" s="109"/>
      <c r="AP167" s="109"/>
      <c r="AQ167" s="109"/>
      <c r="AR167" s="109"/>
      <c r="AS167" s="109"/>
    </row>
    <row r="168" spans="1:45" ht="12.6" customHeight="1" x14ac:dyDescent="0.3">
      <c r="A168" s="78"/>
      <c r="B168" s="78"/>
      <c r="C168" s="78"/>
      <c r="D168" s="78"/>
      <c r="E168" s="78"/>
      <c r="F168" s="78"/>
      <c r="G168" s="16" t="s">
        <v>1317</v>
      </c>
      <c r="Z168" s="109"/>
      <c r="AA168" s="109"/>
      <c r="AB168" s="109"/>
      <c r="AC168" s="109"/>
      <c r="AD168" s="109"/>
      <c r="AE168" s="109"/>
      <c r="AF168" s="109"/>
      <c r="AG168" s="109"/>
      <c r="AH168" s="109"/>
      <c r="AI168" s="109"/>
      <c r="AJ168" s="109"/>
      <c r="AK168" s="109"/>
      <c r="AL168" s="109"/>
      <c r="AM168" s="109"/>
      <c r="AN168" s="109"/>
      <c r="AO168" s="109"/>
      <c r="AP168" s="109"/>
      <c r="AQ168" s="109"/>
      <c r="AR168" s="109"/>
      <c r="AS168" s="109"/>
    </row>
    <row r="169" spans="1:45" ht="12.6" customHeight="1" x14ac:dyDescent="0.3">
      <c r="A169" s="68"/>
      <c r="B169" s="97" t="str">
        <f>" S = "&amp;Z169&amp;""</f>
        <v xml:space="preserve"> S = 0.006</v>
      </c>
      <c r="C169" s="78"/>
      <c r="D169" s="78"/>
      <c r="E169" s="78"/>
      <c r="F169" s="78"/>
      <c r="G169" s="16" t="s">
        <v>1428</v>
      </c>
      <c r="Z169" s="110">
        <v>6.0000000000000001E-3</v>
      </c>
      <c r="AA169" s="20" t="s">
        <v>1326</v>
      </c>
      <c r="AB169" s="112">
        <f>Z169</f>
        <v>6.0000000000000001E-3</v>
      </c>
      <c r="AC169" s="109"/>
      <c r="AD169" s="109"/>
      <c r="AE169" s="109"/>
      <c r="AF169" s="109"/>
      <c r="AG169" s="109"/>
      <c r="AH169" s="109"/>
      <c r="AI169" s="109"/>
      <c r="AJ169" s="109"/>
      <c r="AK169" s="109"/>
      <c r="AL169" s="109"/>
      <c r="AM169" s="109"/>
      <c r="AN169" s="109"/>
      <c r="AO169" s="109"/>
      <c r="AP169" s="109"/>
      <c r="AQ169" s="109"/>
      <c r="AR169" s="109"/>
      <c r="AS169" s="109"/>
    </row>
    <row r="170" spans="1:45" ht="12.6" customHeight="1" x14ac:dyDescent="0.3">
      <c r="A170" s="78"/>
      <c r="B170" s="78"/>
      <c r="C170" s="78"/>
      <c r="D170" s="78"/>
      <c r="E170" s="78"/>
      <c r="F170" s="78"/>
      <c r="G170" s="16" t="s">
        <v>1317</v>
      </c>
      <c r="Z170" s="109"/>
      <c r="AA170" s="109"/>
      <c r="AB170" s="109"/>
      <c r="AC170" s="109"/>
      <c r="AD170" s="109"/>
      <c r="AE170" s="109"/>
      <c r="AF170" s="109"/>
      <c r="AG170" s="109"/>
      <c r="AH170" s="109"/>
      <c r="AI170" s="109"/>
      <c r="AJ170" s="109"/>
      <c r="AK170" s="109"/>
      <c r="AL170" s="109"/>
      <c r="AM170" s="109"/>
      <c r="AN170" s="109"/>
      <c r="AO170" s="109"/>
      <c r="AP170" s="109"/>
      <c r="AQ170" s="109"/>
      <c r="AR170" s="109"/>
      <c r="AS170" s="109"/>
    </row>
    <row r="171" spans="1:45" ht="12.6" customHeight="1" x14ac:dyDescent="0.3">
      <c r="A171" s="68" t="s">
        <v>1430</v>
      </c>
      <c r="B171" s="97" t="str">
        <f>"     S * "&amp;TEXT(I171,"#,##0"&amp;IF(I171&lt;&gt;INT(I171),".###",""))&amp;" / Q = "&amp;TEXT(C171,"#,##0.0")&amp;"  W/㎥ "</f>
        <v xml:space="preserve">     S * 223,000 / Q = 382.2  W/㎥ </v>
      </c>
      <c r="C171" s="99">
        <f>E171+D171+F171</f>
        <v>382.2</v>
      </c>
      <c r="D171" s="99">
        <f>IF(H171=0,0,ROUNDDOWN(J171*H171,1))</f>
        <v>0</v>
      </c>
      <c r="E171" s="99">
        <f>IF(H171=0,0,ROUNDDOWN(K171*H171,1))</f>
        <v>382.2</v>
      </c>
      <c r="F171" s="99">
        <f>IF(H171=0,0,ROUNDDOWN(L171*H171,1))</f>
        <v>0</v>
      </c>
      <c r="G171" s="16" t="s">
        <v>1429</v>
      </c>
      <c r="H171" s="105">
        <f>AD171</f>
        <v>1.7142857142857144E-3</v>
      </c>
      <c r="I171" s="106">
        <f>K171+J171+L171</f>
        <v>223000</v>
      </c>
      <c r="K171" s="39">
        <f>재료비목록표!E23</f>
        <v>223000</v>
      </c>
      <c r="M171" s="20" t="s">
        <v>1431</v>
      </c>
      <c r="N171" s="20" t="s">
        <v>1332</v>
      </c>
      <c r="X171" s="108" t="str">
        <f>재료비목록표!B23&amp;" / "&amp;재료비목록표!C23</f>
        <v>치즐 / 0.7m3</v>
      </c>
      <c r="Y171" s="19" t="str">
        <f ca="1">HYPERLINK("#"&amp;재료비목록표!G2&amp;"!A"&amp;ROW(재료비목록표!A23),"자재   20 →")</f>
        <v>자재   20 →</v>
      </c>
      <c r="Z171" s="112">
        <f>AB169</f>
        <v>6.0000000000000001E-3</v>
      </c>
      <c r="AA171" s="20" t="s">
        <v>1432</v>
      </c>
      <c r="AB171" s="112">
        <f>AB152</f>
        <v>3.5</v>
      </c>
      <c r="AC171" s="20" t="s">
        <v>1326</v>
      </c>
      <c r="AD171" s="113">
        <f>AB169*1/AB152</f>
        <v>1.7142857142857144E-3</v>
      </c>
      <c r="AE171" s="109"/>
      <c r="AF171" s="109"/>
      <c r="AG171" s="109"/>
      <c r="AH171" s="109"/>
      <c r="AI171" s="109"/>
      <c r="AJ171" s="109"/>
      <c r="AK171" s="109"/>
      <c r="AL171" s="109"/>
      <c r="AM171" s="109"/>
      <c r="AN171" s="109"/>
      <c r="AO171" s="109"/>
      <c r="AP171" s="109"/>
      <c r="AQ171" s="109"/>
      <c r="AR171" s="109"/>
      <c r="AS171" s="109"/>
    </row>
    <row r="172" spans="1:45" ht="12.6" customHeight="1" x14ac:dyDescent="0.3">
      <c r="A172" s="68"/>
      <c r="B172" s="77" t="s">
        <v>1331</v>
      </c>
      <c r="C172" s="100">
        <f>E172+D172+F172</f>
        <v>382.2</v>
      </c>
      <c r="D172" s="100">
        <f>SUMIF(N165:N171,M172,D165:D171)</f>
        <v>0</v>
      </c>
      <c r="E172" s="100">
        <f>SUMIF(N165:N171,M172,E165:E171)</f>
        <v>382.2</v>
      </c>
      <c r="F172" s="100">
        <f>SUMIF(N165:N171,M172,F165:F171)</f>
        <v>0</v>
      </c>
      <c r="G172" s="16" t="s">
        <v>1363</v>
      </c>
      <c r="M172" s="20" t="s">
        <v>1332</v>
      </c>
      <c r="N172" s="20" t="s">
        <v>1341</v>
      </c>
      <c r="Z172" s="109"/>
      <c r="AA172" s="109"/>
      <c r="AB172" s="109"/>
      <c r="AC172" s="109"/>
      <c r="AD172" s="109"/>
      <c r="AE172" s="109"/>
      <c r="AF172" s="109"/>
      <c r="AG172" s="109"/>
      <c r="AH172" s="109"/>
      <c r="AI172" s="109"/>
      <c r="AJ172" s="109"/>
      <c r="AK172" s="109"/>
      <c r="AL172" s="109"/>
      <c r="AM172" s="109"/>
      <c r="AN172" s="109"/>
      <c r="AO172" s="109"/>
      <c r="AP172" s="109"/>
      <c r="AQ172" s="109"/>
      <c r="AR172" s="109"/>
      <c r="AS172" s="109"/>
    </row>
    <row r="173" spans="1:45" ht="12.6" customHeight="1" x14ac:dyDescent="0.3">
      <c r="A173" s="78"/>
      <c r="B173" s="78"/>
      <c r="C173" s="98"/>
      <c r="D173" s="98"/>
      <c r="E173" s="98"/>
      <c r="F173" s="98"/>
      <c r="G173" s="16" t="s">
        <v>1433</v>
      </c>
      <c r="Z173" s="109"/>
      <c r="AA173" s="109"/>
      <c r="AB173" s="109"/>
      <c r="AC173" s="109"/>
      <c r="AD173" s="109"/>
      <c r="AE173" s="109"/>
      <c r="AF173" s="109"/>
      <c r="AG173" s="109"/>
      <c r="AH173" s="109"/>
      <c r="AI173" s="109"/>
      <c r="AJ173" s="109"/>
      <c r="AK173" s="109"/>
      <c r="AL173" s="109"/>
      <c r="AM173" s="109"/>
      <c r="AN173" s="109"/>
      <c r="AO173" s="109"/>
      <c r="AP173" s="109"/>
      <c r="AQ173" s="109"/>
      <c r="AR173" s="109"/>
      <c r="AS173" s="109"/>
    </row>
    <row r="174" spans="1:45" ht="12.6" customHeight="1" x14ac:dyDescent="0.3">
      <c r="A174" s="78"/>
      <c r="B174" s="78"/>
      <c r="C174" s="78"/>
      <c r="D174" s="78"/>
      <c r="E174" s="78"/>
      <c r="F174" s="78"/>
      <c r="G174" s="16" t="s">
        <v>1317</v>
      </c>
      <c r="Z174" s="109"/>
      <c r="AA174" s="109"/>
      <c r="AB174" s="109"/>
      <c r="AC174" s="109"/>
      <c r="AD174" s="109"/>
      <c r="AE174" s="109"/>
      <c r="AF174" s="109"/>
      <c r="AG174" s="109"/>
      <c r="AH174" s="109"/>
      <c r="AI174" s="109"/>
      <c r="AJ174" s="109"/>
      <c r="AK174" s="109"/>
      <c r="AL174" s="109"/>
      <c r="AM174" s="109"/>
      <c r="AN174" s="109"/>
      <c r="AO174" s="109"/>
      <c r="AP174" s="109"/>
      <c r="AQ174" s="109"/>
      <c r="AR174" s="109"/>
      <c r="AS174" s="109"/>
    </row>
    <row r="175" spans="1:45" ht="12.6" customHeight="1" x14ac:dyDescent="0.3">
      <c r="A175" s="68"/>
      <c r="B175" s="77" t="s">
        <v>1435</v>
      </c>
      <c r="C175" s="78"/>
      <c r="D175" s="78"/>
      <c r="E175" s="78"/>
      <c r="F175" s="78"/>
      <c r="G175" s="16" t="s">
        <v>1434</v>
      </c>
      <c r="Z175" s="109"/>
      <c r="AA175" s="109"/>
      <c r="AB175" s="109"/>
      <c r="AC175" s="109"/>
      <c r="AD175" s="109"/>
      <c r="AE175" s="109"/>
      <c r="AF175" s="109"/>
      <c r="AG175" s="109"/>
      <c r="AH175" s="109"/>
      <c r="AI175" s="109"/>
      <c r="AJ175" s="109"/>
      <c r="AK175" s="109"/>
      <c r="AL175" s="109"/>
      <c r="AM175" s="109"/>
      <c r="AN175" s="109"/>
      <c r="AO175" s="109"/>
      <c r="AP175" s="109"/>
      <c r="AQ175" s="109"/>
      <c r="AR175" s="109"/>
      <c r="AS175" s="109"/>
    </row>
    <row r="176" spans="1:45" ht="12.6" customHeight="1" x14ac:dyDescent="0.3">
      <c r="A176" s="78"/>
      <c r="B176" s="78"/>
      <c r="C176" s="78"/>
      <c r="D176" s="78"/>
      <c r="E176" s="78"/>
      <c r="F176" s="78"/>
      <c r="G176" s="16" t="s">
        <v>1317</v>
      </c>
      <c r="Z176" s="109"/>
      <c r="AA176" s="109"/>
      <c r="AB176" s="109"/>
      <c r="AC176" s="109"/>
      <c r="AD176" s="109"/>
      <c r="AE176" s="109"/>
      <c r="AF176" s="109"/>
      <c r="AG176" s="109"/>
      <c r="AH176" s="109"/>
      <c r="AI176" s="109"/>
      <c r="AJ176" s="109"/>
      <c r="AK176" s="109"/>
      <c r="AL176" s="109"/>
      <c r="AM176" s="109"/>
      <c r="AN176" s="109"/>
      <c r="AO176" s="109"/>
      <c r="AP176" s="109"/>
      <c r="AQ176" s="109"/>
      <c r="AR176" s="109"/>
      <c r="AS176" s="109"/>
    </row>
    <row r="177" spans="1:45" ht="12.6" customHeight="1" x14ac:dyDescent="0.3">
      <c r="A177" s="78"/>
      <c r="B177" s="78"/>
      <c r="C177" s="78"/>
      <c r="D177" s="78"/>
      <c r="E177" s="78"/>
      <c r="F177" s="78"/>
      <c r="G177" s="16" t="s">
        <v>1317</v>
      </c>
      <c r="Z177" s="109"/>
      <c r="AA177" s="109"/>
      <c r="AB177" s="109"/>
      <c r="AC177" s="109"/>
      <c r="AD177" s="109"/>
      <c r="AE177" s="109"/>
      <c r="AF177" s="109"/>
      <c r="AG177" s="109"/>
      <c r="AH177" s="109"/>
      <c r="AI177" s="109"/>
      <c r="AJ177" s="109"/>
      <c r="AK177" s="109"/>
      <c r="AL177" s="109"/>
      <c r="AM177" s="109"/>
      <c r="AN177" s="109"/>
      <c r="AO177" s="109"/>
      <c r="AP177" s="109"/>
      <c r="AQ177" s="109"/>
      <c r="AR177" s="109"/>
      <c r="AS177" s="109"/>
    </row>
    <row r="178" spans="1:45" ht="12.6" customHeight="1" x14ac:dyDescent="0.3">
      <c r="A178" s="68"/>
      <c r="B178" s="97" t="str">
        <f>" q = "&amp;Z178&amp;" , k = "&amp;AD178&amp;" ,  E = "&amp;AH178&amp;""</f>
        <v xml:space="preserve"> q = 0.7 , k = 0.55 ,  E = 0.45</v>
      </c>
      <c r="C178" s="78"/>
      <c r="D178" s="78"/>
      <c r="E178" s="78"/>
      <c r="F178" s="78"/>
      <c r="G178" s="16" t="s">
        <v>1436</v>
      </c>
      <c r="Z178" s="110">
        <v>0.7</v>
      </c>
      <c r="AA178" s="20" t="s">
        <v>1326</v>
      </c>
      <c r="AB178" s="112">
        <f>Z178</f>
        <v>0.7</v>
      </c>
      <c r="AC178" s="20" t="s">
        <v>1385</v>
      </c>
      <c r="AD178" s="110">
        <v>0.55000000000000004</v>
      </c>
      <c r="AE178" s="20" t="s">
        <v>1326</v>
      </c>
      <c r="AF178" s="112">
        <f>AD178</f>
        <v>0.55000000000000004</v>
      </c>
      <c r="AG178" s="20" t="s">
        <v>1385</v>
      </c>
      <c r="AH178" s="110">
        <v>0.45</v>
      </c>
      <c r="AI178" s="20" t="s">
        <v>1326</v>
      </c>
      <c r="AJ178" s="112">
        <f>AH178</f>
        <v>0.45</v>
      </c>
      <c r="AK178" s="20" t="s">
        <v>1385</v>
      </c>
      <c r="AL178" s="109"/>
      <c r="AM178" s="109"/>
      <c r="AN178" s="109"/>
      <c r="AO178" s="109"/>
      <c r="AP178" s="109"/>
      <c r="AQ178" s="109"/>
      <c r="AR178" s="109"/>
      <c r="AS178" s="109"/>
    </row>
    <row r="179" spans="1:45" ht="12.6" customHeight="1" x14ac:dyDescent="0.3">
      <c r="A179" s="78"/>
      <c r="B179" s="78"/>
      <c r="C179" s="78"/>
      <c r="D179" s="78"/>
      <c r="E179" s="78"/>
      <c r="F179" s="78"/>
      <c r="G179" s="16" t="s">
        <v>1317</v>
      </c>
      <c r="Z179" s="109"/>
      <c r="AA179" s="109"/>
      <c r="AB179" s="109"/>
      <c r="AC179" s="109"/>
      <c r="AD179" s="109"/>
      <c r="AE179" s="109"/>
      <c r="AF179" s="109"/>
      <c r="AG179" s="109"/>
      <c r="AH179" s="109"/>
      <c r="AI179" s="109"/>
      <c r="AJ179" s="109"/>
      <c r="AK179" s="109"/>
      <c r="AL179" s="109"/>
      <c r="AM179" s="109"/>
      <c r="AN179" s="109"/>
      <c r="AO179" s="109"/>
      <c r="AP179" s="109"/>
      <c r="AQ179" s="109"/>
      <c r="AR179" s="109"/>
      <c r="AS179" s="109"/>
    </row>
    <row r="180" spans="1:45" ht="12.6" customHeight="1" x14ac:dyDescent="0.3">
      <c r="A180" s="68"/>
      <c r="B180" s="97" t="str">
        <f>" f = "&amp;Z180&amp;" / "&amp;AB180&amp;"  = "&amp;AD180&amp;""</f>
        <v xml:space="preserve"> f = 1 / 1.4  = 0.71</v>
      </c>
      <c r="C180" s="78"/>
      <c r="D180" s="78"/>
      <c r="E180" s="78"/>
      <c r="F180" s="78"/>
      <c r="G180" s="16" t="s">
        <v>1437</v>
      </c>
      <c r="Z180" s="111">
        <v>1</v>
      </c>
      <c r="AA180" s="20" t="s">
        <v>1387</v>
      </c>
      <c r="AB180" s="110">
        <v>1.4</v>
      </c>
      <c r="AC180" s="20" t="s">
        <v>1326</v>
      </c>
      <c r="AD180" s="112" t="str">
        <f>TEXT(ROUND(Z180/AB180,2),"0.00")</f>
        <v>0.71</v>
      </c>
      <c r="AE180" s="109"/>
      <c r="AF180" s="109"/>
      <c r="AG180" s="109"/>
      <c r="AH180" s="109"/>
      <c r="AI180" s="109"/>
      <c r="AJ180" s="109"/>
      <c r="AK180" s="109"/>
      <c r="AL180" s="109"/>
      <c r="AM180" s="109"/>
      <c r="AN180" s="109"/>
      <c r="AO180" s="109"/>
      <c r="AP180" s="109"/>
      <c r="AQ180" s="109"/>
      <c r="AR180" s="109"/>
      <c r="AS180" s="109"/>
    </row>
    <row r="181" spans="1:45" ht="12.6" customHeight="1" x14ac:dyDescent="0.3">
      <c r="A181" s="78"/>
      <c r="B181" s="78"/>
      <c r="C181" s="78"/>
      <c r="D181" s="78"/>
      <c r="E181" s="78"/>
      <c r="F181" s="78"/>
      <c r="G181" s="16" t="s">
        <v>1317</v>
      </c>
      <c r="Z181" s="109"/>
      <c r="AA181" s="109"/>
      <c r="AB181" s="109"/>
      <c r="AC181" s="109"/>
      <c r="AD181" s="109"/>
      <c r="AE181" s="109"/>
      <c r="AF181" s="109"/>
      <c r="AG181" s="109"/>
      <c r="AH181" s="109"/>
      <c r="AI181" s="109"/>
      <c r="AJ181" s="109"/>
      <c r="AK181" s="109"/>
      <c r="AL181" s="109"/>
      <c r="AM181" s="109"/>
      <c r="AN181" s="109"/>
      <c r="AO181" s="109"/>
      <c r="AP181" s="109"/>
      <c r="AQ181" s="109"/>
      <c r="AR181" s="109"/>
      <c r="AS181" s="109"/>
    </row>
    <row r="182" spans="1:45" ht="12.6" customHeight="1" x14ac:dyDescent="0.3">
      <c r="A182" s="68"/>
      <c r="B182" s="97" t="str">
        <f>" Cm = "&amp;Z182&amp;"  (125°) "</f>
        <v xml:space="preserve"> Cm = 20  (125°) </v>
      </c>
      <c r="C182" s="78"/>
      <c r="D182" s="78"/>
      <c r="E182" s="78"/>
      <c r="F182" s="78"/>
      <c r="G182" s="16" t="s">
        <v>1438</v>
      </c>
      <c r="Z182" s="111">
        <v>20</v>
      </c>
      <c r="AA182" s="20" t="s">
        <v>1326</v>
      </c>
      <c r="AB182" s="112">
        <f>Z182</f>
        <v>20</v>
      </c>
      <c r="AC182" s="109"/>
      <c r="AD182" s="109"/>
      <c r="AE182" s="109"/>
      <c r="AF182" s="109"/>
      <c r="AG182" s="109"/>
      <c r="AH182" s="109"/>
      <c r="AI182" s="109"/>
      <c r="AJ182" s="109"/>
      <c r="AK182" s="109"/>
      <c r="AL182" s="109"/>
      <c r="AM182" s="109"/>
      <c r="AN182" s="109"/>
      <c r="AO182" s="109"/>
      <c r="AP182" s="109"/>
      <c r="AQ182" s="109"/>
      <c r="AR182" s="109"/>
      <c r="AS182" s="109"/>
    </row>
    <row r="183" spans="1:45" ht="12.6" customHeight="1" x14ac:dyDescent="0.3">
      <c r="A183" s="78"/>
      <c r="B183" s="78"/>
      <c r="C183" s="78"/>
      <c r="D183" s="78"/>
      <c r="E183" s="78"/>
      <c r="F183" s="78"/>
      <c r="G183" s="16" t="s">
        <v>1317</v>
      </c>
      <c r="Z183" s="109"/>
      <c r="AA183" s="109"/>
      <c r="AB183" s="109"/>
      <c r="AC183" s="109"/>
      <c r="AD183" s="109"/>
      <c r="AE183" s="109"/>
      <c r="AF183" s="109"/>
      <c r="AG183" s="109"/>
      <c r="AH183" s="109"/>
      <c r="AI183" s="109"/>
      <c r="AJ183" s="109"/>
      <c r="AK183" s="109"/>
      <c r="AL183" s="109"/>
      <c r="AM183" s="109"/>
      <c r="AN183" s="109"/>
      <c r="AO183" s="109"/>
      <c r="AP183" s="109"/>
      <c r="AQ183" s="109"/>
      <c r="AR183" s="109"/>
      <c r="AS183" s="109"/>
    </row>
    <row r="184" spans="1:45" ht="12.6" customHeight="1" x14ac:dyDescent="0.3">
      <c r="A184" s="78"/>
      <c r="B184" s="78"/>
      <c r="C184" s="78"/>
      <c r="D184" s="78"/>
      <c r="E184" s="78"/>
      <c r="F184" s="78"/>
      <c r="G184" s="16" t="s">
        <v>1317</v>
      </c>
      <c r="Z184" s="109"/>
      <c r="AA184" s="109"/>
      <c r="AB184" s="109"/>
      <c r="AC184" s="109"/>
      <c r="AD184" s="109"/>
      <c r="AE184" s="109"/>
      <c r="AF184" s="109"/>
      <c r="AG184" s="109"/>
      <c r="AH184" s="109"/>
      <c r="AI184" s="109"/>
      <c r="AJ184" s="109"/>
      <c r="AK184" s="109"/>
      <c r="AL184" s="109"/>
      <c r="AM184" s="109"/>
      <c r="AN184" s="109"/>
      <c r="AO184" s="109"/>
      <c r="AP184" s="109"/>
      <c r="AQ184" s="109"/>
      <c r="AR184" s="109"/>
      <c r="AS184" s="109"/>
    </row>
    <row r="185" spans="1:45" ht="12.6" customHeight="1" x14ac:dyDescent="0.3">
      <c r="A185" s="68"/>
      <c r="B185" s="97" t="str">
        <f>" Q1 = "&amp;Z185&amp;"*q*k*f*E/Cm = "&amp;AL185&amp;" ㎥/hr "</f>
        <v xml:space="preserve"> Q1 = 3600*q*k*f*E/Cm = 22.14 ㎥/hr </v>
      </c>
      <c r="C185" s="78"/>
      <c r="D185" s="78"/>
      <c r="E185" s="78"/>
      <c r="F185" s="78"/>
      <c r="G185" s="16" t="s">
        <v>1439</v>
      </c>
      <c r="Z185" s="111">
        <v>3600</v>
      </c>
      <c r="AA185" s="20" t="s">
        <v>1390</v>
      </c>
      <c r="AB185" s="112">
        <f>AB178</f>
        <v>0.7</v>
      </c>
      <c r="AC185" s="20" t="s">
        <v>1390</v>
      </c>
      <c r="AD185" s="112">
        <f>AF178</f>
        <v>0.55000000000000004</v>
      </c>
      <c r="AE185" s="20" t="s">
        <v>1390</v>
      </c>
      <c r="AF185" s="112" t="str">
        <f>AD180</f>
        <v>0.71</v>
      </c>
      <c r="AG185" s="20" t="s">
        <v>1390</v>
      </c>
      <c r="AH185" s="112">
        <f>AJ178</f>
        <v>0.45</v>
      </c>
      <c r="AI185" s="20" t="s">
        <v>1387</v>
      </c>
      <c r="AJ185" s="112">
        <f>AB182</f>
        <v>20</v>
      </c>
      <c r="AK185" s="20" t="s">
        <v>1326</v>
      </c>
      <c r="AL185" s="112" t="str">
        <f>TEXT(ROUND(Z185*AB178*AF178*AD180*AJ178/AB182,2),"0.00")</f>
        <v>22.14</v>
      </c>
      <c r="AM185" s="109"/>
      <c r="AN185" s="109"/>
      <c r="AO185" s="109"/>
      <c r="AP185" s="109"/>
      <c r="AQ185" s="109"/>
      <c r="AR185" s="109"/>
      <c r="AS185" s="109"/>
    </row>
    <row r="186" spans="1:45" ht="12.6" customHeight="1" x14ac:dyDescent="0.3">
      <c r="A186" s="78"/>
      <c r="B186" s="78"/>
      <c r="C186" s="78"/>
      <c r="D186" s="78"/>
      <c r="E186" s="78"/>
      <c r="F186" s="78"/>
      <c r="G186" s="16" t="s">
        <v>1317</v>
      </c>
      <c r="Z186" s="109"/>
      <c r="AA186" s="109"/>
      <c r="AB186" s="109"/>
      <c r="AC186" s="109"/>
      <c r="AD186" s="109"/>
      <c r="AE186" s="109"/>
      <c r="AF186" s="109"/>
      <c r="AG186" s="109"/>
      <c r="AH186" s="109"/>
      <c r="AI186" s="109"/>
      <c r="AJ186" s="109"/>
      <c r="AK186" s="109"/>
      <c r="AL186" s="109"/>
      <c r="AM186" s="109"/>
      <c r="AN186" s="109"/>
      <c r="AO186" s="109"/>
      <c r="AP186" s="109"/>
      <c r="AQ186" s="109"/>
      <c r="AR186" s="109"/>
      <c r="AS186" s="109"/>
    </row>
    <row r="187" spans="1:45" ht="12.6" customHeight="1" x14ac:dyDescent="0.3">
      <c r="A187" s="78"/>
      <c r="B187" s="78"/>
      <c r="C187" s="78"/>
      <c r="D187" s="78"/>
      <c r="E187" s="78"/>
      <c r="F187" s="78"/>
      <c r="G187" s="16" t="s">
        <v>1317</v>
      </c>
      <c r="Z187" s="109"/>
      <c r="AA187" s="109"/>
      <c r="AB187" s="109"/>
      <c r="AC187" s="109"/>
      <c r="AD187" s="109"/>
      <c r="AE187" s="109"/>
      <c r="AF187" s="109"/>
      <c r="AG187" s="109"/>
      <c r="AH187" s="109"/>
      <c r="AI187" s="109"/>
      <c r="AJ187" s="109"/>
      <c r="AK187" s="109"/>
      <c r="AL187" s="109"/>
      <c r="AM187" s="109"/>
      <c r="AN187" s="109"/>
      <c r="AO187" s="109"/>
      <c r="AP187" s="109"/>
      <c r="AQ187" s="109"/>
      <c r="AR187" s="109"/>
      <c r="AS187" s="109"/>
    </row>
    <row r="188" spans="1:45" ht="12.6" customHeight="1" x14ac:dyDescent="0.3">
      <c r="A188" s="68" t="s">
        <v>1441</v>
      </c>
      <c r="B188" s="97" t="str">
        <f>" 노 무 비  :   "&amp;TEXT(I188,"#,##0"&amp;IF(I188&lt;&gt;INT(I188),".###",""))&amp;" / Q1  = "&amp;TEXT(C188,"#,##0.0")&amp;""</f>
        <v xml:space="preserve"> 노 무 비  :   55,700 / Q1  = 2,515.8</v>
      </c>
      <c r="C188" s="99">
        <f>E188+D188+F188</f>
        <v>2515.8000000000002</v>
      </c>
      <c r="D188" s="99">
        <f>IF(H188=0,0,ROUNDDOWN(J188*H188,1))</f>
        <v>2515.8000000000002</v>
      </c>
      <c r="E188" s="99">
        <f>IF(H188=0,0,ROUNDDOWN(K188*H188,1))</f>
        <v>0</v>
      </c>
      <c r="F188" s="99">
        <f>IF(H188=0,0,ROUNDDOWN(L188*H188,1))</f>
        <v>0</v>
      </c>
      <c r="G188" s="16" t="s">
        <v>1440</v>
      </c>
      <c r="H188" s="105">
        <f>AC188</f>
        <v>4.5167118337850046E-2</v>
      </c>
      <c r="I188" s="106">
        <f>K188+J188+L188</f>
        <v>55700</v>
      </c>
      <c r="J188" s="39">
        <f>중기목록표!F9</f>
        <v>55700</v>
      </c>
      <c r="M188" s="20" t="s">
        <v>1442</v>
      </c>
      <c r="N188" s="20" t="s">
        <v>1332</v>
      </c>
      <c r="X188" s="108" t="str">
        <f>중기목록표!B9&amp;" / "&amp;중기목록표!C9</f>
        <v>굴삭기(0.7m3) / 0.7㎥,(암석)</v>
      </c>
      <c r="Y188" s="19" t="str">
        <f ca="1">HYPERLINK("#"&amp;중기목록표!J2&amp;"!A"&amp;ROW(중기목록표!A9),"중기    6 →")</f>
        <v>중기    6 →</v>
      </c>
      <c r="Z188" s="20" t="s">
        <v>1393</v>
      </c>
      <c r="AA188" s="112" t="str">
        <f>AL185</f>
        <v>22.14</v>
      </c>
      <c r="AB188" s="20" t="s">
        <v>1326</v>
      </c>
      <c r="AC188" s="113">
        <f>1/AL185</f>
        <v>4.5167118337850046E-2</v>
      </c>
      <c r="AD188" s="109"/>
      <c r="AE188" s="109"/>
      <c r="AF188" s="109"/>
      <c r="AG188" s="109"/>
      <c r="AH188" s="109"/>
      <c r="AI188" s="109"/>
      <c r="AJ188" s="109"/>
      <c r="AK188" s="109"/>
      <c r="AL188" s="109"/>
      <c r="AM188" s="109"/>
      <c r="AN188" s="109"/>
      <c r="AO188" s="109"/>
      <c r="AP188" s="109"/>
      <c r="AQ188" s="109"/>
      <c r="AR188" s="109"/>
      <c r="AS188" s="109"/>
    </row>
    <row r="189" spans="1:45" ht="12.6" customHeight="1" x14ac:dyDescent="0.3">
      <c r="A189" s="78"/>
      <c r="B189" s="78"/>
      <c r="C189" s="78"/>
      <c r="D189" s="78"/>
      <c r="E189" s="78"/>
      <c r="F189" s="78"/>
      <c r="G189" s="16" t="s">
        <v>1317</v>
      </c>
      <c r="Z189" s="109"/>
      <c r="AA189" s="109"/>
      <c r="AB189" s="109"/>
      <c r="AC189" s="109"/>
      <c r="AD189" s="109"/>
      <c r="AE189" s="109"/>
      <c r="AF189" s="109"/>
      <c r="AG189" s="109"/>
      <c r="AH189" s="109"/>
      <c r="AI189" s="109"/>
      <c r="AJ189" s="109"/>
      <c r="AK189" s="109"/>
      <c r="AL189" s="109"/>
      <c r="AM189" s="109"/>
      <c r="AN189" s="109"/>
      <c r="AO189" s="109"/>
      <c r="AP189" s="109"/>
      <c r="AQ189" s="109"/>
      <c r="AR189" s="109"/>
      <c r="AS189" s="109"/>
    </row>
    <row r="190" spans="1:45" ht="12.6" customHeight="1" x14ac:dyDescent="0.3">
      <c r="A190" s="78"/>
      <c r="B190" s="78"/>
      <c r="C190" s="78"/>
      <c r="D190" s="78"/>
      <c r="E190" s="78"/>
      <c r="F190" s="78"/>
      <c r="G190" s="16" t="s">
        <v>1317</v>
      </c>
      <c r="Z190" s="109"/>
      <c r="AA190" s="109"/>
      <c r="AB190" s="109"/>
      <c r="AC190" s="109"/>
      <c r="AD190" s="109"/>
      <c r="AE190" s="109"/>
      <c r="AF190" s="109"/>
      <c r="AG190" s="109"/>
      <c r="AH190" s="109"/>
      <c r="AI190" s="109"/>
      <c r="AJ190" s="109"/>
      <c r="AK190" s="109"/>
      <c r="AL190" s="109"/>
      <c r="AM190" s="109"/>
      <c r="AN190" s="109"/>
      <c r="AO190" s="109"/>
      <c r="AP190" s="109"/>
      <c r="AQ190" s="109"/>
      <c r="AR190" s="109"/>
      <c r="AS190" s="109"/>
    </row>
    <row r="191" spans="1:45" ht="12.6" customHeight="1" x14ac:dyDescent="0.3">
      <c r="A191" s="68" t="s">
        <v>1444</v>
      </c>
      <c r="B191" s="97" t="str">
        <f>" 재 료 비  :   "&amp;TEXT(I191,"#,##0"&amp;IF(I191&lt;&gt;INT(I191),".###",""))&amp;" / Q1  = "&amp;TEXT(C191,"#,##0.0")&amp;""</f>
        <v xml:space="preserve"> 재 료 비  :   18,001 / Q1  = 813.0</v>
      </c>
      <c r="C191" s="99">
        <f>E191+D191+F191</f>
        <v>813</v>
      </c>
      <c r="D191" s="99">
        <f>IF(H191=0,0,ROUNDDOWN(J191*H191,1))</f>
        <v>0</v>
      </c>
      <c r="E191" s="99">
        <f>IF(H191=0,0,ROUNDDOWN(K191*H191,1))</f>
        <v>813</v>
      </c>
      <c r="F191" s="99">
        <f>IF(H191=0,0,ROUNDDOWN(L191*H191,1))</f>
        <v>0</v>
      </c>
      <c r="G191" s="16" t="s">
        <v>1443</v>
      </c>
      <c r="H191" s="105">
        <f>AC191</f>
        <v>4.5167118337850046E-2</v>
      </c>
      <c r="I191" s="106">
        <f>K191+J191+L191</f>
        <v>18001</v>
      </c>
      <c r="K191" s="39">
        <f>중기목록표!G9</f>
        <v>18001</v>
      </c>
      <c r="M191" s="20" t="s">
        <v>1442</v>
      </c>
      <c r="N191" s="20" t="s">
        <v>1332</v>
      </c>
      <c r="X191" s="108" t="str">
        <f>중기목록표!B9&amp;" / "&amp;중기목록표!C9</f>
        <v>굴삭기(0.7m3) / 0.7㎥,(암석)</v>
      </c>
      <c r="Y191" s="19" t="str">
        <f ca="1">HYPERLINK("#"&amp;중기목록표!J2&amp;"!A"&amp;ROW(중기목록표!A9),"중기    6 →")</f>
        <v>중기    6 →</v>
      </c>
      <c r="Z191" s="20" t="s">
        <v>1393</v>
      </c>
      <c r="AA191" s="112" t="str">
        <f>AL185</f>
        <v>22.14</v>
      </c>
      <c r="AB191" s="20" t="s">
        <v>1326</v>
      </c>
      <c r="AC191" s="113">
        <f>1/AL185</f>
        <v>4.5167118337850046E-2</v>
      </c>
      <c r="AD191" s="109"/>
      <c r="AE191" s="109"/>
      <c r="AF191" s="109"/>
      <c r="AG191" s="109"/>
      <c r="AH191" s="109"/>
      <c r="AI191" s="109"/>
      <c r="AJ191" s="109"/>
      <c r="AK191" s="109"/>
      <c r="AL191" s="109"/>
      <c r="AM191" s="109"/>
      <c r="AN191" s="109"/>
      <c r="AO191" s="109"/>
      <c r="AP191" s="109"/>
      <c r="AQ191" s="109"/>
      <c r="AR191" s="109"/>
      <c r="AS191" s="109"/>
    </row>
    <row r="192" spans="1:45" ht="12.6" customHeight="1" x14ac:dyDescent="0.3">
      <c r="A192" s="78"/>
      <c r="B192" s="78"/>
      <c r="C192" s="78"/>
      <c r="D192" s="78"/>
      <c r="E192" s="78"/>
      <c r="F192" s="78"/>
      <c r="G192" s="16" t="s">
        <v>1317</v>
      </c>
      <c r="Z192" s="109"/>
      <c r="AA192" s="109"/>
      <c r="AB192" s="109"/>
      <c r="AC192" s="109"/>
      <c r="AD192" s="109"/>
      <c r="AE192" s="109"/>
      <c r="AF192" s="109"/>
      <c r="AG192" s="109"/>
      <c r="AH192" s="109"/>
      <c r="AI192" s="109"/>
      <c r="AJ192" s="109"/>
      <c r="AK192" s="109"/>
      <c r="AL192" s="109"/>
      <c r="AM192" s="109"/>
      <c r="AN192" s="109"/>
      <c r="AO192" s="109"/>
      <c r="AP192" s="109"/>
      <c r="AQ192" s="109"/>
      <c r="AR192" s="109"/>
      <c r="AS192" s="109"/>
    </row>
    <row r="193" spans="1:45" ht="12.6" customHeight="1" x14ac:dyDescent="0.3">
      <c r="A193" s="78"/>
      <c r="B193" s="78"/>
      <c r="C193" s="78"/>
      <c r="D193" s="78"/>
      <c r="E193" s="78"/>
      <c r="F193" s="78"/>
      <c r="G193" s="16" t="s">
        <v>1317</v>
      </c>
      <c r="Z193" s="109"/>
      <c r="AA193" s="109"/>
      <c r="AB193" s="109"/>
      <c r="AC193" s="109"/>
      <c r="AD193" s="109"/>
      <c r="AE193" s="109"/>
      <c r="AF193" s="109"/>
      <c r="AG193" s="109"/>
      <c r="AH193" s="109"/>
      <c r="AI193" s="109"/>
      <c r="AJ193" s="109"/>
      <c r="AK193" s="109"/>
      <c r="AL193" s="109"/>
      <c r="AM193" s="109"/>
      <c r="AN193" s="109"/>
      <c r="AO193" s="109"/>
      <c r="AP193" s="109"/>
      <c r="AQ193" s="109"/>
      <c r="AR193" s="109"/>
      <c r="AS193" s="109"/>
    </row>
    <row r="194" spans="1:45" ht="12.6" customHeight="1" x14ac:dyDescent="0.3">
      <c r="A194" s="68" t="s">
        <v>1446</v>
      </c>
      <c r="B194" s="97" t="str">
        <f>" 경    비  :   "&amp;TEXT(I194,"#,##0"&amp;IF(I194&lt;&gt;INT(I194),".###",""))&amp;" / Q1  = "&amp;TEXT(C194,"#,##0.0")&amp;""</f>
        <v xml:space="preserve"> 경    비  :   26,677 / Q1  = 1,204.9</v>
      </c>
      <c r="C194" s="99">
        <f>E194+D194+F194</f>
        <v>1204.9000000000001</v>
      </c>
      <c r="D194" s="99">
        <f>IF(H194=0,0,ROUNDDOWN(J194*H194,1))</f>
        <v>0</v>
      </c>
      <c r="E194" s="99">
        <f>IF(H194=0,0,ROUNDDOWN(K194*H194,1))</f>
        <v>0</v>
      </c>
      <c r="F194" s="99">
        <f>IF(H194=0,0,ROUNDDOWN(L194*H194,1))</f>
        <v>1204.9000000000001</v>
      </c>
      <c r="G194" s="16" t="s">
        <v>1445</v>
      </c>
      <c r="H194" s="105">
        <f>AC194</f>
        <v>4.5167118337850046E-2</v>
      </c>
      <c r="I194" s="106">
        <f>K194+J194+L194</f>
        <v>26677</v>
      </c>
      <c r="L194" s="39">
        <f>중기목록표!H9</f>
        <v>26677</v>
      </c>
      <c r="M194" s="20" t="s">
        <v>1442</v>
      </c>
      <c r="N194" s="20" t="s">
        <v>1332</v>
      </c>
      <c r="X194" s="108" t="str">
        <f>중기목록표!B9&amp;" / "&amp;중기목록표!C9</f>
        <v>굴삭기(0.7m3) / 0.7㎥,(암석)</v>
      </c>
      <c r="Y194" s="19" t="str">
        <f ca="1">HYPERLINK("#"&amp;중기목록표!J2&amp;"!A"&amp;ROW(중기목록표!A9),"중기    6 →")</f>
        <v>중기    6 →</v>
      </c>
      <c r="Z194" s="20" t="s">
        <v>1393</v>
      </c>
      <c r="AA194" s="112" t="str">
        <f>AL185</f>
        <v>22.14</v>
      </c>
      <c r="AB194" s="20" t="s">
        <v>1326</v>
      </c>
      <c r="AC194" s="113">
        <f>1/AL185</f>
        <v>4.5167118337850046E-2</v>
      </c>
      <c r="AD194" s="109"/>
      <c r="AE194" s="109"/>
      <c r="AF194" s="109"/>
      <c r="AG194" s="109"/>
      <c r="AH194" s="109"/>
      <c r="AI194" s="109"/>
      <c r="AJ194" s="109"/>
      <c r="AK194" s="109"/>
      <c r="AL194" s="109"/>
      <c r="AM194" s="109"/>
      <c r="AN194" s="109"/>
      <c r="AO194" s="109"/>
      <c r="AP194" s="109"/>
      <c r="AQ194" s="109"/>
      <c r="AR194" s="109"/>
      <c r="AS194" s="109"/>
    </row>
    <row r="195" spans="1:45" ht="12.6" customHeight="1" x14ac:dyDescent="0.3">
      <c r="A195" s="78"/>
      <c r="B195" s="78"/>
      <c r="C195" s="78"/>
      <c r="D195" s="78"/>
      <c r="E195" s="78"/>
      <c r="F195" s="78"/>
      <c r="G195" s="16" t="s">
        <v>1317</v>
      </c>
      <c r="Z195" s="109"/>
      <c r="AA195" s="109"/>
      <c r="AB195" s="109"/>
      <c r="AC195" s="109"/>
      <c r="AD195" s="109"/>
      <c r="AE195" s="109"/>
      <c r="AF195" s="109"/>
      <c r="AG195" s="109"/>
      <c r="AH195" s="109"/>
      <c r="AI195" s="109"/>
      <c r="AJ195" s="109"/>
      <c r="AK195" s="109"/>
      <c r="AL195" s="109"/>
      <c r="AM195" s="109"/>
      <c r="AN195" s="109"/>
      <c r="AO195" s="109"/>
      <c r="AP195" s="109"/>
      <c r="AQ195" s="109"/>
      <c r="AR195" s="109"/>
      <c r="AS195" s="109"/>
    </row>
    <row r="196" spans="1:45" ht="12.6" customHeight="1" x14ac:dyDescent="0.3">
      <c r="A196" s="68"/>
      <c r="B196" s="77" t="s">
        <v>1331</v>
      </c>
      <c r="C196" s="100">
        <f>E196+D196+F196</f>
        <v>4533.7000000000007</v>
      </c>
      <c r="D196" s="100">
        <f>SUMIF(N173:N195,M196,D173:D195)</f>
        <v>2515.8000000000002</v>
      </c>
      <c r="E196" s="100">
        <f>SUMIF(N173:N195,M196,E173:E195)</f>
        <v>813</v>
      </c>
      <c r="F196" s="100">
        <f>SUMIF(N173:N195,M196,F173:F195)</f>
        <v>1204.9000000000001</v>
      </c>
      <c r="G196" s="16" t="s">
        <v>1415</v>
      </c>
      <c r="M196" s="20" t="s">
        <v>1332</v>
      </c>
      <c r="N196" s="20" t="s">
        <v>1341</v>
      </c>
      <c r="Z196" s="109"/>
      <c r="AA196" s="109"/>
      <c r="AB196" s="109"/>
      <c r="AC196" s="109"/>
      <c r="AD196" s="109"/>
      <c r="AE196" s="109"/>
      <c r="AF196" s="109"/>
      <c r="AG196" s="109"/>
      <c r="AH196" s="109"/>
      <c r="AI196" s="109"/>
      <c r="AJ196" s="109"/>
      <c r="AK196" s="109"/>
      <c r="AL196" s="109"/>
      <c r="AM196" s="109"/>
      <c r="AN196" s="109"/>
      <c r="AO196" s="109"/>
      <c r="AP196" s="109"/>
      <c r="AQ196" s="109"/>
      <c r="AR196" s="109"/>
      <c r="AS196" s="109"/>
    </row>
    <row r="197" spans="1:45" ht="12.6" customHeight="1" x14ac:dyDescent="0.3">
      <c r="A197" s="78"/>
      <c r="B197" s="78"/>
      <c r="C197" s="98"/>
      <c r="D197" s="98"/>
      <c r="E197" s="98"/>
      <c r="F197" s="98"/>
      <c r="G197" s="16" t="s">
        <v>1317</v>
      </c>
      <c r="Z197" s="109"/>
      <c r="AA197" s="109"/>
      <c r="AB197" s="109"/>
      <c r="AC197" s="109"/>
      <c r="AD197" s="109"/>
      <c r="AE197" s="109"/>
      <c r="AF197" s="109"/>
      <c r="AG197" s="109"/>
      <c r="AH197" s="109"/>
      <c r="AI197" s="109"/>
      <c r="AJ197" s="109"/>
      <c r="AK197" s="109"/>
      <c r="AL197" s="109"/>
      <c r="AM197" s="109"/>
      <c r="AN197" s="109"/>
      <c r="AO197" s="109"/>
      <c r="AP197" s="109"/>
      <c r="AQ197" s="109"/>
      <c r="AR197" s="109"/>
      <c r="AS197" s="109"/>
    </row>
    <row r="198" spans="1:45" ht="12.6" customHeight="1" x14ac:dyDescent="0.3">
      <c r="A198" s="68"/>
      <c r="B198" s="77" t="s">
        <v>1340</v>
      </c>
      <c r="C198" s="100">
        <f>E198+D198+F198</f>
        <v>35405.1</v>
      </c>
      <c r="D198" s="100">
        <f>SUMIF(N147:N197,M198,D147:D197)</f>
        <v>18430</v>
      </c>
      <c r="E198" s="100">
        <f>SUMIF(N147:N197,M198,E147:E197)</f>
        <v>6085.4</v>
      </c>
      <c r="F198" s="100">
        <f>SUMIF(N147:N197,M198,F147:F197)</f>
        <v>10889.699999999999</v>
      </c>
      <c r="G198" s="16" t="s">
        <v>1380</v>
      </c>
      <c r="M198" s="20" t="s">
        <v>1341</v>
      </c>
      <c r="N198" s="20" t="s">
        <v>1128</v>
      </c>
      <c r="Z198" s="109"/>
      <c r="AA198" s="109"/>
      <c r="AB198" s="109"/>
      <c r="AC198" s="109"/>
      <c r="AD198" s="109"/>
      <c r="AE198" s="109"/>
      <c r="AF198" s="109"/>
      <c r="AG198" s="109"/>
      <c r="AH198" s="109"/>
      <c r="AI198" s="109"/>
      <c r="AJ198" s="109"/>
      <c r="AK198" s="109"/>
      <c r="AL198" s="109"/>
      <c r="AM198" s="109"/>
      <c r="AN198" s="109"/>
      <c r="AO198" s="109"/>
      <c r="AP198" s="109"/>
      <c r="AQ198" s="109"/>
      <c r="AR198" s="109"/>
      <c r="AS198" s="109"/>
    </row>
    <row r="199" spans="1:45" ht="12.6" customHeight="1" x14ac:dyDescent="0.3">
      <c r="A199" s="78"/>
      <c r="B199" s="78"/>
      <c r="C199" s="98"/>
      <c r="D199" s="98"/>
      <c r="E199" s="98"/>
      <c r="F199" s="98"/>
      <c r="Z199" s="109"/>
      <c r="AA199" s="109"/>
      <c r="AB199" s="109"/>
      <c r="AC199" s="109"/>
      <c r="AD199" s="109"/>
      <c r="AE199" s="109"/>
      <c r="AF199" s="109"/>
      <c r="AG199" s="109"/>
      <c r="AH199" s="109"/>
      <c r="AI199" s="109"/>
      <c r="AJ199" s="109"/>
      <c r="AK199" s="109"/>
      <c r="AL199" s="109"/>
      <c r="AM199" s="109"/>
      <c r="AN199" s="109"/>
      <c r="AO199" s="109"/>
      <c r="AP199" s="109"/>
      <c r="AQ199" s="109"/>
      <c r="AR199" s="109"/>
      <c r="AS199" s="109"/>
    </row>
    <row r="200" spans="1:45" ht="12.6" customHeight="1" x14ac:dyDescent="0.3">
      <c r="A200" s="78"/>
      <c r="B200" s="78"/>
      <c r="C200" s="78"/>
      <c r="D200" s="78"/>
      <c r="E200" s="78"/>
      <c r="F200" s="78"/>
      <c r="Z200" s="109"/>
      <c r="AA200" s="109"/>
      <c r="AB200" s="109"/>
      <c r="AC200" s="109"/>
      <c r="AD200" s="109"/>
      <c r="AE200" s="109"/>
      <c r="AF200" s="109"/>
      <c r="AG200" s="109"/>
      <c r="AH200" s="109"/>
      <c r="AI200" s="109"/>
      <c r="AJ200" s="109"/>
      <c r="AK200" s="109"/>
      <c r="AL200" s="109"/>
      <c r="AM200" s="109"/>
      <c r="AN200" s="109"/>
      <c r="AO200" s="109"/>
      <c r="AP200" s="109"/>
      <c r="AQ200" s="109"/>
      <c r="AR200" s="109"/>
      <c r="AS200" s="109"/>
    </row>
    <row r="201" spans="1:45" ht="12.6" customHeight="1" x14ac:dyDescent="0.3">
      <c r="A201" s="78"/>
      <c r="B201" s="78"/>
      <c r="C201" s="78"/>
      <c r="D201" s="78"/>
      <c r="E201" s="78"/>
      <c r="F201" s="78"/>
      <c r="Z201" s="109"/>
      <c r="AA201" s="109"/>
      <c r="AB201" s="109"/>
      <c r="AC201" s="109"/>
      <c r="AD201" s="109"/>
      <c r="AE201" s="109"/>
      <c r="AF201" s="109"/>
      <c r="AG201" s="109"/>
      <c r="AH201" s="109"/>
      <c r="AI201" s="109"/>
      <c r="AJ201" s="109"/>
      <c r="AK201" s="109"/>
      <c r="AL201" s="109"/>
      <c r="AM201" s="109"/>
      <c r="AN201" s="109"/>
      <c r="AO201" s="109"/>
      <c r="AP201" s="109"/>
      <c r="AQ201" s="109"/>
      <c r="AR201" s="109"/>
      <c r="AS201" s="109"/>
    </row>
    <row r="202" spans="1:45" ht="12.6" customHeight="1" x14ac:dyDescent="0.3">
      <c r="A202" s="78"/>
      <c r="B202" s="78"/>
      <c r="C202" s="78"/>
      <c r="D202" s="78"/>
      <c r="E202" s="78"/>
      <c r="F202" s="78"/>
      <c r="Z202" s="109"/>
      <c r="AA202" s="109"/>
      <c r="AB202" s="109"/>
      <c r="AC202" s="109"/>
      <c r="AD202" s="109"/>
      <c r="AE202" s="109"/>
      <c r="AF202" s="109"/>
      <c r="AG202" s="109"/>
      <c r="AH202" s="109"/>
      <c r="AI202" s="109"/>
      <c r="AJ202" s="109"/>
      <c r="AK202" s="109"/>
      <c r="AL202" s="109"/>
      <c r="AM202" s="109"/>
      <c r="AN202" s="109"/>
      <c r="AO202" s="109"/>
      <c r="AP202" s="109"/>
      <c r="AQ202" s="109"/>
      <c r="AR202" s="109"/>
      <c r="AS202" s="109"/>
    </row>
    <row r="203" spans="1:45" ht="12.6" customHeight="1" x14ac:dyDescent="0.3">
      <c r="A203" s="78"/>
      <c r="B203" s="78"/>
      <c r="C203" s="78"/>
      <c r="D203" s="78"/>
      <c r="E203" s="78"/>
      <c r="F203" s="78"/>
      <c r="Z203" s="109"/>
      <c r="AA203" s="109"/>
      <c r="AB203" s="109"/>
      <c r="AC203" s="109"/>
      <c r="AD203" s="109"/>
      <c r="AE203" s="109"/>
      <c r="AF203" s="109"/>
      <c r="AG203" s="109"/>
      <c r="AH203" s="109"/>
      <c r="AI203" s="109"/>
      <c r="AJ203" s="109"/>
      <c r="AK203" s="109"/>
      <c r="AL203" s="109"/>
      <c r="AM203" s="109"/>
      <c r="AN203" s="109"/>
      <c r="AO203" s="109"/>
      <c r="AP203" s="109"/>
      <c r="AQ203" s="109"/>
      <c r="AR203" s="109"/>
      <c r="AS203" s="109"/>
    </row>
    <row r="204" spans="1:45" ht="12.6" customHeight="1" x14ac:dyDescent="0.3">
      <c r="A204" s="78"/>
      <c r="B204" s="78"/>
      <c r="C204" s="78"/>
      <c r="D204" s="78"/>
      <c r="E204" s="78"/>
      <c r="F204" s="78"/>
      <c r="Z204" s="109"/>
      <c r="AA204" s="109"/>
      <c r="AB204" s="109"/>
      <c r="AC204" s="109"/>
      <c r="AD204" s="109"/>
      <c r="AE204" s="109"/>
      <c r="AF204" s="109"/>
      <c r="AG204" s="109"/>
      <c r="AH204" s="109"/>
      <c r="AI204" s="109"/>
      <c r="AJ204" s="109"/>
      <c r="AK204" s="109"/>
      <c r="AL204" s="109"/>
      <c r="AM204" s="109"/>
      <c r="AN204" s="109"/>
      <c r="AO204" s="109"/>
      <c r="AP204" s="109"/>
      <c r="AQ204" s="109"/>
      <c r="AR204" s="109"/>
      <c r="AS204" s="109"/>
    </row>
    <row r="205" spans="1:45" ht="12.6" customHeight="1" x14ac:dyDescent="0.3">
      <c r="A205" s="78"/>
      <c r="B205" s="78"/>
      <c r="C205" s="78"/>
      <c r="D205" s="78"/>
      <c r="E205" s="78"/>
      <c r="F205" s="78"/>
      <c r="Z205" s="109"/>
      <c r="AA205" s="109"/>
      <c r="AB205" s="109"/>
      <c r="AC205" s="109"/>
      <c r="AD205" s="109"/>
      <c r="AE205" s="109"/>
      <c r="AF205" s="109"/>
      <c r="AG205" s="109"/>
      <c r="AH205" s="109"/>
      <c r="AI205" s="109"/>
      <c r="AJ205" s="109"/>
      <c r="AK205" s="109"/>
      <c r="AL205" s="109"/>
      <c r="AM205" s="109"/>
      <c r="AN205" s="109"/>
      <c r="AO205" s="109"/>
      <c r="AP205" s="109"/>
      <c r="AQ205" s="109"/>
      <c r="AR205" s="109"/>
      <c r="AS205" s="109"/>
    </row>
    <row r="206" spans="1:45" ht="12.6" customHeight="1" x14ac:dyDescent="0.3">
      <c r="A206" s="78"/>
      <c r="B206" s="78"/>
      <c r="C206" s="78"/>
      <c r="D206" s="78"/>
      <c r="E206" s="78"/>
      <c r="F206" s="78"/>
      <c r="Z206" s="109"/>
      <c r="AA206" s="109"/>
      <c r="AB206" s="109"/>
      <c r="AC206" s="109"/>
      <c r="AD206" s="109"/>
      <c r="AE206" s="109"/>
      <c r="AF206" s="109"/>
      <c r="AG206" s="109"/>
      <c r="AH206" s="109"/>
      <c r="AI206" s="109"/>
      <c r="AJ206" s="109"/>
      <c r="AK206" s="109"/>
      <c r="AL206" s="109"/>
      <c r="AM206" s="109"/>
      <c r="AN206" s="109"/>
      <c r="AO206" s="109"/>
      <c r="AP206" s="109"/>
      <c r="AQ206" s="109"/>
      <c r="AR206" s="109"/>
      <c r="AS206" s="109"/>
    </row>
    <row r="207" spans="1:45" ht="12.6" customHeight="1" x14ac:dyDescent="0.3">
      <c r="A207" s="78"/>
      <c r="B207" s="78"/>
      <c r="C207" s="78"/>
      <c r="D207" s="78"/>
      <c r="E207" s="78"/>
      <c r="F207" s="78"/>
      <c r="Z207" s="109"/>
      <c r="AA207" s="109"/>
      <c r="AB207" s="109"/>
      <c r="AC207" s="109"/>
      <c r="AD207" s="109"/>
      <c r="AE207" s="109"/>
      <c r="AF207" s="109"/>
      <c r="AG207" s="109"/>
      <c r="AH207" s="109"/>
      <c r="AI207" s="109"/>
      <c r="AJ207" s="109"/>
      <c r="AK207" s="109"/>
      <c r="AL207" s="109"/>
      <c r="AM207" s="109"/>
      <c r="AN207" s="109"/>
      <c r="AO207" s="109"/>
      <c r="AP207" s="109"/>
      <c r="AQ207" s="109"/>
      <c r="AR207" s="109"/>
      <c r="AS207" s="109"/>
    </row>
    <row r="208" spans="1:45" ht="12.6" customHeight="1" x14ac:dyDescent="0.3">
      <c r="A208" s="78"/>
      <c r="B208" s="78"/>
      <c r="C208" s="78"/>
      <c r="D208" s="78"/>
      <c r="E208" s="78"/>
      <c r="F208" s="78"/>
      <c r="Z208" s="109"/>
      <c r="AA208" s="109"/>
      <c r="AB208" s="109"/>
      <c r="AC208" s="109"/>
      <c r="AD208" s="109"/>
      <c r="AE208" s="109"/>
      <c r="AF208" s="109"/>
      <c r="AG208" s="109"/>
      <c r="AH208" s="109"/>
      <c r="AI208" s="109"/>
      <c r="AJ208" s="109"/>
      <c r="AK208" s="109"/>
      <c r="AL208" s="109"/>
      <c r="AM208" s="109"/>
      <c r="AN208" s="109"/>
      <c r="AO208" s="109"/>
      <c r="AP208" s="109"/>
      <c r="AQ208" s="109"/>
      <c r="AR208" s="109"/>
      <c r="AS208" s="109"/>
    </row>
    <row r="209" spans="1:45" ht="12.6" customHeight="1" x14ac:dyDescent="0.3">
      <c r="A209" s="78"/>
      <c r="B209" s="78"/>
      <c r="C209" s="78"/>
      <c r="D209" s="78"/>
      <c r="E209" s="78"/>
      <c r="F209" s="78"/>
      <c r="Z209" s="109"/>
      <c r="AA209" s="109"/>
      <c r="AB209" s="109"/>
      <c r="AC209" s="109"/>
      <c r="AD209" s="109"/>
      <c r="AE209" s="109"/>
      <c r="AF209" s="109"/>
      <c r="AG209" s="109"/>
      <c r="AH209" s="109"/>
      <c r="AI209" s="109"/>
      <c r="AJ209" s="109"/>
      <c r="AK209" s="109"/>
      <c r="AL209" s="109"/>
      <c r="AM209" s="109"/>
      <c r="AN209" s="109"/>
      <c r="AO209" s="109"/>
      <c r="AP209" s="109"/>
      <c r="AQ209" s="109"/>
      <c r="AR209" s="109"/>
      <c r="AS209" s="109"/>
    </row>
    <row r="210" spans="1:45" ht="12.6" customHeight="1" x14ac:dyDescent="0.3">
      <c r="A210" s="78"/>
      <c r="B210" s="78"/>
      <c r="C210" s="78"/>
      <c r="D210" s="78"/>
      <c r="E210" s="78"/>
      <c r="F210" s="78"/>
      <c r="Z210" s="109"/>
      <c r="AA210" s="109"/>
      <c r="AB210" s="109"/>
      <c r="AC210" s="109"/>
      <c r="AD210" s="109"/>
      <c r="AE210" s="109"/>
      <c r="AF210" s="109"/>
      <c r="AG210" s="109"/>
      <c r="AH210" s="109"/>
      <c r="AI210" s="109"/>
      <c r="AJ210" s="109"/>
      <c r="AK210" s="109"/>
      <c r="AL210" s="109"/>
      <c r="AM210" s="109"/>
      <c r="AN210" s="109"/>
      <c r="AO210" s="109"/>
      <c r="AP210" s="109"/>
      <c r="AQ210" s="109"/>
      <c r="AR210" s="109"/>
      <c r="AS210" s="109"/>
    </row>
    <row r="211" spans="1:45" ht="12.6" customHeight="1" x14ac:dyDescent="0.3">
      <c r="A211" s="78"/>
      <c r="B211" s="78"/>
      <c r="C211" s="78"/>
      <c r="D211" s="78"/>
      <c r="E211" s="78"/>
      <c r="F211" s="78"/>
      <c r="Z211" s="109"/>
      <c r="AA211" s="109"/>
      <c r="AB211" s="109"/>
      <c r="AC211" s="109"/>
      <c r="AD211" s="109"/>
      <c r="AE211" s="109"/>
      <c r="AF211" s="109"/>
      <c r="AG211" s="109"/>
      <c r="AH211" s="109"/>
      <c r="AI211" s="109"/>
      <c r="AJ211" s="109"/>
      <c r="AK211" s="109"/>
      <c r="AL211" s="109"/>
      <c r="AM211" s="109"/>
      <c r="AN211" s="109"/>
      <c r="AO211" s="109"/>
      <c r="AP211" s="109"/>
      <c r="AQ211" s="109"/>
      <c r="AR211" s="109"/>
      <c r="AS211" s="109"/>
    </row>
    <row r="212" spans="1:45" ht="12.6" customHeight="1" x14ac:dyDescent="0.3">
      <c r="A212" s="78"/>
      <c r="B212" s="78"/>
      <c r="C212" s="78"/>
      <c r="D212" s="78"/>
      <c r="E212" s="78"/>
      <c r="F212" s="78"/>
      <c r="Z212" s="109"/>
      <c r="AA212" s="109"/>
      <c r="AB212" s="109"/>
      <c r="AC212" s="109"/>
      <c r="AD212" s="109"/>
      <c r="AE212" s="109"/>
      <c r="AF212" s="109"/>
      <c r="AG212" s="109"/>
      <c r="AH212" s="109"/>
      <c r="AI212" s="109"/>
      <c r="AJ212" s="109"/>
      <c r="AK212" s="109"/>
      <c r="AL212" s="109"/>
      <c r="AM212" s="109"/>
      <c r="AN212" s="109"/>
      <c r="AO212" s="109"/>
      <c r="AP212" s="109"/>
      <c r="AQ212" s="109"/>
      <c r="AR212" s="109"/>
      <c r="AS212" s="109"/>
    </row>
    <row r="213" spans="1:45" ht="12.6" customHeight="1" x14ac:dyDescent="0.3">
      <c r="A213" s="58"/>
      <c r="B213" s="58"/>
      <c r="C213" s="58"/>
      <c r="D213" s="58"/>
      <c r="E213" s="58"/>
      <c r="F213" s="58"/>
      <c r="Z213" s="109"/>
      <c r="AA213" s="109"/>
      <c r="AB213" s="109"/>
      <c r="AC213" s="109"/>
      <c r="AD213" s="109"/>
      <c r="AE213" s="109"/>
      <c r="AF213" s="109"/>
      <c r="AG213" s="109"/>
      <c r="AH213" s="109"/>
      <c r="AI213" s="109"/>
      <c r="AJ213" s="109"/>
      <c r="AK213" s="109"/>
      <c r="AL213" s="109"/>
      <c r="AM213" s="109"/>
      <c r="AN213" s="109"/>
      <c r="AO213" s="109"/>
      <c r="AP213" s="109"/>
      <c r="AQ213" s="109"/>
      <c r="AR213" s="109"/>
      <c r="AS213" s="109"/>
    </row>
    <row r="214" spans="1:45" ht="12.6" customHeight="1" x14ac:dyDescent="0.3">
      <c r="A214" s="159" t="s">
        <v>1401</v>
      </c>
      <c r="B214" s="152"/>
      <c r="C214" s="55">
        <f>E214+D214+F214</f>
        <v>35404</v>
      </c>
      <c r="D214" s="54">
        <f>ROUNDDOWN(SUMIF(N147:N198,M214,D147:D198),0)</f>
        <v>18430</v>
      </c>
      <c r="E214" s="63">
        <f>ROUNDDOWN(SUMIF(N147:N198,M214,E147:E198),0)</f>
        <v>6085</v>
      </c>
      <c r="F214" s="55">
        <f>ROUNDDOWN(SUMIF(N147:N198,M214,F147:F198),0)</f>
        <v>10889</v>
      </c>
      <c r="M214" s="20" t="s">
        <v>1128</v>
      </c>
      <c r="Z214" s="109"/>
      <c r="AA214" s="109"/>
      <c r="AB214" s="109"/>
      <c r="AC214" s="109"/>
      <c r="AD214" s="109"/>
      <c r="AE214" s="109"/>
      <c r="AF214" s="109"/>
      <c r="AG214" s="109"/>
      <c r="AH214" s="109"/>
      <c r="AI214" s="109"/>
      <c r="AJ214" s="109"/>
      <c r="AK214" s="109"/>
      <c r="AL214" s="109"/>
      <c r="AM214" s="109"/>
      <c r="AN214" s="109"/>
      <c r="AO214" s="109"/>
      <c r="AP214" s="109"/>
      <c r="AQ214" s="109"/>
      <c r="AR214" s="109"/>
      <c r="AS214" s="109"/>
    </row>
    <row r="215" spans="1:45" ht="12.6" customHeight="1" x14ac:dyDescent="0.3">
      <c r="A215" s="95" t="s">
        <v>27</v>
      </c>
      <c r="B215" s="96" t="s">
        <v>27</v>
      </c>
      <c r="C215" s="158">
        <f>C249</f>
        <v>7528</v>
      </c>
      <c r="D215" s="158">
        <f>D249</f>
        <v>6216</v>
      </c>
      <c r="E215" s="158">
        <f>E249</f>
        <v>1008</v>
      </c>
      <c r="F215" s="158">
        <f>F249</f>
        <v>304</v>
      </c>
      <c r="G215" s="36" t="str">
        <f>HYPERLINK("#G"&amp;ROW(G237),"_x0005_`BDCOD|D00075_x0007_`POSS|"&amp;ROW(G217)&amp;"_x0007_`POSE|"&amp;ROW(G237)&amp;"_x0007_`")</f>
        <v>_x0005_`BDCOD|D00075_x0007_`POSS|217_x0007_`POSE|237_x0007_`</v>
      </c>
      <c r="Z215" s="109"/>
      <c r="AA215" s="109"/>
      <c r="AB215" s="109"/>
      <c r="AC215" s="109"/>
      <c r="AD215" s="109"/>
      <c r="AE215" s="109"/>
      <c r="AF215" s="109"/>
      <c r="AG215" s="109"/>
      <c r="AH215" s="109"/>
      <c r="AI215" s="109"/>
      <c r="AJ215" s="109"/>
      <c r="AK215" s="109"/>
      <c r="AL215" s="109"/>
      <c r="AM215" s="109"/>
      <c r="AN215" s="109"/>
      <c r="AO215" s="109"/>
      <c r="AP215" s="109"/>
      <c r="AQ215" s="109"/>
      <c r="AR215" s="109"/>
      <c r="AS215" s="109"/>
    </row>
    <row r="216" spans="1:45" ht="12.6" customHeight="1" x14ac:dyDescent="0.3">
      <c r="A216" s="84"/>
      <c r="B216" s="96" t="s">
        <v>179</v>
      </c>
      <c r="C216" s="141"/>
      <c r="D216" s="141"/>
      <c r="E216" s="141"/>
      <c r="F216" s="141"/>
      <c r="M216" s="20" t="s">
        <v>178</v>
      </c>
      <c r="Z216" s="109"/>
      <c r="AA216" s="109"/>
      <c r="AB216" s="109"/>
      <c r="AC216" s="109"/>
      <c r="AD216" s="109"/>
      <c r="AE216" s="109"/>
      <c r="AF216" s="109"/>
      <c r="AG216" s="109"/>
      <c r="AH216" s="109"/>
      <c r="AI216" s="109"/>
      <c r="AJ216" s="109"/>
      <c r="AK216" s="109"/>
      <c r="AL216" s="109"/>
      <c r="AM216" s="109"/>
      <c r="AN216" s="109"/>
      <c r="AO216" s="109"/>
      <c r="AP216" s="109"/>
      <c r="AQ216" s="109"/>
      <c r="AR216" s="109"/>
      <c r="AS216" s="109"/>
    </row>
    <row r="217" spans="1:45" ht="12.6" customHeight="1" x14ac:dyDescent="0.3">
      <c r="A217" s="78"/>
      <c r="B217" s="78"/>
      <c r="C217" s="98"/>
      <c r="D217" s="98"/>
      <c r="E217" s="98"/>
      <c r="F217" s="98"/>
      <c r="G217" s="16" t="s">
        <v>1317</v>
      </c>
      <c r="Z217" s="109"/>
      <c r="AA217" s="109"/>
      <c r="AB217" s="109"/>
      <c r="AC217" s="109"/>
      <c r="AD217" s="109"/>
      <c r="AE217" s="109"/>
      <c r="AF217" s="109"/>
      <c r="AG217" s="109"/>
      <c r="AH217" s="109"/>
      <c r="AI217" s="109"/>
      <c r="AJ217" s="109"/>
      <c r="AK217" s="109"/>
      <c r="AL217" s="109"/>
      <c r="AM217" s="109"/>
      <c r="AN217" s="109"/>
      <c r="AO217" s="109"/>
      <c r="AP217" s="109"/>
      <c r="AQ217" s="109"/>
      <c r="AR217" s="109"/>
      <c r="AS217" s="109"/>
    </row>
    <row r="218" spans="1:45" ht="12.6" customHeight="1" x14ac:dyDescent="0.3">
      <c r="A218" s="68"/>
      <c r="B218" s="77" t="s">
        <v>1448</v>
      </c>
      <c r="C218" s="78"/>
      <c r="D218" s="78"/>
      <c r="E218" s="78"/>
      <c r="F218" s="78"/>
      <c r="G218" s="16" t="s">
        <v>1447</v>
      </c>
      <c r="Z218" s="109"/>
      <c r="AA218" s="109"/>
      <c r="AB218" s="109"/>
      <c r="AC218" s="109"/>
      <c r="AD218" s="109"/>
      <c r="AE218" s="109"/>
      <c r="AF218" s="109"/>
      <c r="AG218" s="109"/>
      <c r="AH218" s="109"/>
      <c r="AI218" s="109"/>
      <c r="AJ218" s="109"/>
      <c r="AK218" s="109"/>
      <c r="AL218" s="109"/>
      <c r="AM218" s="109"/>
      <c r="AN218" s="109"/>
      <c r="AO218" s="109"/>
      <c r="AP218" s="109"/>
      <c r="AQ218" s="109"/>
      <c r="AR218" s="109"/>
      <c r="AS218" s="109"/>
    </row>
    <row r="219" spans="1:45" ht="12.6" customHeight="1" x14ac:dyDescent="0.3">
      <c r="A219" s="78"/>
      <c r="B219" s="78"/>
      <c r="C219" s="78"/>
      <c r="D219" s="78"/>
      <c r="E219" s="78"/>
      <c r="F219" s="78"/>
      <c r="G219" s="16" t="s">
        <v>1433</v>
      </c>
      <c r="Z219" s="109"/>
      <c r="AA219" s="109"/>
      <c r="AB219" s="109"/>
      <c r="AC219" s="109"/>
      <c r="AD219" s="109"/>
      <c r="AE219" s="109"/>
      <c r="AF219" s="109"/>
      <c r="AG219" s="109"/>
      <c r="AH219" s="109"/>
      <c r="AI219" s="109"/>
      <c r="AJ219" s="109"/>
      <c r="AK219" s="109"/>
      <c r="AL219" s="109"/>
      <c r="AM219" s="109"/>
      <c r="AN219" s="109"/>
      <c r="AO219" s="109"/>
      <c r="AP219" s="109"/>
      <c r="AQ219" s="109"/>
      <c r="AR219" s="109"/>
      <c r="AS219" s="109"/>
    </row>
    <row r="220" spans="1:45" ht="12.6" customHeight="1" x14ac:dyDescent="0.3">
      <c r="A220" s="68"/>
      <c r="B220" s="77" t="s">
        <v>1450</v>
      </c>
      <c r="C220" s="78"/>
      <c r="D220" s="78"/>
      <c r="E220" s="78"/>
      <c r="F220" s="78"/>
      <c r="G220" s="16" t="s">
        <v>1449</v>
      </c>
      <c r="Z220" s="109"/>
      <c r="AA220" s="109"/>
      <c r="AB220" s="109"/>
      <c r="AC220" s="109"/>
      <c r="AD220" s="109"/>
      <c r="AE220" s="109"/>
      <c r="AF220" s="109"/>
      <c r="AG220" s="109"/>
      <c r="AH220" s="109"/>
      <c r="AI220" s="109"/>
      <c r="AJ220" s="109"/>
      <c r="AK220" s="109"/>
      <c r="AL220" s="109"/>
      <c r="AM220" s="109"/>
      <c r="AN220" s="109"/>
      <c r="AO220" s="109"/>
      <c r="AP220" s="109"/>
      <c r="AQ220" s="109"/>
      <c r="AR220" s="109"/>
      <c r="AS220" s="109"/>
    </row>
    <row r="221" spans="1:45" ht="12.6" customHeight="1" x14ac:dyDescent="0.3">
      <c r="A221" s="78"/>
      <c r="B221" s="78"/>
      <c r="C221" s="78"/>
      <c r="D221" s="78"/>
      <c r="E221" s="78"/>
      <c r="F221" s="78"/>
      <c r="G221" s="16" t="s">
        <v>1317</v>
      </c>
      <c r="Z221" s="109"/>
      <c r="AA221" s="109"/>
      <c r="AB221" s="109"/>
      <c r="AC221" s="109"/>
      <c r="AD221" s="109"/>
      <c r="AE221" s="109"/>
      <c r="AF221" s="109"/>
      <c r="AG221" s="109"/>
      <c r="AH221" s="109"/>
      <c r="AI221" s="109"/>
      <c r="AJ221" s="109"/>
      <c r="AK221" s="109"/>
      <c r="AL221" s="109"/>
      <c r="AM221" s="109"/>
      <c r="AN221" s="109"/>
      <c r="AO221" s="109"/>
      <c r="AP221" s="109"/>
      <c r="AQ221" s="109"/>
      <c r="AR221" s="109"/>
      <c r="AS221" s="109"/>
    </row>
    <row r="222" spans="1:45" ht="12.6" customHeight="1" x14ac:dyDescent="0.3">
      <c r="A222" s="68"/>
      <c r="B222" s="97" t="str">
        <f>" q (콘크리트믹서의 용량(m3))  = "&amp;Z222&amp;", E (작업효율)  = "&amp;AD222&amp;""</f>
        <v xml:space="preserve"> q (콘크리트믹서의 용량(m3))  = 0.45, E (작업효율)  = 0.8</v>
      </c>
      <c r="C222" s="78"/>
      <c r="D222" s="78"/>
      <c r="E222" s="78"/>
      <c r="F222" s="78"/>
      <c r="G222" s="16" t="s">
        <v>1451</v>
      </c>
      <c r="Z222" s="110">
        <v>0.45</v>
      </c>
      <c r="AA222" s="20" t="s">
        <v>1326</v>
      </c>
      <c r="AB222" s="112">
        <f>Z222</f>
        <v>0.45</v>
      </c>
      <c r="AC222" s="20" t="s">
        <v>1385</v>
      </c>
      <c r="AD222" s="110">
        <v>0.8</v>
      </c>
      <c r="AE222" s="20" t="s">
        <v>1326</v>
      </c>
      <c r="AF222" s="112">
        <f>AD222</f>
        <v>0.8</v>
      </c>
      <c r="AG222" s="20" t="s">
        <v>1385</v>
      </c>
      <c r="AH222" s="109"/>
      <c r="AI222" s="109"/>
      <c r="AJ222" s="109"/>
      <c r="AK222" s="109"/>
      <c r="AL222" s="109"/>
      <c r="AM222" s="109"/>
      <c r="AN222" s="109"/>
      <c r="AO222" s="109"/>
      <c r="AP222" s="109"/>
      <c r="AQ222" s="109"/>
      <c r="AR222" s="109"/>
      <c r="AS222" s="109"/>
    </row>
    <row r="223" spans="1:45" ht="12.6" customHeight="1" x14ac:dyDescent="0.3">
      <c r="A223" s="78"/>
      <c r="B223" s="78"/>
      <c r="C223" s="78"/>
      <c r="D223" s="78"/>
      <c r="E223" s="78"/>
      <c r="F223" s="78"/>
      <c r="G223" s="16" t="s">
        <v>1317</v>
      </c>
      <c r="Z223" s="109"/>
      <c r="AA223" s="109"/>
      <c r="AB223" s="109"/>
      <c r="AC223" s="109"/>
      <c r="AD223" s="109"/>
      <c r="AE223" s="109"/>
      <c r="AF223" s="109"/>
      <c r="AG223" s="109"/>
      <c r="AH223" s="109"/>
      <c r="AI223" s="109"/>
      <c r="AJ223" s="109"/>
      <c r="AK223" s="109"/>
      <c r="AL223" s="109"/>
      <c r="AM223" s="109"/>
      <c r="AN223" s="109"/>
      <c r="AO223" s="109"/>
      <c r="AP223" s="109"/>
      <c r="AQ223" s="109"/>
      <c r="AR223" s="109"/>
      <c r="AS223" s="109"/>
    </row>
    <row r="224" spans="1:45" ht="12.6" customHeight="1" x14ac:dyDescent="0.3">
      <c r="A224" s="68"/>
      <c r="B224" s="77" t="s">
        <v>1453</v>
      </c>
      <c r="C224" s="78"/>
      <c r="D224" s="78"/>
      <c r="E224" s="78"/>
      <c r="F224" s="78"/>
      <c r="G224" s="16" t="s">
        <v>1452</v>
      </c>
      <c r="Z224" s="109"/>
      <c r="AA224" s="109"/>
      <c r="AB224" s="109"/>
      <c r="AC224" s="109"/>
      <c r="AD224" s="109"/>
      <c r="AE224" s="109"/>
      <c r="AF224" s="109"/>
      <c r="AG224" s="109"/>
      <c r="AH224" s="109"/>
      <c r="AI224" s="109"/>
      <c r="AJ224" s="109"/>
      <c r="AK224" s="109"/>
      <c r="AL224" s="109"/>
      <c r="AM224" s="109"/>
      <c r="AN224" s="109"/>
      <c r="AO224" s="109"/>
      <c r="AP224" s="109"/>
      <c r="AQ224" s="109"/>
      <c r="AR224" s="109"/>
      <c r="AS224" s="109"/>
    </row>
    <row r="225" spans="1:45" ht="12.6" customHeight="1" x14ac:dyDescent="0.3">
      <c r="A225" s="78"/>
      <c r="B225" s="78"/>
      <c r="C225" s="78"/>
      <c r="D225" s="78"/>
      <c r="E225" s="78"/>
      <c r="F225" s="78"/>
      <c r="G225" s="16" t="s">
        <v>1317</v>
      </c>
      <c r="Z225" s="109"/>
      <c r="AA225" s="109"/>
      <c r="AB225" s="109"/>
      <c r="AC225" s="109"/>
      <c r="AD225" s="109"/>
      <c r="AE225" s="109"/>
      <c r="AF225" s="109"/>
      <c r="AG225" s="109"/>
      <c r="AH225" s="109"/>
      <c r="AI225" s="109"/>
      <c r="AJ225" s="109"/>
      <c r="AK225" s="109"/>
      <c r="AL225" s="109"/>
      <c r="AM225" s="109"/>
      <c r="AN225" s="109"/>
      <c r="AO225" s="109"/>
      <c r="AP225" s="109"/>
      <c r="AQ225" s="109"/>
      <c r="AR225" s="109"/>
      <c r="AS225" s="109"/>
    </row>
    <row r="226" spans="1:45" ht="12.6" customHeight="1" x14ac:dyDescent="0.3">
      <c r="A226" s="68"/>
      <c r="B226" s="97" t="str">
        <f>" Q (콘크리트믹서의 시간당 생산량(m3/hr))  = "&amp;Z226&amp;" * q * E / "&amp;AF226&amp;" = "&amp;AH226&amp;" m3/Hr "</f>
        <v xml:space="preserve"> Q (콘크리트믹서의 시간당 생산량(m3/hr))  = 60 * q * E / 4 = 5.40 m3/Hr </v>
      </c>
      <c r="C226" s="78"/>
      <c r="D226" s="78"/>
      <c r="E226" s="78"/>
      <c r="F226" s="78"/>
      <c r="G226" s="16" t="s">
        <v>1454</v>
      </c>
      <c r="Z226" s="111">
        <v>60</v>
      </c>
      <c r="AA226" s="20" t="s">
        <v>1390</v>
      </c>
      <c r="AB226" s="112">
        <f>AB222</f>
        <v>0.45</v>
      </c>
      <c r="AC226" s="20" t="s">
        <v>1390</v>
      </c>
      <c r="AD226" s="112">
        <f>AF222</f>
        <v>0.8</v>
      </c>
      <c r="AE226" s="20" t="s">
        <v>1387</v>
      </c>
      <c r="AF226" s="111">
        <v>4</v>
      </c>
      <c r="AG226" s="20" t="s">
        <v>1326</v>
      </c>
      <c r="AH226" s="112" t="str">
        <f>TEXT(ROUND(Z226*AB222*AF222/AF226,2),"0.00")</f>
        <v>5.40</v>
      </c>
      <c r="AI226" s="109"/>
      <c r="AJ226" s="109"/>
      <c r="AK226" s="109"/>
      <c r="AL226" s="109"/>
      <c r="AM226" s="109"/>
      <c r="AN226" s="109"/>
      <c r="AO226" s="109"/>
      <c r="AP226" s="109"/>
      <c r="AQ226" s="109"/>
      <c r="AR226" s="109"/>
      <c r="AS226" s="109"/>
    </row>
    <row r="227" spans="1:45" ht="12.6" customHeight="1" x14ac:dyDescent="0.3">
      <c r="A227" s="78"/>
      <c r="B227" s="78"/>
      <c r="C227" s="78"/>
      <c r="D227" s="78"/>
      <c r="E227" s="78"/>
      <c r="F227" s="78"/>
      <c r="G227" s="16" t="s">
        <v>1317</v>
      </c>
      <c r="Z227" s="109"/>
      <c r="AA227" s="109"/>
      <c r="AB227" s="109"/>
      <c r="AC227" s="109"/>
      <c r="AD227" s="109"/>
      <c r="AE227" s="109"/>
      <c r="AF227" s="109"/>
      <c r="AG227" s="109"/>
      <c r="AH227" s="109"/>
      <c r="AI227" s="109"/>
      <c r="AJ227" s="109"/>
      <c r="AK227" s="109"/>
      <c r="AL227" s="109"/>
      <c r="AM227" s="109"/>
      <c r="AN227" s="109"/>
      <c r="AO227" s="109"/>
      <c r="AP227" s="109"/>
      <c r="AQ227" s="109"/>
      <c r="AR227" s="109"/>
      <c r="AS227" s="109"/>
    </row>
    <row r="228" spans="1:45" ht="12.6" customHeight="1" x14ac:dyDescent="0.3">
      <c r="A228" s="78"/>
      <c r="B228" s="78"/>
      <c r="C228" s="78"/>
      <c r="D228" s="78"/>
      <c r="E228" s="78"/>
      <c r="F228" s="78"/>
      <c r="G228" s="16" t="s">
        <v>1317</v>
      </c>
      <c r="Z228" s="109"/>
      <c r="AA228" s="109"/>
      <c r="AB228" s="109"/>
      <c r="AC228" s="109"/>
      <c r="AD228" s="109"/>
      <c r="AE228" s="109"/>
      <c r="AF228" s="109"/>
      <c r="AG228" s="109"/>
      <c r="AH228" s="109"/>
      <c r="AI228" s="109"/>
      <c r="AJ228" s="109"/>
      <c r="AK228" s="109"/>
      <c r="AL228" s="109"/>
      <c r="AM228" s="109"/>
      <c r="AN228" s="109"/>
      <c r="AO228" s="109"/>
      <c r="AP228" s="109"/>
      <c r="AQ228" s="109"/>
      <c r="AR228" s="109"/>
      <c r="AS228" s="109"/>
    </row>
    <row r="229" spans="1:45" ht="12.6" customHeight="1" x14ac:dyDescent="0.3">
      <c r="A229" s="68" t="s">
        <v>1456</v>
      </c>
      <c r="B229" s="97" t="str">
        <f>" 노 무 비  :   "&amp;TEXT(I229,"#,##0"&amp;IF(I229&lt;&gt;INT(I229),".###",""))&amp;" / Q  = "&amp;TEXT(C229,"#,##0.0")&amp;""</f>
        <v xml:space="preserve"> 노 무 비  :   33,571 / Q  = 6,216.8</v>
      </c>
      <c r="C229" s="99">
        <f>E229+D229+F229</f>
        <v>6216.8</v>
      </c>
      <c r="D229" s="99">
        <f>IF(H229=0,0,ROUNDDOWN(J229*H229,1))</f>
        <v>6216.8</v>
      </c>
      <c r="E229" s="99">
        <f>IF(H229=0,0,ROUNDDOWN(K229*H229,1))</f>
        <v>0</v>
      </c>
      <c r="F229" s="99">
        <f>IF(H229=0,0,ROUNDDOWN(L229*H229,1))</f>
        <v>0</v>
      </c>
      <c r="G229" s="16" t="s">
        <v>1455</v>
      </c>
      <c r="H229" s="105">
        <f>AC229</f>
        <v>0.18518518518518517</v>
      </c>
      <c r="I229" s="106">
        <f>K229+J229+L229</f>
        <v>33571</v>
      </c>
      <c r="J229" s="39">
        <f>중기목록표!F17</f>
        <v>33571</v>
      </c>
      <c r="M229" s="20" t="s">
        <v>1457</v>
      </c>
      <c r="N229" s="20" t="s">
        <v>1332</v>
      </c>
      <c r="X229" s="108" t="str">
        <f>중기목록표!B17&amp;" / "&amp;중기목록표!C17</f>
        <v xml:space="preserve">콘크리트믹서0.45m3 / </v>
      </c>
      <c r="Y229" s="19" t="str">
        <f ca="1">HYPERLINK("#"&amp;중기목록표!J2&amp;"!A"&amp;ROW(중기목록표!A17),"중기   14 →")</f>
        <v>중기   14 →</v>
      </c>
      <c r="Z229" s="20" t="s">
        <v>1393</v>
      </c>
      <c r="AA229" s="112" t="str">
        <f>AH226</f>
        <v>5.40</v>
      </c>
      <c r="AB229" s="20" t="s">
        <v>1326</v>
      </c>
      <c r="AC229" s="113">
        <f>1/AH226</f>
        <v>0.18518518518518517</v>
      </c>
      <c r="AD229" s="109"/>
      <c r="AE229" s="109"/>
      <c r="AF229" s="109"/>
      <c r="AG229" s="109"/>
      <c r="AH229" s="109"/>
      <c r="AI229" s="109"/>
      <c r="AJ229" s="109"/>
      <c r="AK229" s="109"/>
      <c r="AL229" s="109"/>
      <c r="AM229" s="109"/>
      <c r="AN229" s="109"/>
      <c r="AO229" s="109"/>
      <c r="AP229" s="109"/>
      <c r="AQ229" s="109"/>
      <c r="AR229" s="109"/>
      <c r="AS229" s="109"/>
    </row>
    <row r="230" spans="1:45" ht="12.6" customHeight="1" x14ac:dyDescent="0.3">
      <c r="A230" s="78"/>
      <c r="B230" s="78"/>
      <c r="C230" s="78"/>
      <c r="D230" s="78"/>
      <c r="E230" s="78"/>
      <c r="F230" s="78"/>
      <c r="G230" s="16" t="s">
        <v>1317</v>
      </c>
      <c r="Z230" s="109"/>
      <c r="AA230" s="109"/>
      <c r="AB230" s="109"/>
      <c r="AC230" s="109"/>
      <c r="AD230" s="109"/>
      <c r="AE230" s="109"/>
      <c r="AF230" s="109"/>
      <c r="AG230" s="109"/>
      <c r="AH230" s="109"/>
      <c r="AI230" s="109"/>
      <c r="AJ230" s="109"/>
      <c r="AK230" s="109"/>
      <c r="AL230" s="109"/>
      <c r="AM230" s="109"/>
      <c r="AN230" s="109"/>
      <c r="AO230" s="109"/>
      <c r="AP230" s="109"/>
      <c r="AQ230" s="109"/>
      <c r="AR230" s="109"/>
      <c r="AS230" s="109"/>
    </row>
    <row r="231" spans="1:45" ht="12.6" customHeight="1" x14ac:dyDescent="0.3">
      <c r="A231" s="78"/>
      <c r="B231" s="78"/>
      <c r="C231" s="78"/>
      <c r="D231" s="78"/>
      <c r="E231" s="78"/>
      <c r="F231" s="78"/>
      <c r="G231" s="16" t="s">
        <v>1317</v>
      </c>
      <c r="Z231" s="109"/>
      <c r="AA231" s="109"/>
      <c r="AB231" s="109"/>
      <c r="AC231" s="109"/>
      <c r="AD231" s="109"/>
      <c r="AE231" s="109"/>
      <c r="AF231" s="109"/>
      <c r="AG231" s="109"/>
      <c r="AH231" s="109"/>
      <c r="AI231" s="109"/>
      <c r="AJ231" s="109"/>
      <c r="AK231" s="109"/>
      <c r="AL231" s="109"/>
      <c r="AM231" s="109"/>
      <c r="AN231" s="109"/>
      <c r="AO231" s="109"/>
      <c r="AP231" s="109"/>
      <c r="AQ231" s="109"/>
      <c r="AR231" s="109"/>
      <c r="AS231" s="109"/>
    </row>
    <row r="232" spans="1:45" ht="12.6" customHeight="1" x14ac:dyDescent="0.3">
      <c r="A232" s="68" t="s">
        <v>1459</v>
      </c>
      <c r="B232" s="97" t="str">
        <f>" 재 료 비  :   "&amp;TEXT(I232,"#,##0"&amp;IF(I232&lt;&gt;INT(I232),".###",""))&amp;" / Q  = "&amp;TEXT(C232,"#,##0.0")&amp;""</f>
        <v xml:space="preserve"> 재 료 비  :   5,445 / Q  = 1,008.3</v>
      </c>
      <c r="C232" s="99">
        <f>E232+D232+F232</f>
        <v>1008.3</v>
      </c>
      <c r="D232" s="99">
        <f>IF(H232=0,0,ROUNDDOWN(J232*H232,1))</f>
        <v>0</v>
      </c>
      <c r="E232" s="99">
        <f>IF(H232=0,0,ROUNDDOWN(K232*H232,1))</f>
        <v>1008.3</v>
      </c>
      <c r="F232" s="99">
        <f>IF(H232=0,0,ROUNDDOWN(L232*H232,1))</f>
        <v>0</v>
      </c>
      <c r="G232" s="16" t="s">
        <v>1458</v>
      </c>
      <c r="H232" s="105">
        <f>AC232</f>
        <v>0.18518518518518517</v>
      </c>
      <c r="I232" s="106">
        <f>K232+J232+L232</f>
        <v>5445</v>
      </c>
      <c r="K232" s="39">
        <f>중기목록표!G17</f>
        <v>5445</v>
      </c>
      <c r="M232" s="20" t="s">
        <v>1457</v>
      </c>
      <c r="N232" s="20" t="s">
        <v>1332</v>
      </c>
      <c r="X232" s="108" t="str">
        <f>중기목록표!B17&amp;" / "&amp;중기목록표!C17</f>
        <v xml:space="preserve">콘크리트믹서0.45m3 / </v>
      </c>
      <c r="Y232" s="19" t="str">
        <f ca="1">HYPERLINK("#"&amp;중기목록표!J2&amp;"!A"&amp;ROW(중기목록표!A17),"중기   14 →")</f>
        <v>중기   14 →</v>
      </c>
      <c r="Z232" s="20" t="s">
        <v>1393</v>
      </c>
      <c r="AA232" s="112" t="str">
        <f>AH226</f>
        <v>5.40</v>
      </c>
      <c r="AB232" s="20" t="s">
        <v>1326</v>
      </c>
      <c r="AC232" s="113">
        <f>1/AH226</f>
        <v>0.18518518518518517</v>
      </c>
      <c r="AD232" s="109"/>
      <c r="AE232" s="109"/>
      <c r="AF232" s="109"/>
      <c r="AG232" s="109"/>
      <c r="AH232" s="109"/>
      <c r="AI232" s="109"/>
      <c r="AJ232" s="109"/>
      <c r="AK232" s="109"/>
      <c r="AL232" s="109"/>
      <c r="AM232" s="109"/>
      <c r="AN232" s="109"/>
      <c r="AO232" s="109"/>
      <c r="AP232" s="109"/>
      <c r="AQ232" s="109"/>
      <c r="AR232" s="109"/>
      <c r="AS232" s="109"/>
    </row>
    <row r="233" spans="1:45" ht="12.6" customHeight="1" x14ac:dyDescent="0.3">
      <c r="A233" s="78"/>
      <c r="B233" s="78"/>
      <c r="C233" s="78"/>
      <c r="D233" s="78"/>
      <c r="E233" s="78"/>
      <c r="F233" s="78"/>
      <c r="G233" s="16" t="s">
        <v>1317</v>
      </c>
      <c r="Z233" s="109"/>
      <c r="AA233" s="109"/>
      <c r="AB233" s="109"/>
      <c r="AC233" s="109"/>
      <c r="AD233" s="109"/>
      <c r="AE233" s="109"/>
      <c r="AF233" s="109"/>
      <c r="AG233" s="109"/>
      <c r="AH233" s="109"/>
      <c r="AI233" s="109"/>
      <c r="AJ233" s="109"/>
      <c r="AK233" s="109"/>
      <c r="AL233" s="109"/>
      <c r="AM233" s="109"/>
      <c r="AN233" s="109"/>
      <c r="AO233" s="109"/>
      <c r="AP233" s="109"/>
      <c r="AQ233" s="109"/>
      <c r="AR233" s="109"/>
      <c r="AS233" s="109"/>
    </row>
    <row r="234" spans="1:45" ht="12.6" customHeight="1" x14ac:dyDescent="0.3">
      <c r="A234" s="78"/>
      <c r="B234" s="78"/>
      <c r="C234" s="78"/>
      <c r="D234" s="78"/>
      <c r="E234" s="78"/>
      <c r="F234" s="78"/>
      <c r="G234" s="16" t="s">
        <v>1317</v>
      </c>
      <c r="Z234" s="109"/>
      <c r="AA234" s="109"/>
      <c r="AB234" s="109"/>
      <c r="AC234" s="109"/>
      <c r="AD234" s="109"/>
      <c r="AE234" s="109"/>
      <c r="AF234" s="109"/>
      <c r="AG234" s="109"/>
      <c r="AH234" s="109"/>
      <c r="AI234" s="109"/>
      <c r="AJ234" s="109"/>
      <c r="AK234" s="109"/>
      <c r="AL234" s="109"/>
      <c r="AM234" s="109"/>
      <c r="AN234" s="109"/>
      <c r="AO234" s="109"/>
      <c r="AP234" s="109"/>
      <c r="AQ234" s="109"/>
      <c r="AR234" s="109"/>
      <c r="AS234" s="109"/>
    </row>
    <row r="235" spans="1:45" ht="12.6" customHeight="1" x14ac:dyDescent="0.3">
      <c r="A235" s="68" t="s">
        <v>1461</v>
      </c>
      <c r="B235" s="97" t="str">
        <f>" 경    비  :   "&amp;TEXT(I235,"#,##0"&amp;IF(I235&lt;&gt;INT(I235),".###",""))&amp;" / Q  = "&amp;TEXT(C235,"#,##0.0")&amp;""</f>
        <v xml:space="preserve"> 경    비  :   1,643 / Q  = 304.2</v>
      </c>
      <c r="C235" s="99">
        <f>E235+D235+F235</f>
        <v>304.2</v>
      </c>
      <c r="D235" s="99">
        <f>IF(H235=0,0,ROUNDDOWN(J235*H235,1))</f>
        <v>0</v>
      </c>
      <c r="E235" s="99">
        <f>IF(H235=0,0,ROUNDDOWN(K235*H235,1))</f>
        <v>0</v>
      </c>
      <c r="F235" s="99">
        <f>IF(H235=0,0,ROUNDDOWN(L235*H235,1))</f>
        <v>304.2</v>
      </c>
      <c r="G235" s="16" t="s">
        <v>1460</v>
      </c>
      <c r="H235" s="105">
        <f>AC235</f>
        <v>0.18518518518518517</v>
      </c>
      <c r="I235" s="106">
        <f>K235+J235+L235</f>
        <v>1643</v>
      </c>
      <c r="L235" s="39">
        <f>중기목록표!H17</f>
        <v>1643</v>
      </c>
      <c r="M235" s="20" t="s">
        <v>1457</v>
      </c>
      <c r="N235" s="20" t="s">
        <v>1332</v>
      </c>
      <c r="X235" s="108" t="str">
        <f>중기목록표!B17&amp;" / "&amp;중기목록표!C17</f>
        <v xml:space="preserve">콘크리트믹서0.45m3 / </v>
      </c>
      <c r="Y235" s="19" t="str">
        <f ca="1">HYPERLINK("#"&amp;중기목록표!J2&amp;"!A"&amp;ROW(중기목록표!A17),"중기   14 →")</f>
        <v>중기   14 →</v>
      </c>
      <c r="Z235" s="20" t="s">
        <v>1393</v>
      </c>
      <c r="AA235" s="112" t="str">
        <f>AH226</f>
        <v>5.40</v>
      </c>
      <c r="AB235" s="20" t="s">
        <v>1326</v>
      </c>
      <c r="AC235" s="113">
        <f>1/AH226</f>
        <v>0.18518518518518517</v>
      </c>
      <c r="AD235" s="109"/>
      <c r="AE235" s="109"/>
      <c r="AF235" s="109"/>
      <c r="AG235" s="109"/>
      <c r="AH235" s="109"/>
      <c r="AI235" s="109"/>
      <c r="AJ235" s="109"/>
      <c r="AK235" s="109"/>
      <c r="AL235" s="109"/>
      <c r="AM235" s="109"/>
      <c r="AN235" s="109"/>
      <c r="AO235" s="109"/>
      <c r="AP235" s="109"/>
      <c r="AQ235" s="109"/>
      <c r="AR235" s="109"/>
      <c r="AS235" s="109"/>
    </row>
    <row r="236" spans="1:45" ht="12.6" customHeight="1" x14ac:dyDescent="0.3">
      <c r="A236" s="78"/>
      <c r="B236" s="78"/>
      <c r="C236" s="78"/>
      <c r="D236" s="78"/>
      <c r="E236" s="78"/>
      <c r="F236" s="78"/>
      <c r="G236" s="16" t="s">
        <v>1317</v>
      </c>
      <c r="Z236" s="109"/>
      <c r="AA236" s="109"/>
      <c r="AB236" s="109"/>
      <c r="AC236" s="109"/>
      <c r="AD236" s="109"/>
      <c r="AE236" s="109"/>
      <c r="AF236" s="109"/>
      <c r="AG236" s="109"/>
      <c r="AH236" s="109"/>
      <c r="AI236" s="109"/>
      <c r="AJ236" s="109"/>
      <c r="AK236" s="109"/>
      <c r="AL236" s="109"/>
      <c r="AM236" s="109"/>
      <c r="AN236" s="109"/>
      <c r="AO236" s="109"/>
      <c r="AP236" s="109"/>
      <c r="AQ236" s="109"/>
      <c r="AR236" s="109"/>
      <c r="AS236" s="109"/>
    </row>
    <row r="237" spans="1:45" ht="12.6" customHeight="1" x14ac:dyDescent="0.3">
      <c r="A237" s="68"/>
      <c r="B237" s="77" t="s">
        <v>1331</v>
      </c>
      <c r="C237" s="100">
        <f>E237+D237+F237</f>
        <v>7529.3</v>
      </c>
      <c r="D237" s="100">
        <f>SUMIF(N217:N236,M237,D217:D236)</f>
        <v>6216.8</v>
      </c>
      <c r="E237" s="100">
        <f>SUMIF(N217:N236,M237,E217:E236)</f>
        <v>1008.3</v>
      </c>
      <c r="F237" s="100">
        <f>SUMIF(N217:N236,M237,F217:F236)</f>
        <v>304.2</v>
      </c>
      <c r="G237" s="16" t="s">
        <v>1415</v>
      </c>
      <c r="M237" s="20" t="s">
        <v>1332</v>
      </c>
      <c r="N237" s="20" t="s">
        <v>1128</v>
      </c>
      <c r="Z237" s="109"/>
      <c r="AA237" s="109"/>
      <c r="AB237" s="109"/>
      <c r="AC237" s="109"/>
      <c r="AD237" s="109"/>
      <c r="AE237" s="109"/>
      <c r="AF237" s="109"/>
      <c r="AG237" s="109"/>
      <c r="AH237" s="109"/>
      <c r="AI237" s="109"/>
      <c r="AJ237" s="109"/>
      <c r="AK237" s="109"/>
      <c r="AL237" s="109"/>
      <c r="AM237" s="109"/>
      <c r="AN237" s="109"/>
      <c r="AO237" s="109"/>
      <c r="AP237" s="109"/>
      <c r="AQ237" s="109"/>
      <c r="AR237" s="109"/>
      <c r="AS237" s="109"/>
    </row>
    <row r="238" spans="1:45" ht="12.6" customHeight="1" x14ac:dyDescent="0.3">
      <c r="A238" s="78"/>
      <c r="B238" s="78"/>
      <c r="C238" s="98"/>
      <c r="D238" s="98"/>
      <c r="E238" s="98"/>
      <c r="F238" s="98"/>
      <c r="Z238" s="109"/>
      <c r="AA238" s="109"/>
      <c r="AB238" s="109"/>
      <c r="AC238" s="109"/>
      <c r="AD238" s="109"/>
      <c r="AE238" s="109"/>
      <c r="AF238" s="109"/>
      <c r="AG238" s="109"/>
      <c r="AH238" s="109"/>
      <c r="AI238" s="109"/>
      <c r="AJ238" s="109"/>
      <c r="AK238" s="109"/>
      <c r="AL238" s="109"/>
      <c r="AM238" s="109"/>
      <c r="AN238" s="109"/>
      <c r="AO238" s="109"/>
      <c r="AP238" s="109"/>
      <c r="AQ238" s="109"/>
      <c r="AR238" s="109"/>
      <c r="AS238" s="109"/>
    </row>
    <row r="239" spans="1:45" ht="12.6" customHeight="1" x14ac:dyDescent="0.3">
      <c r="A239" s="78"/>
      <c r="B239" s="78"/>
      <c r="C239" s="78"/>
      <c r="D239" s="78"/>
      <c r="E239" s="78"/>
      <c r="F239" s="78"/>
      <c r="Z239" s="109"/>
      <c r="AA239" s="109"/>
      <c r="AB239" s="109"/>
      <c r="AC239" s="109"/>
      <c r="AD239" s="109"/>
      <c r="AE239" s="109"/>
      <c r="AF239" s="109"/>
      <c r="AG239" s="109"/>
      <c r="AH239" s="109"/>
      <c r="AI239" s="109"/>
      <c r="AJ239" s="109"/>
      <c r="AK239" s="109"/>
      <c r="AL239" s="109"/>
      <c r="AM239" s="109"/>
      <c r="AN239" s="109"/>
      <c r="AO239" s="109"/>
      <c r="AP239" s="109"/>
      <c r="AQ239" s="109"/>
      <c r="AR239" s="109"/>
      <c r="AS239" s="109"/>
    </row>
    <row r="240" spans="1:45" ht="12.6" customHeight="1" x14ac:dyDescent="0.3">
      <c r="A240" s="78"/>
      <c r="B240" s="78"/>
      <c r="C240" s="78"/>
      <c r="D240" s="78"/>
      <c r="E240" s="78"/>
      <c r="F240" s="78"/>
      <c r="Z240" s="109"/>
      <c r="AA240" s="109"/>
      <c r="AB240" s="109"/>
      <c r="AC240" s="109"/>
      <c r="AD240" s="109"/>
      <c r="AE240" s="109"/>
      <c r="AF240" s="109"/>
      <c r="AG240" s="109"/>
      <c r="AH240" s="109"/>
      <c r="AI240" s="109"/>
      <c r="AJ240" s="109"/>
      <c r="AK240" s="109"/>
      <c r="AL240" s="109"/>
      <c r="AM240" s="109"/>
      <c r="AN240" s="109"/>
      <c r="AO240" s="109"/>
      <c r="AP240" s="109"/>
      <c r="AQ240" s="109"/>
      <c r="AR240" s="109"/>
      <c r="AS240" s="109"/>
    </row>
    <row r="241" spans="1:45" ht="12.6" customHeight="1" x14ac:dyDescent="0.3">
      <c r="A241" s="78"/>
      <c r="B241" s="78"/>
      <c r="C241" s="78"/>
      <c r="D241" s="78"/>
      <c r="E241" s="78"/>
      <c r="F241" s="78"/>
      <c r="Z241" s="109"/>
      <c r="AA241" s="109"/>
      <c r="AB241" s="109"/>
      <c r="AC241" s="109"/>
      <c r="AD241" s="109"/>
      <c r="AE241" s="109"/>
      <c r="AF241" s="109"/>
      <c r="AG241" s="109"/>
      <c r="AH241" s="109"/>
      <c r="AI241" s="109"/>
      <c r="AJ241" s="109"/>
      <c r="AK241" s="109"/>
      <c r="AL241" s="109"/>
      <c r="AM241" s="109"/>
      <c r="AN241" s="109"/>
      <c r="AO241" s="109"/>
      <c r="AP241" s="109"/>
      <c r="AQ241" s="109"/>
      <c r="AR241" s="109"/>
      <c r="AS241" s="109"/>
    </row>
    <row r="242" spans="1:45" ht="12.6" customHeight="1" x14ac:dyDescent="0.3">
      <c r="A242" s="78"/>
      <c r="B242" s="78"/>
      <c r="C242" s="78"/>
      <c r="D242" s="78"/>
      <c r="E242" s="78"/>
      <c r="F242" s="78"/>
      <c r="Z242" s="109"/>
      <c r="AA242" s="109"/>
      <c r="AB242" s="109"/>
      <c r="AC242" s="109"/>
      <c r="AD242" s="109"/>
      <c r="AE242" s="109"/>
      <c r="AF242" s="109"/>
      <c r="AG242" s="109"/>
      <c r="AH242" s="109"/>
      <c r="AI242" s="109"/>
      <c r="AJ242" s="109"/>
      <c r="AK242" s="109"/>
      <c r="AL242" s="109"/>
      <c r="AM242" s="109"/>
      <c r="AN242" s="109"/>
      <c r="AO242" s="109"/>
      <c r="AP242" s="109"/>
      <c r="AQ242" s="109"/>
      <c r="AR242" s="109"/>
      <c r="AS242" s="109"/>
    </row>
    <row r="243" spans="1:45" ht="12.6" customHeight="1" x14ac:dyDescent="0.3">
      <c r="A243" s="78"/>
      <c r="B243" s="78"/>
      <c r="C243" s="78"/>
      <c r="D243" s="78"/>
      <c r="E243" s="78"/>
      <c r="F243" s="78"/>
      <c r="Z243" s="109"/>
      <c r="AA243" s="109"/>
      <c r="AB243" s="109"/>
      <c r="AC243" s="109"/>
      <c r="AD243" s="109"/>
      <c r="AE243" s="109"/>
      <c r="AF243" s="109"/>
      <c r="AG243" s="109"/>
      <c r="AH243" s="109"/>
      <c r="AI243" s="109"/>
      <c r="AJ243" s="109"/>
      <c r="AK243" s="109"/>
      <c r="AL243" s="109"/>
      <c r="AM243" s="109"/>
      <c r="AN243" s="109"/>
      <c r="AO243" s="109"/>
      <c r="AP243" s="109"/>
      <c r="AQ243" s="109"/>
      <c r="AR243" s="109"/>
      <c r="AS243" s="109"/>
    </row>
    <row r="244" spans="1:45" ht="12.6" customHeight="1" x14ac:dyDescent="0.3">
      <c r="A244" s="78"/>
      <c r="B244" s="78"/>
      <c r="C244" s="78"/>
      <c r="D244" s="78"/>
      <c r="E244" s="78"/>
      <c r="F244" s="78"/>
      <c r="Z244" s="109"/>
      <c r="AA244" s="109"/>
      <c r="AB244" s="109"/>
      <c r="AC244" s="109"/>
      <c r="AD244" s="109"/>
      <c r="AE244" s="109"/>
      <c r="AF244" s="109"/>
      <c r="AG244" s="109"/>
      <c r="AH244" s="109"/>
      <c r="AI244" s="109"/>
      <c r="AJ244" s="109"/>
      <c r="AK244" s="109"/>
      <c r="AL244" s="109"/>
      <c r="AM244" s="109"/>
      <c r="AN244" s="109"/>
      <c r="AO244" s="109"/>
      <c r="AP244" s="109"/>
      <c r="AQ244" s="109"/>
      <c r="AR244" s="109"/>
      <c r="AS244" s="109"/>
    </row>
    <row r="245" spans="1:45" ht="12.6" customHeight="1" x14ac:dyDescent="0.3">
      <c r="A245" s="78"/>
      <c r="B245" s="78"/>
      <c r="C245" s="78"/>
      <c r="D245" s="78"/>
      <c r="E245" s="78"/>
      <c r="F245" s="78"/>
      <c r="Z245" s="109"/>
      <c r="AA245" s="109"/>
      <c r="AB245" s="109"/>
      <c r="AC245" s="109"/>
      <c r="AD245" s="109"/>
      <c r="AE245" s="109"/>
      <c r="AF245" s="109"/>
      <c r="AG245" s="109"/>
      <c r="AH245" s="109"/>
      <c r="AI245" s="109"/>
      <c r="AJ245" s="109"/>
      <c r="AK245" s="109"/>
      <c r="AL245" s="109"/>
      <c r="AM245" s="109"/>
      <c r="AN245" s="109"/>
      <c r="AO245" s="109"/>
      <c r="AP245" s="109"/>
      <c r="AQ245" s="109"/>
      <c r="AR245" s="109"/>
      <c r="AS245" s="109"/>
    </row>
    <row r="246" spans="1:45" ht="12.6" customHeight="1" x14ac:dyDescent="0.3">
      <c r="A246" s="78"/>
      <c r="B246" s="78"/>
      <c r="C246" s="78"/>
      <c r="D246" s="78"/>
      <c r="E246" s="78"/>
      <c r="F246" s="78"/>
      <c r="Z246" s="109"/>
      <c r="AA246" s="109"/>
      <c r="AB246" s="109"/>
      <c r="AC246" s="109"/>
      <c r="AD246" s="109"/>
      <c r="AE246" s="109"/>
      <c r="AF246" s="109"/>
      <c r="AG246" s="109"/>
      <c r="AH246" s="109"/>
      <c r="AI246" s="109"/>
      <c r="AJ246" s="109"/>
      <c r="AK246" s="109"/>
      <c r="AL246" s="109"/>
      <c r="AM246" s="109"/>
      <c r="AN246" s="109"/>
      <c r="AO246" s="109"/>
      <c r="AP246" s="109"/>
      <c r="AQ246" s="109"/>
      <c r="AR246" s="109"/>
      <c r="AS246" s="109"/>
    </row>
    <row r="247" spans="1:45" ht="12.6" customHeight="1" x14ac:dyDescent="0.3">
      <c r="A247" s="78"/>
      <c r="B247" s="78"/>
      <c r="C247" s="78"/>
      <c r="D247" s="78"/>
      <c r="E247" s="78"/>
      <c r="F247" s="78"/>
      <c r="Z247" s="109"/>
      <c r="AA247" s="109"/>
      <c r="AB247" s="109"/>
      <c r="AC247" s="109"/>
      <c r="AD247" s="109"/>
      <c r="AE247" s="109"/>
      <c r="AF247" s="109"/>
      <c r="AG247" s="109"/>
      <c r="AH247" s="109"/>
      <c r="AI247" s="109"/>
      <c r="AJ247" s="109"/>
      <c r="AK247" s="109"/>
      <c r="AL247" s="109"/>
      <c r="AM247" s="109"/>
      <c r="AN247" s="109"/>
      <c r="AO247" s="109"/>
      <c r="AP247" s="109"/>
      <c r="AQ247" s="109"/>
      <c r="AR247" s="109"/>
      <c r="AS247" s="109"/>
    </row>
    <row r="248" spans="1:45" ht="12.6" customHeight="1" x14ac:dyDescent="0.3">
      <c r="A248" s="58"/>
      <c r="B248" s="58"/>
      <c r="C248" s="58"/>
      <c r="D248" s="58"/>
      <c r="E248" s="58"/>
      <c r="F248" s="58"/>
      <c r="Z248" s="109"/>
      <c r="AA248" s="109"/>
      <c r="AB248" s="109"/>
      <c r="AC248" s="109"/>
      <c r="AD248" s="109"/>
      <c r="AE248" s="109"/>
      <c r="AF248" s="109"/>
      <c r="AG248" s="109"/>
      <c r="AH248" s="109"/>
      <c r="AI248" s="109"/>
      <c r="AJ248" s="109"/>
      <c r="AK248" s="109"/>
      <c r="AL248" s="109"/>
      <c r="AM248" s="109"/>
      <c r="AN248" s="109"/>
      <c r="AO248" s="109"/>
      <c r="AP248" s="109"/>
      <c r="AQ248" s="109"/>
      <c r="AR248" s="109"/>
      <c r="AS248" s="109"/>
    </row>
    <row r="249" spans="1:45" ht="12.6" customHeight="1" x14ac:dyDescent="0.3">
      <c r="A249" s="159" t="s">
        <v>1401</v>
      </c>
      <c r="B249" s="152"/>
      <c r="C249" s="55">
        <f>E249+D249+F249</f>
        <v>7528</v>
      </c>
      <c r="D249" s="54">
        <f>ROUNDDOWN(SUMIF(N217:N237,M249,D217:D237),0)</f>
        <v>6216</v>
      </c>
      <c r="E249" s="63">
        <f>ROUNDDOWN(SUMIF(N217:N237,M249,E217:E237),0)</f>
        <v>1008</v>
      </c>
      <c r="F249" s="55">
        <f>ROUNDDOWN(SUMIF(N217:N237,M249,F217:F237),0)</f>
        <v>304</v>
      </c>
      <c r="M249" s="20" t="s">
        <v>1128</v>
      </c>
      <c r="Z249" s="109"/>
      <c r="AA249" s="109"/>
      <c r="AB249" s="109"/>
      <c r="AC249" s="109"/>
      <c r="AD249" s="109"/>
      <c r="AE249" s="109"/>
      <c r="AF249" s="109"/>
      <c r="AG249" s="109"/>
      <c r="AH249" s="109"/>
      <c r="AI249" s="109"/>
      <c r="AJ249" s="109"/>
      <c r="AK249" s="109"/>
      <c r="AL249" s="109"/>
      <c r="AM249" s="109"/>
      <c r="AN249" s="109"/>
      <c r="AO249" s="109"/>
      <c r="AP249" s="109"/>
      <c r="AQ249" s="109"/>
      <c r="AR249" s="109"/>
      <c r="AS249" s="109"/>
    </row>
    <row r="250" spans="1:45" ht="12.6" customHeight="1" x14ac:dyDescent="0.3">
      <c r="A250" s="95" t="s">
        <v>33</v>
      </c>
      <c r="B250" s="96" t="s">
        <v>33</v>
      </c>
      <c r="C250" s="158">
        <f>C284</f>
        <v>418</v>
      </c>
      <c r="D250" s="158">
        <f>D284</f>
        <v>241</v>
      </c>
      <c r="E250" s="158">
        <f>E284</f>
        <v>77</v>
      </c>
      <c r="F250" s="158">
        <f>F284</f>
        <v>100</v>
      </c>
      <c r="G250" s="36" t="str">
        <f>HYPERLINK("#G"&amp;ROW(G279),"_x0005_`BDCOD|D00154_x0007_`POSS|"&amp;ROW(G252)&amp;"_x0007_`POSE|"&amp;ROW(G279)&amp;"_x0007_`")</f>
        <v>_x0005_`BDCOD|D00154_x0007_`POSS|252_x0007_`POSE|279_x0007_`</v>
      </c>
      <c r="Z250" s="109"/>
      <c r="AA250" s="109"/>
      <c r="AB250" s="109"/>
      <c r="AC250" s="109"/>
      <c r="AD250" s="109"/>
      <c r="AE250" s="109"/>
      <c r="AF250" s="109"/>
      <c r="AG250" s="109"/>
      <c r="AH250" s="109"/>
      <c r="AI250" s="109"/>
      <c r="AJ250" s="109"/>
      <c r="AK250" s="109"/>
      <c r="AL250" s="109"/>
      <c r="AM250" s="109"/>
      <c r="AN250" s="109"/>
      <c r="AO250" s="109"/>
      <c r="AP250" s="109"/>
      <c r="AQ250" s="109"/>
      <c r="AR250" s="109"/>
      <c r="AS250" s="109"/>
    </row>
    <row r="251" spans="1:45" ht="12.6" customHeight="1" x14ac:dyDescent="0.3">
      <c r="A251" s="84"/>
      <c r="B251" s="96" t="s">
        <v>183</v>
      </c>
      <c r="C251" s="141"/>
      <c r="D251" s="141"/>
      <c r="E251" s="141"/>
      <c r="F251" s="141"/>
      <c r="M251" s="20" t="s">
        <v>182</v>
      </c>
      <c r="Z251" s="109"/>
      <c r="AA251" s="109"/>
      <c r="AB251" s="109"/>
      <c r="AC251" s="109"/>
      <c r="AD251" s="109"/>
      <c r="AE251" s="109"/>
      <c r="AF251" s="109"/>
      <c r="AG251" s="109"/>
      <c r="AH251" s="109"/>
      <c r="AI251" s="109"/>
      <c r="AJ251" s="109"/>
      <c r="AK251" s="109"/>
      <c r="AL251" s="109"/>
      <c r="AM251" s="109"/>
      <c r="AN251" s="109"/>
      <c r="AO251" s="109"/>
      <c r="AP251" s="109"/>
      <c r="AQ251" s="109"/>
      <c r="AR251" s="109"/>
      <c r="AS251" s="109"/>
    </row>
    <row r="252" spans="1:45" ht="12.6" customHeight="1" x14ac:dyDescent="0.3">
      <c r="A252" s="78"/>
      <c r="B252" s="78"/>
      <c r="C252" s="98"/>
      <c r="D252" s="98"/>
      <c r="E252" s="98"/>
      <c r="F252" s="98"/>
      <c r="G252" s="16" t="s">
        <v>1317</v>
      </c>
      <c r="Z252" s="109"/>
      <c r="AA252" s="109"/>
      <c r="AB252" s="109"/>
      <c r="AC252" s="109"/>
      <c r="AD252" s="109"/>
      <c r="AE252" s="109"/>
      <c r="AF252" s="109"/>
      <c r="AG252" s="109"/>
      <c r="AH252" s="109"/>
      <c r="AI252" s="109"/>
      <c r="AJ252" s="109"/>
      <c r="AK252" s="109"/>
      <c r="AL252" s="109"/>
      <c r="AM252" s="109"/>
      <c r="AN252" s="109"/>
      <c r="AO252" s="109"/>
      <c r="AP252" s="109"/>
      <c r="AQ252" s="109"/>
      <c r="AR252" s="109"/>
      <c r="AS252" s="109"/>
    </row>
    <row r="253" spans="1:45" ht="12.6" customHeight="1" x14ac:dyDescent="0.3">
      <c r="A253" s="68"/>
      <c r="B253" s="77" t="s">
        <v>1463</v>
      </c>
      <c r="C253" s="78"/>
      <c r="D253" s="78"/>
      <c r="E253" s="78"/>
      <c r="F253" s="78"/>
      <c r="G253" s="16" t="s">
        <v>1462</v>
      </c>
      <c r="Z253" s="109"/>
      <c r="AA253" s="109"/>
      <c r="AB253" s="109"/>
      <c r="AC253" s="109"/>
      <c r="AD253" s="109"/>
      <c r="AE253" s="109"/>
      <c r="AF253" s="109"/>
      <c r="AG253" s="109"/>
      <c r="AH253" s="109"/>
      <c r="AI253" s="109"/>
      <c r="AJ253" s="109"/>
      <c r="AK253" s="109"/>
      <c r="AL253" s="109"/>
      <c r="AM253" s="109"/>
      <c r="AN253" s="109"/>
      <c r="AO253" s="109"/>
      <c r="AP253" s="109"/>
      <c r="AQ253" s="109"/>
      <c r="AR253" s="109"/>
      <c r="AS253" s="109"/>
    </row>
    <row r="254" spans="1:45" ht="12.6" customHeight="1" x14ac:dyDescent="0.3">
      <c r="A254" s="78"/>
      <c r="B254" s="78"/>
      <c r="C254" s="78"/>
      <c r="D254" s="78"/>
      <c r="E254" s="78"/>
      <c r="F254" s="78"/>
      <c r="G254" s="16" t="s">
        <v>1317</v>
      </c>
      <c r="Z254" s="109"/>
      <c r="AA254" s="109"/>
      <c r="AB254" s="109"/>
      <c r="AC254" s="109"/>
      <c r="AD254" s="109"/>
      <c r="AE254" s="109"/>
      <c r="AF254" s="109"/>
      <c r="AG254" s="109"/>
      <c r="AH254" s="109"/>
      <c r="AI254" s="109"/>
      <c r="AJ254" s="109"/>
      <c r="AK254" s="109"/>
      <c r="AL254" s="109"/>
      <c r="AM254" s="109"/>
      <c r="AN254" s="109"/>
      <c r="AO254" s="109"/>
      <c r="AP254" s="109"/>
      <c r="AQ254" s="109"/>
      <c r="AR254" s="109"/>
      <c r="AS254" s="109"/>
    </row>
    <row r="255" spans="1:45" ht="12.6" customHeight="1" x14ac:dyDescent="0.3">
      <c r="A255" s="68"/>
      <c r="B255" s="77" t="s">
        <v>1465</v>
      </c>
      <c r="C255" s="78"/>
      <c r="D255" s="78"/>
      <c r="E255" s="78"/>
      <c r="F255" s="78"/>
      <c r="G255" s="16" t="s">
        <v>1464</v>
      </c>
      <c r="Z255" s="109"/>
      <c r="AA255" s="109"/>
      <c r="AB255" s="109"/>
      <c r="AC255" s="109"/>
      <c r="AD255" s="109"/>
      <c r="AE255" s="109"/>
      <c r="AF255" s="109"/>
      <c r="AG255" s="109"/>
      <c r="AH255" s="109"/>
      <c r="AI255" s="109"/>
      <c r="AJ255" s="109"/>
      <c r="AK255" s="109"/>
      <c r="AL255" s="109"/>
      <c r="AM255" s="109"/>
      <c r="AN255" s="109"/>
      <c r="AO255" s="109"/>
      <c r="AP255" s="109"/>
      <c r="AQ255" s="109"/>
      <c r="AR255" s="109"/>
      <c r="AS255" s="109"/>
    </row>
    <row r="256" spans="1:45" ht="12.6" customHeight="1" x14ac:dyDescent="0.3">
      <c r="A256" s="78"/>
      <c r="B256" s="78"/>
      <c r="C256" s="78"/>
      <c r="D256" s="78"/>
      <c r="E256" s="78"/>
      <c r="F256" s="78"/>
      <c r="G256" s="16" t="s">
        <v>1317</v>
      </c>
      <c r="Z256" s="109"/>
      <c r="AA256" s="109"/>
      <c r="AB256" s="109"/>
      <c r="AC256" s="109"/>
      <c r="AD256" s="109"/>
      <c r="AE256" s="109"/>
      <c r="AF256" s="109"/>
      <c r="AG256" s="109"/>
      <c r="AH256" s="109"/>
      <c r="AI256" s="109"/>
      <c r="AJ256" s="109"/>
      <c r="AK256" s="109"/>
      <c r="AL256" s="109"/>
      <c r="AM256" s="109"/>
      <c r="AN256" s="109"/>
      <c r="AO256" s="109"/>
      <c r="AP256" s="109"/>
      <c r="AQ256" s="109"/>
      <c r="AR256" s="109"/>
      <c r="AS256" s="109"/>
    </row>
    <row r="257" spans="1:45" ht="12.6" customHeight="1" x14ac:dyDescent="0.3">
      <c r="A257" s="78"/>
      <c r="B257" s="78"/>
      <c r="C257" s="78"/>
      <c r="D257" s="78"/>
      <c r="E257" s="78"/>
      <c r="F257" s="78"/>
      <c r="G257" s="16" t="s">
        <v>1317</v>
      </c>
      <c r="Z257" s="109"/>
      <c r="AA257" s="109"/>
      <c r="AB257" s="109"/>
      <c r="AC257" s="109"/>
      <c r="AD257" s="109"/>
      <c r="AE257" s="109"/>
      <c r="AF257" s="109"/>
      <c r="AG257" s="109"/>
      <c r="AH257" s="109"/>
      <c r="AI257" s="109"/>
      <c r="AJ257" s="109"/>
      <c r="AK257" s="109"/>
      <c r="AL257" s="109"/>
      <c r="AM257" s="109"/>
      <c r="AN257" s="109"/>
      <c r="AO257" s="109"/>
      <c r="AP257" s="109"/>
      <c r="AQ257" s="109"/>
      <c r="AR257" s="109"/>
      <c r="AS257" s="109"/>
    </row>
    <row r="258" spans="1:45" ht="12.6" customHeight="1" x14ac:dyDescent="0.3">
      <c r="A258" s="68"/>
      <c r="B258" s="77" t="s">
        <v>1467</v>
      </c>
      <c r="C258" s="78"/>
      <c r="D258" s="78"/>
      <c r="E258" s="78"/>
      <c r="F258" s="78"/>
      <c r="G258" s="16" t="s">
        <v>1466</v>
      </c>
      <c r="Z258" s="109"/>
      <c r="AA258" s="109"/>
      <c r="AB258" s="109"/>
      <c r="AC258" s="109"/>
      <c r="AD258" s="109"/>
      <c r="AE258" s="109"/>
      <c r="AF258" s="109"/>
      <c r="AG258" s="109"/>
      <c r="AH258" s="109"/>
      <c r="AI258" s="109"/>
      <c r="AJ258" s="109"/>
      <c r="AK258" s="109"/>
      <c r="AL258" s="109"/>
      <c r="AM258" s="109"/>
      <c r="AN258" s="109"/>
      <c r="AO258" s="109"/>
      <c r="AP258" s="109"/>
      <c r="AQ258" s="109"/>
      <c r="AR258" s="109"/>
      <c r="AS258" s="109"/>
    </row>
    <row r="259" spans="1:45" ht="12.6" customHeight="1" x14ac:dyDescent="0.3">
      <c r="A259" s="78"/>
      <c r="B259" s="78"/>
      <c r="C259" s="78"/>
      <c r="D259" s="78"/>
      <c r="E259" s="78"/>
      <c r="F259" s="78"/>
      <c r="G259" s="16" t="s">
        <v>1317</v>
      </c>
      <c r="Z259" s="109"/>
      <c r="AA259" s="109"/>
      <c r="AB259" s="109"/>
      <c r="AC259" s="109"/>
      <c r="AD259" s="109"/>
      <c r="AE259" s="109"/>
      <c r="AF259" s="109"/>
      <c r="AG259" s="109"/>
      <c r="AH259" s="109"/>
      <c r="AI259" s="109"/>
      <c r="AJ259" s="109"/>
      <c r="AK259" s="109"/>
      <c r="AL259" s="109"/>
      <c r="AM259" s="109"/>
      <c r="AN259" s="109"/>
      <c r="AO259" s="109"/>
      <c r="AP259" s="109"/>
      <c r="AQ259" s="109"/>
      <c r="AR259" s="109"/>
      <c r="AS259" s="109"/>
    </row>
    <row r="260" spans="1:45" ht="12.6" customHeight="1" x14ac:dyDescent="0.3">
      <c r="A260" s="68"/>
      <c r="B260" s="97" t="str">
        <f>"q (버킷용량) = "&amp;Z260&amp;" , f (토량의 체적 환산계수) = "&amp;AD260&amp;""</f>
        <v>q (버킷용량) = 0.7 , f (토량의 체적 환산계수) = 1</v>
      </c>
      <c r="C260" s="78"/>
      <c r="D260" s="78"/>
      <c r="E260" s="78"/>
      <c r="F260" s="78"/>
      <c r="G260" s="16" t="s">
        <v>1468</v>
      </c>
      <c r="Z260" s="110">
        <v>0.7</v>
      </c>
      <c r="AA260" s="20" t="s">
        <v>1326</v>
      </c>
      <c r="AB260" s="112">
        <f>Z260</f>
        <v>0.7</v>
      </c>
      <c r="AC260" s="20" t="s">
        <v>1385</v>
      </c>
      <c r="AD260" s="111">
        <v>1</v>
      </c>
      <c r="AE260" s="20" t="s">
        <v>1326</v>
      </c>
      <c r="AF260" s="112">
        <f>AD260</f>
        <v>1</v>
      </c>
      <c r="AG260" s="20" t="s">
        <v>1385</v>
      </c>
      <c r="AH260" s="109"/>
      <c r="AI260" s="109"/>
      <c r="AJ260" s="109"/>
      <c r="AK260" s="109"/>
      <c r="AL260" s="109"/>
      <c r="AM260" s="109"/>
      <c r="AN260" s="109"/>
      <c r="AO260" s="109"/>
      <c r="AP260" s="109"/>
      <c r="AQ260" s="109"/>
      <c r="AR260" s="109"/>
      <c r="AS260" s="109"/>
    </row>
    <row r="261" spans="1:45" ht="12.6" customHeight="1" x14ac:dyDescent="0.3">
      <c r="A261" s="78"/>
      <c r="B261" s="78"/>
      <c r="C261" s="78"/>
      <c r="D261" s="78"/>
      <c r="E261" s="78"/>
      <c r="F261" s="78"/>
      <c r="G261" s="16" t="s">
        <v>1317</v>
      </c>
      <c r="Z261" s="109"/>
      <c r="AA261" s="109"/>
      <c r="AB261" s="109"/>
      <c r="AC261" s="109"/>
      <c r="AD261" s="109"/>
      <c r="AE261" s="109"/>
      <c r="AF261" s="109"/>
      <c r="AG261" s="109"/>
      <c r="AH261" s="109"/>
      <c r="AI261" s="109"/>
      <c r="AJ261" s="109"/>
      <c r="AK261" s="109"/>
      <c r="AL261" s="109"/>
      <c r="AM261" s="109"/>
      <c r="AN261" s="109"/>
      <c r="AO261" s="109"/>
      <c r="AP261" s="109"/>
      <c r="AQ261" s="109"/>
      <c r="AR261" s="109"/>
      <c r="AS261" s="109"/>
    </row>
    <row r="262" spans="1:45" ht="12.6" customHeight="1" x14ac:dyDescent="0.3">
      <c r="A262" s="68"/>
      <c r="B262" s="97" t="str">
        <f>"K (버킷계수) = "&amp;Z262&amp;""</f>
        <v>K (버킷계수) = 0.9</v>
      </c>
      <c r="C262" s="78"/>
      <c r="D262" s="78"/>
      <c r="E262" s="78"/>
      <c r="F262" s="78"/>
      <c r="G262" s="16" t="s">
        <v>1469</v>
      </c>
      <c r="Z262" s="110">
        <v>0.9</v>
      </c>
      <c r="AA262" s="20" t="s">
        <v>1326</v>
      </c>
      <c r="AB262" s="112">
        <f>Z262</f>
        <v>0.9</v>
      </c>
      <c r="AC262" s="109"/>
      <c r="AD262" s="109"/>
      <c r="AE262" s="109"/>
      <c r="AF262" s="109"/>
      <c r="AG262" s="109"/>
      <c r="AH262" s="109"/>
      <c r="AI262" s="109"/>
      <c r="AJ262" s="109"/>
      <c r="AK262" s="109"/>
      <c r="AL262" s="109"/>
      <c r="AM262" s="109"/>
      <c r="AN262" s="109"/>
      <c r="AO262" s="109"/>
      <c r="AP262" s="109"/>
      <c r="AQ262" s="109"/>
      <c r="AR262" s="109"/>
      <c r="AS262" s="109"/>
    </row>
    <row r="263" spans="1:45" ht="12.6" customHeight="1" x14ac:dyDescent="0.3">
      <c r="A263" s="78"/>
      <c r="B263" s="78"/>
      <c r="C263" s="78"/>
      <c r="D263" s="78"/>
      <c r="E263" s="78"/>
      <c r="F263" s="78"/>
      <c r="G263" s="16" t="s">
        <v>1317</v>
      </c>
      <c r="Z263" s="109"/>
      <c r="AA263" s="109"/>
      <c r="AB263" s="109"/>
      <c r="AC263" s="109"/>
      <c r="AD263" s="109"/>
      <c r="AE263" s="109"/>
      <c r="AF263" s="109"/>
      <c r="AG263" s="109"/>
      <c r="AH263" s="109"/>
      <c r="AI263" s="109"/>
      <c r="AJ263" s="109"/>
      <c r="AK263" s="109"/>
      <c r="AL263" s="109"/>
      <c r="AM263" s="109"/>
      <c r="AN263" s="109"/>
      <c r="AO263" s="109"/>
      <c r="AP263" s="109"/>
      <c r="AQ263" s="109"/>
      <c r="AR263" s="109"/>
      <c r="AS263" s="109"/>
    </row>
    <row r="264" spans="1:45" ht="12.6" customHeight="1" x14ac:dyDescent="0.3">
      <c r="A264" s="68"/>
      <c r="B264" s="97" t="str">
        <f>"Cm (1회 사이클 시간(초)) = "&amp;Z264&amp;" sec (90˚) , E (작업효율) = "&amp;AD264&amp;""</f>
        <v>Cm (1회 사이클 시간(초)) = 18 sec (90˚) , E (작업효율) = 0.55</v>
      </c>
      <c r="C264" s="78"/>
      <c r="D264" s="78"/>
      <c r="E264" s="78"/>
      <c r="F264" s="78"/>
      <c r="G264" s="16" t="s">
        <v>1470</v>
      </c>
      <c r="Z264" s="111">
        <v>18</v>
      </c>
      <c r="AA264" s="20" t="s">
        <v>1326</v>
      </c>
      <c r="AB264" s="112">
        <f>Z264</f>
        <v>18</v>
      </c>
      <c r="AC264" s="20" t="s">
        <v>1385</v>
      </c>
      <c r="AD264" s="110">
        <v>0.55000000000000004</v>
      </c>
      <c r="AE264" s="20" t="s">
        <v>1326</v>
      </c>
      <c r="AF264" s="112">
        <f>AD264</f>
        <v>0.55000000000000004</v>
      </c>
      <c r="AG264" s="20" t="s">
        <v>1385</v>
      </c>
      <c r="AH264" s="109"/>
      <c r="AI264" s="109"/>
      <c r="AJ264" s="109"/>
      <c r="AK264" s="109"/>
      <c r="AL264" s="109"/>
      <c r="AM264" s="109"/>
      <c r="AN264" s="109"/>
      <c r="AO264" s="109"/>
      <c r="AP264" s="109"/>
      <c r="AQ264" s="109"/>
      <c r="AR264" s="109"/>
      <c r="AS264" s="109"/>
    </row>
    <row r="265" spans="1:45" ht="12.6" customHeight="1" x14ac:dyDescent="0.3">
      <c r="A265" s="78"/>
      <c r="B265" s="78"/>
      <c r="C265" s="78"/>
      <c r="D265" s="78"/>
      <c r="E265" s="78"/>
      <c r="F265" s="78"/>
      <c r="G265" s="16" t="s">
        <v>1317</v>
      </c>
      <c r="Z265" s="109"/>
      <c r="AA265" s="109"/>
      <c r="AB265" s="109"/>
      <c r="AC265" s="109"/>
      <c r="AD265" s="109"/>
      <c r="AE265" s="109"/>
      <c r="AF265" s="109"/>
      <c r="AG265" s="109"/>
      <c r="AH265" s="109"/>
      <c r="AI265" s="109"/>
      <c r="AJ265" s="109"/>
      <c r="AK265" s="109"/>
      <c r="AL265" s="109"/>
      <c r="AM265" s="109"/>
      <c r="AN265" s="109"/>
      <c r="AO265" s="109"/>
      <c r="AP265" s="109"/>
      <c r="AQ265" s="109"/>
      <c r="AR265" s="109"/>
      <c r="AS265" s="109"/>
    </row>
    <row r="266" spans="1:45" ht="12.6" customHeight="1" x14ac:dyDescent="0.3">
      <c r="A266" s="68"/>
      <c r="B266" s="97" t="str">
        <f>"Q (시간당 작업량) = "&amp;Z266&amp;"*q*K*f*E/Cm = "&amp;AL266&amp;" m3/hr "</f>
        <v xml:space="preserve">Q (시간당 작업량) = 3600*q*K*f*E/Cm = 69.30 m3/hr </v>
      </c>
      <c r="C266" s="78"/>
      <c r="D266" s="78"/>
      <c r="E266" s="78"/>
      <c r="F266" s="78"/>
      <c r="G266" s="16" t="s">
        <v>1471</v>
      </c>
      <c r="Z266" s="111">
        <v>3600</v>
      </c>
      <c r="AA266" s="20" t="s">
        <v>1390</v>
      </c>
      <c r="AB266" s="112">
        <f>AB260</f>
        <v>0.7</v>
      </c>
      <c r="AC266" s="20" t="s">
        <v>1390</v>
      </c>
      <c r="AD266" s="112">
        <f>AB262</f>
        <v>0.9</v>
      </c>
      <c r="AE266" s="20" t="s">
        <v>1390</v>
      </c>
      <c r="AF266" s="112">
        <f>AF260</f>
        <v>1</v>
      </c>
      <c r="AG266" s="20" t="s">
        <v>1390</v>
      </c>
      <c r="AH266" s="112">
        <f>AF264</f>
        <v>0.55000000000000004</v>
      </c>
      <c r="AI266" s="20" t="s">
        <v>1387</v>
      </c>
      <c r="AJ266" s="112">
        <f>AB264</f>
        <v>18</v>
      </c>
      <c r="AK266" s="20" t="s">
        <v>1326</v>
      </c>
      <c r="AL266" s="112" t="str">
        <f>TEXT(ROUND(Z266*AB260*AB262*AF260*AF264/AB264,2),"0.00")</f>
        <v>69.30</v>
      </c>
      <c r="AM266" s="109"/>
      <c r="AN266" s="109"/>
      <c r="AO266" s="109"/>
      <c r="AP266" s="109"/>
      <c r="AQ266" s="109"/>
      <c r="AR266" s="109"/>
      <c r="AS266" s="109"/>
    </row>
    <row r="267" spans="1:45" ht="12.6" customHeight="1" x14ac:dyDescent="0.3">
      <c r="A267" s="78"/>
      <c r="B267" s="78"/>
      <c r="C267" s="78"/>
      <c r="D267" s="78"/>
      <c r="E267" s="78"/>
      <c r="F267" s="78"/>
      <c r="G267" s="16" t="s">
        <v>1317</v>
      </c>
      <c r="Z267" s="109"/>
      <c r="AA267" s="109"/>
      <c r="AB267" s="109"/>
      <c r="AC267" s="109"/>
      <c r="AD267" s="109"/>
      <c r="AE267" s="109"/>
      <c r="AF267" s="109"/>
      <c r="AG267" s="109"/>
      <c r="AH267" s="109"/>
      <c r="AI267" s="109"/>
      <c r="AJ267" s="109"/>
      <c r="AK267" s="109"/>
      <c r="AL267" s="109"/>
      <c r="AM267" s="109"/>
      <c r="AN267" s="109"/>
      <c r="AO267" s="109"/>
      <c r="AP267" s="109"/>
      <c r="AQ267" s="109"/>
      <c r="AR267" s="109"/>
      <c r="AS267" s="109"/>
    </row>
    <row r="268" spans="1:45" ht="12.6" customHeight="1" x14ac:dyDescent="0.3">
      <c r="A268" s="78"/>
      <c r="B268" s="78"/>
      <c r="C268" s="78"/>
      <c r="D268" s="78"/>
      <c r="E268" s="78"/>
      <c r="F268" s="78"/>
      <c r="G268" s="16" t="s">
        <v>1317</v>
      </c>
      <c r="Z268" s="109"/>
      <c r="AA268" s="109"/>
      <c r="AB268" s="109"/>
      <c r="AC268" s="109"/>
      <c r="AD268" s="109"/>
      <c r="AE268" s="109"/>
      <c r="AF268" s="109"/>
      <c r="AG268" s="109"/>
      <c r="AH268" s="109"/>
      <c r="AI268" s="109"/>
      <c r="AJ268" s="109"/>
      <c r="AK268" s="109"/>
      <c r="AL268" s="109"/>
      <c r="AM268" s="109"/>
      <c r="AN268" s="109"/>
      <c r="AO268" s="109"/>
      <c r="AP268" s="109"/>
      <c r="AQ268" s="109"/>
      <c r="AR268" s="109"/>
      <c r="AS268" s="109"/>
    </row>
    <row r="269" spans="1:45" ht="12.6" customHeight="1" x14ac:dyDescent="0.3">
      <c r="A269" s="78"/>
      <c r="B269" s="78"/>
      <c r="C269" s="78"/>
      <c r="D269" s="78"/>
      <c r="E269" s="78"/>
      <c r="F269" s="78"/>
      <c r="G269" s="16" t="s">
        <v>1317</v>
      </c>
      <c r="Z269" s="109"/>
      <c r="AA269" s="109"/>
      <c r="AB269" s="109"/>
      <c r="AC269" s="109"/>
      <c r="AD269" s="109"/>
      <c r="AE269" s="109"/>
      <c r="AF269" s="109"/>
      <c r="AG269" s="109"/>
      <c r="AH269" s="109"/>
      <c r="AI269" s="109"/>
      <c r="AJ269" s="109"/>
      <c r="AK269" s="109"/>
      <c r="AL269" s="109"/>
      <c r="AM269" s="109"/>
      <c r="AN269" s="109"/>
      <c r="AO269" s="109"/>
      <c r="AP269" s="109"/>
      <c r="AQ269" s="109"/>
      <c r="AR269" s="109"/>
      <c r="AS269" s="109"/>
    </row>
    <row r="270" spans="1:45" ht="12.6" customHeight="1" x14ac:dyDescent="0.3">
      <c r="A270" s="68" t="s">
        <v>1473</v>
      </c>
      <c r="B270" s="97" t="str">
        <f>" 노 무 비  : "&amp;TEXT(I270,"#,##0"&amp;IF(I270&lt;&gt;INT(I270),".###",""))&amp;" / Q * "&amp;AC270&amp;" * "&amp;AE270&amp;" = "&amp;TEXT(C270,"#,##0.0")&amp;""</f>
        <v xml:space="preserve"> 노 무 비  : 55,700 / Q * 0.1 * 3 = 241.1</v>
      </c>
      <c r="C270" s="99">
        <f>E270+D270+F270</f>
        <v>241.1</v>
      </c>
      <c r="D270" s="99">
        <f>IF(H270=0,0,ROUNDDOWN(J270*H270,1))</f>
        <v>241.1</v>
      </c>
      <c r="E270" s="99">
        <f>IF(H270=0,0,ROUNDDOWN(K270*H270,1))</f>
        <v>0</v>
      </c>
      <c r="F270" s="99">
        <f>IF(H270=0,0,ROUNDDOWN(L270*H270,1))</f>
        <v>0</v>
      </c>
      <c r="G270" s="16" t="s">
        <v>1472</v>
      </c>
      <c r="H270" s="105">
        <f>AG270</f>
        <v>4.329004329004329E-3</v>
      </c>
      <c r="I270" s="106">
        <f>K270+J270+L270</f>
        <v>55700</v>
      </c>
      <c r="J270" s="39">
        <f>중기목록표!F7</f>
        <v>55700</v>
      </c>
      <c r="M270" s="20" t="s">
        <v>1193</v>
      </c>
      <c r="N270" s="20" t="s">
        <v>1332</v>
      </c>
      <c r="X270" s="108" t="str">
        <f>중기목록표!B7&amp;" / "&amp;중기목록표!C7</f>
        <v xml:space="preserve">굴삭기(0.7m3) / </v>
      </c>
      <c r="Y270" s="19" t="str">
        <f ca="1">HYPERLINK("#"&amp;중기목록표!J2&amp;"!A"&amp;ROW(중기목록표!A7),"중기    4 →")</f>
        <v>중기    4 →</v>
      </c>
      <c r="Z270" s="20" t="s">
        <v>1393</v>
      </c>
      <c r="AA270" s="112" t="str">
        <f>AL266</f>
        <v>69.30</v>
      </c>
      <c r="AB270" s="20" t="s">
        <v>1390</v>
      </c>
      <c r="AC270" s="110">
        <v>0.1</v>
      </c>
      <c r="AD270" s="20" t="s">
        <v>1390</v>
      </c>
      <c r="AE270" s="111">
        <v>3</v>
      </c>
      <c r="AF270" s="20" t="s">
        <v>1326</v>
      </c>
      <c r="AG270" s="113">
        <f>1/AL266*AC270*AE270</f>
        <v>4.329004329004329E-3</v>
      </c>
      <c r="AH270" s="109"/>
      <c r="AI270" s="109"/>
      <c r="AJ270" s="109"/>
      <c r="AK270" s="109"/>
      <c r="AL270" s="109"/>
      <c r="AM270" s="109"/>
      <c r="AN270" s="109"/>
      <c r="AO270" s="109"/>
      <c r="AP270" s="109"/>
      <c r="AQ270" s="109"/>
      <c r="AR270" s="109"/>
      <c r="AS270" s="109"/>
    </row>
    <row r="271" spans="1:45" ht="12.6" customHeight="1" x14ac:dyDescent="0.3">
      <c r="A271" s="78"/>
      <c r="B271" s="78"/>
      <c r="C271" s="78"/>
      <c r="D271" s="78"/>
      <c r="E271" s="78"/>
      <c r="F271" s="78"/>
      <c r="G271" s="16" t="s">
        <v>1317</v>
      </c>
      <c r="Z271" s="109"/>
      <c r="AA271" s="109"/>
      <c r="AB271" s="109"/>
      <c r="AC271" s="109"/>
      <c r="AD271" s="109"/>
      <c r="AE271" s="109"/>
      <c r="AF271" s="109"/>
      <c r="AG271" s="109"/>
      <c r="AH271" s="109"/>
      <c r="AI271" s="109"/>
      <c r="AJ271" s="109"/>
      <c r="AK271" s="109"/>
      <c r="AL271" s="109"/>
      <c r="AM271" s="109"/>
      <c r="AN271" s="109"/>
      <c r="AO271" s="109"/>
      <c r="AP271" s="109"/>
      <c r="AQ271" s="109"/>
      <c r="AR271" s="109"/>
      <c r="AS271" s="109"/>
    </row>
    <row r="272" spans="1:45" ht="12.6" customHeight="1" x14ac:dyDescent="0.3">
      <c r="A272" s="68" t="s">
        <v>1475</v>
      </c>
      <c r="B272" s="97" t="str">
        <f>" 재 료 비  : "&amp;TEXT(I272,"#,##0"&amp;IF(I272&lt;&gt;INT(I272),".###",""))&amp;" / Q * "&amp;AC272&amp;" * "&amp;AE272&amp;" = "&amp;TEXT(C272,"#,##0.0")&amp;""</f>
        <v xml:space="preserve"> 재 료 비  : 18,001 / Q * 0.1 * 3 = 77.9</v>
      </c>
      <c r="C272" s="99">
        <f>E272+D272+F272</f>
        <v>77.900000000000006</v>
      </c>
      <c r="D272" s="99">
        <f>IF(H272=0,0,ROUNDDOWN(J272*H272,1))</f>
        <v>0</v>
      </c>
      <c r="E272" s="99">
        <f>IF(H272=0,0,ROUNDDOWN(K272*H272,1))</f>
        <v>77.900000000000006</v>
      </c>
      <c r="F272" s="99">
        <f>IF(H272=0,0,ROUNDDOWN(L272*H272,1))</f>
        <v>0</v>
      </c>
      <c r="G272" s="16" t="s">
        <v>1474</v>
      </c>
      <c r="H272" s="105">
        <f>AG272</f>
        <v>4.329004329004329E-3</v>
      </c>
      <c r="I272" s="106">
        <f>K272+J272+L272</f>
        <v>18001</v>
      </c>
      <c r="K272" s="39">
        <f>중기목록표!G7</f>
        <v>18001</v>
      </c>
      <c r="M272" s="20" t="s">
        <v>1193</v>
      </c>
      <c r="N272" s="20" t="s">
        <v>1332</v>
      </c>
      <c r="X272" s="108" t="str">
        <f>중기목록표!B7&amp;" / "&amp;중기목록표!C7</f>
        <v xml:space="preserve">굴삭기(0.7m3) / </v>
      </c>
      <c r="Y272" s="19" t="str">
        <f ca="1">HYPERLINK("#"&amp;중기목록표!J2&amp;"!A"&amp;ROW(중기목록표!A7),"중기    4 →")</f>
        <v>중기    4 →</v>
      </c>
      <c r="Z272" s="20" t="s">
        <v>1393</v>
      </c>
      <c r="AA272" s="112" t="str">
        <f>AL266</f>
        <v>69.30</v>
      </c>
      <c r="AB272" s="20" t="s">
        <v>1390</v>
      </c>
      <c r="AC272" s="110">
        <v>0.1</v>
      </c>
      <c r="AD272" s="20" t="s">
        <v>1390</v>
      </c>
      <c r="AE272" s="111">
        <v>3</v>
      </c>
      <c r="AF272" s="20" t="s">
        <v>1326</v>
      </c>
      <c r="AG272" s="113">
        <f>1/AL266*AC272*AE272</f>
        <v>4.329004329004329E-3</v>
      </c>
      <c r="AH272" s="109"/>
      <c r="AI272" s="109"/>
      <c r="AJ272" s="109"/>
      <c r="AK272" s="109"/>
      <c r="AL272" s="109"/>
      <c r="AM272" s="109"/>
      <c r="AN272" s="109"/>
      <c r="AO272" s="109"/>
      <c r="AP272" s="109"/>
      <c r="AQ272" s="109"/>
      <c r="AR272" s="109"/>
      <c r="AS272" s="109"/>
    </row>
    <row r="273" spans="1:45" ht="12.6" customHeight="1" x14ac:dyDescent="0.3">
      <c r="A273" s="78"/>
      <c r="B273" s="78"/>
      <c r="C273" s="78"/>
      <c r="D273" s="78"/>
      <c r="E273" s="78"/>
      <c r="F273" s="78"/>
      <c r="G273" s="16" t="s">
        <v>1317</v>
      </c>
      <c r="Z273" s="109"/>
      <c r="AA273" s="109"/>
      <c r="AB273" s="109"/>
      <c r="AC273" s="109"/>
      <c r="AD273" s="109"/>
      <c r="AE273" s="109"/>
      <c r="AF273" s="109"/>
      <c r="AG273" s="109"/>
      <c r="AH273" s="109"/>
      <c r="AI273" s="109"/>
      <c r="AJ273" s="109"/>
      <c r="AK273" s="109"/>
      <c r="AL273" s="109"/>
      <c r="AM273" s="109"/>
      <c r="AN273" s="109"/>
      <c r="AO273" s="109"/>
      <c r="AP273" s="109"/>
      <c r="AQ273" s="109"/>
      <c r="AR273" s="109"/>
      <c r="AS273" s="109"/>
    </row>
    <row r="274" spans="1:45" ht="12.6" customHeight="1" x14ac:dyDescent="0.3">
      <c r="A274" s="68" t="s">
        <v>1477</v>
      </c>
      <c r="B274" s="97" t="str">
        <f>" 경    비  : "&amp;TEXT(I274,"#,##0"&amp;IF(I274&lt;&gt;INT(I274),".###",""))&amp;" / Q * "&amp;AC274&amp;" * "&amp;AE274&amp;" = "&amp;TEXT(C274,"#,##0.0")&amp;""</f>
        <v xml:space="preserve"> 경    비  : 23,128 / Q * 0.1 * 3 = 100.1</v>
      </c>
      <c r="C274" s="99">
        <f>E274+D274+F274</f>
        <v>100.1</v>
      </c>
      <c r="D274" s="99">
        <f>IF(H274=0,0,ROUNDDOWN(J274*H274,1))</f>
        <v>0</v>
      </c>
      <c r="E274" s="99">
        <f>IF(H274=0,0,ROUNDDOWN(K274*H274,1))</f>
        <v>0</v>
      </c>
      <c r="F274" s="99">
        <f>IF(H274=0,0,ROUNDDOWN(L274*H274,1))</f>
        <v>100.1</v>
      </c>
      <c r="G274" s="16" t="s">
        <v>1476</v>
      </c>
      <c r="H274" s="105">
        <f>AG274</f>
        <v>4.329004329004329E-3</v>
      </c>
      <c r="I274" s="106">
        <f>K274+J274+L274</f>
        <v>23128</v>
      </c>
      <c r="L274" s="39">
        <f>중기목록표!H7</f>
        <v>23128</v>
      </c>
      <c r="M274" s="20" t="s">
        <v>1193</v>
      </c>
      <c r="N274" s="20" t="s">
        <v>1332</v>
      </c>
      <c r="X274" s="108" t="str">
        <f>중기목록표!B7&amp;" / "&amp;중기목록표!C7</f>
        <v xml:space="preserve">굴삭기(0.7m3) / </v>
      </c>
      <c r="Y274" s="19" t="str">
        <f ca="1">HYPERLINK("#"&amp;중기목록표!J2&amp;"!A"&amp;ROW(중기목록표!A7),"중기    4 →")</f>
        <v>중기    4 →</v>
      </c>
      <c r="Z274" s="20" t="s">
        <v>1393</v>
      </c>
      <c r="AA274" s="112" t="str">
        <f>AL266</f>
        <v>69.30</v>
      </c>
      <c r="AB274" s="20" t="s">
        <v>1390</v>
      </c>
      <c r="AC274" s="110">
        <v>0.1</v>
      </c>
      <c r="AD274" s="20" t="s">
        <v>1390</v>
      </c>
      <c r="AE274" s="111">
        <v>3</v>
      </c>
      <c r="AF274" s="20" t="s">
        <v>1326</v>
      </c>
      <c r="AG274" s="113">
        <f>1/AL266*AC274*AE274</f>
        <v>4.329004329004329E-3</v>
      </c>
      <c r="AH274" s="109"/>
      <c r="AI274" s="109"/>
      <c r="AJ274" s="109"/>
      <c r="AK274" s="109"/>
      <c r="AL274" s="109"/>
      <c r="AM274" s="109"/>
      <c r="AN274" s="109"/>
      <c r="AO274" s="109"/>
      <c r="AP274" s="109"/>
      <c r="AQ274" s="109"/>
      <c r="AR274" s="109"/>
      <c r="AS274" s="109"/>
    </row>
    <row r="275" spans="1:45" ht="12.6" customHeight="1" x14ac:dyDescent="0.3">
      <c r="A275" s="78"/>
      <c r="B275" s="78"/>
      <c r="C275" s="78"/>
      <c r="D275" s="78"/>
      <c r="E275" s="78"/>
      <c r="F275" s="78"/>
      <c r="G275" s="16" t="s">
        <v>1317</v>
      </c>
      <c r="Z275" s="109"/>
      <c r="AA275" s="109"/>
      <c r="AB275" s="109"/>
      <c r="AC275" s="109"/>
      <c r="AD275" s="109"/>
      <c r="AE275" s="109"/>
      <c r="AF275" s="109"/>
      <c r="AG275" s="109"/>
      <c r="AH275" s="109"/>
      <c r="AI275" s="109"/>
      <c r="AJ275" s="109"/>
      <c r="AK275" s="109"/>
      <c r="AL275" s="109"/>
      <c r="AM275" s="109"/>
      <c r="AN275" s="109"/>
      <c r="AO275" s="109"/>
      <c r="AP275" s="109"/>
      <c r="AQ275" s="109"/>
      <c r="AR275" s="109"/>
      <c r="AS275" s="109"/>
    </row>
    <row r="276" spans="1:45" ht="12.6" customHeight="1" x14ac:dyDescent="0.3">
      <c r="A276" s="78"/>
      <c r="B276" s="78"/>
      <c r="C276" s="78"/>
      <c r="D276" s="78"/>
      <c r="E276" s="78"/>
      <c r="F276" s="78"/>
      <c r="G276" s="16" t="s">
        <v>1317</v>
      </c>
      <c r="Z276" s="109"/>
      <c r="AA276" s="109"/>
      <c r="AB276" s="109"/>
      <c r="AC276" s="109"/>
      <c r="AD276" s="109"/>
      <c r="AE276" s="109"/>
      <c r="AF276" s="109"/>
      <c r="AG276" s="109"/>
      <c r="AH276" s="109"/>
      <c r="AI276" s="109"/>
      <c r="AJ276" s="109"/>
      <c r="AK276" s="109"/>
      <c r="AL276" s="109"/>
      <c r="AM276" s="109"/>
      <c r="AN276" s="109"/>
      <c r="AO276" s="109"/>
      <c r="AP276" s="109"/>
      <c r="AQ276" s="109"/>
      <c r="AR276" s="109"/>
      <c r="AS276" s="109"/>
    </row>
    <row r="277" spans="1:45" ht="12.6" customHeight="1" x14ac:dyDescent="0.3">
      <c r="A277" s="68"/>
      <c r="B277" s="77" t="s">
        <v>1331</v>
      </c>
      <c r="C277" s="100">
        <f>E277+D277+F277</f>
        <v>419.1</v>
      </c>
      <c r="D277" s="100">
        <f>SUMIF(N252:N276,M277,D252:D276)</f>
        <v>241.1</v>
      </c>
      <c r="E277" s="100">
        <f>SUMIF(N252:N276,M277,E252:E276)</f>
        <v>77.900000000000006</v>
      </c>
      <c r="F277" s="100">
        <f>SUMIF(N252:N276,M277,F252:F276)</f>
        <v>100.1</v>
      </c>
      <c r="G277" s="16" t="s">
        <v>1415</v>
      </c>
      <c r="M277" s="20" t="s">
        <v>1332</v>
      </c>
      <c r="N277" s="20" t="s">
        <v>1341</v>
      </c>
      <c r="Z277" s="109"/>
      <c r="AA277" s="109"/>
      <c r="AB277" s="109"/>
      <c r="AC277" s="109"/>
      <c r="AD277" s="109"/>
      <c r="AE277" s="109"/>
      <c r="AF277" s="109"/>
      <c r="AG277" s="109"/>
      <c r="AH277" s="109"/>
      <c r="AI277" s="109"/>
      <c r="AJ277" s="109"/>
      <c r="AK277" s="109"/>
      <c r="AL277" s="109"/>
      <c r="AM277" s="109"/>
      <c r="AN277" s="109"/>
      <c r="AO277" s="109"/>
      <c r="AP277" s="109"/>
      <c r="AQ277" s="109"/>
      <c r="AR277" s="109"/>
      <c r="AS277" s="109"/>
    </row>
    <row r="278" spans="1:45" ht="12.6" customHeight="1" x14ac:dyDescent="0.3">
      <c r="A278" s="78"/>
      <c r="B278" s="78"/>
      <c r="C278" s="98"/>
      <c r="D278" s="98"/>
      <c r="E278" s="98"/>
      <c r="F278" s="98"/>
      <c r="G278" s="16" t="s">
        <v>1317</v>
      </c>
      <c r="Z278" s="109"/>
      <c r="AA278" s="109"/>
      <c r="AB278" s="109"/>
      <c r="AC278" s="109"/>
      <c r="AD278" s="109"/>
      <c r="AE278" s="109"/>
      <c r="AF278" s="109"/>
      <c r="AG278" s="109"/>
      <c r="AH278" s="109"/>
      <c r="AI278" s="109"/>
      <c r="AJ278" s="109"/>
      <c r="AK278" s="109"/>
      <c r="AL278" s="109"/>
      <c r="AM278" s="109"/>
      <c r="AN278" s="109"/>
      <c r="AO278" s="109"/>
      <c r="AP278" s="109"/>
      <c r="AQ278" s="109"/>
      <c r="AR278" s="109"/>
      <c r="AS278" s="109"/>
    </row>
    <row r="279" spans="1:45" ht="12.6" customHeight="1" x14ac:dyDescent="0.3">
      <c r="A279" s="68"/>
      <c r="B279" s="77" t="s">
        <v>1340</v>
      </c>
      <c r="C279" s="100">
        <f>E279+D279+F279</f>
        <v>419.1</v>
      </c>
      <c r="D279" s="100">
        <f>SUMIF(N252:N278,M279,D252:D278)</f>
        <v>241.1</v>
      </c>
      <c r="E279" s="100">
        <f>SUMIF(N252:N278,M279,E252:E278)</f>
        <v>77.900000000000006</v>
      </c>
      <c r="F279" s="100">
        <f>SUMIF(N252:N278,M279,F252:F278)</f>
        <v>100.1</v>
      </c>
      <c r="G279" s="16" t="s">
        <v>1380</v>
      </c>
      <c r="M279" s="20" t="s">
        <v>1341</v>
      </c>
      <c r="N279" s="20" t="s">
        <v>1128</v>
      </c>
      <c r="Z279" s="109"/>
      <c r="AA279" s="109"/>
      <c r="AB279" s="109"/>
      <c r="AC279" s="109"/>
      <c r="AD279" s="109"/>
      <c r="AE279" s="109"/>
      <c r="AF279" s="109"/>
      <c r="AG279" s="109"/>
      <c r="AH279" s="109"/>
      <c r="AI279" s="109"/>
      <c r="AJ279" s="109"/>
      <c r="AK279" s="109"/>
      <c r="AL279" s="109"/>
      <c r="AM279" s="109"/>
      <c r="AN279" s="109"/>
      <c r="AO279" s="109"/>
      <c r="AP279" s="109"/>
      <c r="AQ279" s="109"/>
      <c r="AR279" s="109"/>
      <c r="AS279" s="109"/>
    </row>
    <row r="280" spans="1:45" ht="12.6" customHeight="1" x14ac:dyDescent="0.3">
      <c r="A280" s="78"/>
      <c r="B280" s="78"/>
      <c r="C280" s="98"/>
      <c r="D280" s="98"/>
      <c r="E280" s="98"/>
      <c r="F280" s="98"/>
      <c r="Z280" s="109"/>
      <c r="AA280" s="109"/>
      <c r="AB280" s="109"/>
      <c r="AC280" s="109"/>
      <c r="AD280" s="109"/>
      <c r="AE280" s="109"/>
      <c r="AF280" s="109"/>
      <c r="AG280" s="109"/>
      <c r="AH280" s="109"/>
      <c r="AI280" s="109"/>
      <c r="AJ280" s="109"/>
      <c r="AK280" s="109"/>
      <c r="AL280" s="109"/>
      <c r="AM280" s="109"/>
      <c r="AN280" s="109"/>
      <c r="AO280" s="109"/>
      <c r="AP280" s="109"/>
      <c r="AQ280" s="109"/>
      <c r="AR280" s="109"/>
      <c r="AS280" s="109"/>
    </row>
    <row r="281" spans="1:45" ht="12.6" customHeight="1" x14ac:dyDescent="0.3">
      <c r="A281" s="78"/>
      <c r="B281" s="78"/>
      <c r="C281" s="78"/>
      <c r="D281" s="78"/>
      <c r="E281" s="78"/>
      <c r="F281" s="78"/>
      <c r="Z281" s="109"/>
      <c r="AA281" s="109"/>
      <c r="AB281" s="109"/>
      <c r="AC281" s="109"/>
      <c r="AD281" s="109"/>
      <c r="AE281" s="109"/>
      <c r="AF281" s="109"/>
      <c r="AG281" s="109"/>
      <c r="AH281" s="109"/>
      <c r="AI281" s="109"/>
      <c r="AJ281" s="109"/>
      <c r="AK281" s="109"/>
      <c r="AL281" s="109"/>
      <c r="AM281" s="109"/>
      <c r="AN281" s="109"/>
      <c r="AO281" s="109"/>
      <c r="AP281" s="109"/>
      <c r="AQ281" s="109"/>
      <c r="AR281" s="109"/>
      <c r="AS281" s="109"/>
    </row>
    <row r="282" spans="1:45" ht="12.6" customHeight="1" x14ac:dyDescent="0.3">
      <c r="A282" s="78"/>
      <c r="B282" s="78"/>
      <c r="C282" s="78"/>
      <c r="D282" s="78"/>
      <c r="E282" s="78"/>
      <c r="F282" s="78"/>
      <c r="Z282" s="109"/>
      <c r="AA282" s="109"/>
      <c r="AB282" s="109"/>
      <c r="AC282" s="109"/>
      <c r="AD282" s="109"/>
      <c r="AE282" s="109"/>
      <c r="AF282" s="109"/>
      <c r="AG282" s="109"/>
      <c r="AH282" s="109"/>
      <c r="AI282" s="109"/>
      <c r="AJ282" s="109"/>
      <c r="AK282" s="109"/>
      <c r="AL282" s="109"/>
      <c r="AM282" s="109"/>
      <c r="AN282" s="109"/>
      <c r="AO282" s="109"/>
      <c r="AP282" s="109"/>
      <c r="AQ282" s="109"/>
      <c r="AR282" s="109"/>
      <c r="AS282" s="109"/>
    </row>
    <row r="283" spans="1:45" ht="12.6" customHeight="1" x14ac:dyDescent="0.3">
      <c r="A283" s="58"/>
      <c r="B283" s="58"/>
      <c r="C283" s="58"/>
      <c r="D283" s="58"/>
      <c r="E283" s="58"/>
      <c r="F283" s="58"/>
      <c r="Z283" s="109"/>
      <c r="AA283" s="109"/>
      <c r="AB283" s="109"/>
      <c r="AC283" s="109"/>
      <c r="AD283" s="109"/>
      <c r="AE283" s="109"/>
      <c r="AF283" s="109"/>
      <c r="AG283" s="109"/>
      <c r="AH283" s="109"/>
      <c r="AI283" s="109"/>
      <c r="AJ283" s="109"/>
      <c r="AK283" s="109"/>
      <c r="AL283" s="109"/>
      <c r="AM283" s="109"/>
      <c r="AN283" s="109"/>
      <c r="AO283" s="109"/>
      <c r="AP283" s="109"/>
      <c r="AQ283" s="109"/>
      <c r="AR283" s="109"/>
      <c r="AS283" s="109"/>
    </row>
    <row r="284" spans="1:45" ht="12.6" customHeight="1" x14ac:dyDescent="0.3">
      <c r="A284" s="159" t="s">
        <v>1401</v>
      </c>
      <c r="B284" s="152"/>
      <c r="C284" s="55">
        <f>E284+D284+F284</f>
        <v>418</v>
      </c>
      <c r="D284" s="54">
        <f>ROUNDDOWN(SUMIF(N252:N279,M284,D252:D279),0)</f>
        <v>241</v>
      </c>
      <c r="E284" s="63">
        <f>ROUNDDOWN(SUMIF(N252:N279,M284,E252:E279),0)</f>
        <v>77</v>
      </c>
      <c r="F284" s="55">
        <f>ROUNDDOWN(SUMIF(N252:N279,M284,F252:F279),0)</f>
        <v>100</v>
      </c>
      <c r="M284" s="20" t="s">
        <v>1128</v>
      </c>
      <c r="Z284" s="109"/>
      <c r="AA284" s="109"/>
      <c r="AB284" s="109"/>
      <c r="AC284" s="109"/>
      <c r="AD284" s="109"/>
      <c r="AE284" s="109"/>
      <c r="AF284" s="109"/>
      <c r="AG284" s="109"/>
      <c r="AH284" s="109"/>
      <c r="AI284" s="109"/>
      <c r="AJ284" s="109"/>
      <c r="AK284" s="109"/>
      <c r="AL284" s="109"/>
      <c r="AM284" s="109"/>
      <c r="AN284" s="109"/>
      <c r="AO284" s="109"/>
      <c r="AP284" s="109"/>
      <c r="AQ284" s="109"/>
      <c r="AR284" s="109"/>
      <c r="AS284" s="109"/>
    </row>
    <row r="285" spans="1:45" ht="12.6" customHeight="1" x14ac:dyDescent="0.3">
      <c r="A285" s="95" t="s">
        <v>39</v>
      </c>
      <c r="B285" s="96" t="s">
        <v>39</v>
      </c>
      <c r="C285" s="158">
        <f>C354</f>
        <v>8328</v>
      </c>
      <c r="D285" s="158">
        <f>D354</f>
        <v>6878</v>
      </c>
      <c r="E285" s="158">
        <f>E354</f>
        <v>538</v>
      </c>
      <c r="F285" s="158">
        <f>F354</f>
        <v>912</v>
      </c>
      <c r="G285" s="36" t="str">
        <f>HYPERLINK("#G"&amp;ROW(G318),"_x0005_`BDCOD|D00159_x0007_`POSS|"&amp;ROW(G287)&amp;"_x0007_`POSE|"&amp;ROW(G318)&amp;"_x0007_`")</f>
        <v>_x0005_`BDCOD|D00159_x0007_`POSS|287_x0007_`POSE|318_x0007_`</v>
      </c>
      <c r="Z285" s="109"/>
      <c r="AA285" s="109"/>
      <c r="AB285" s="109"/>
      <c r="AC285" s="109"/>
      <c r="AD285" s="109"/>
      <c r="AE285" s="109"/>
      <c r="AF285" s="109"/>
      <c r="AG285" s="109"/>
      <c r="AH285" s="109"/>
      <c r="AI285" s="109"/>
      <c r="AJ285" s="109"/>
      <c r="AK285" s="109"/>
      <c r="AL285" s="109"/>
      <c r="AM285" s="109"/>
      <c r="AN285" s="109"/>
      <c r="AO285" s="109"/>
      <c r="AP285" s="109"/>
      <c r="AQ285" s="109"/>
      <c r="AR285" s="109"/>
      <c r="AS285" s="109"/>
    </row>
    <row r="286" spans="1:45" ht="12.6" customHeight="1" x14ac:dyDescent="0.3">
      <c r="A286" s="84"/>
      <c r="B286" s="96" t="s">
        <v>187</v>
      </c>
      <c r="C286" s="141"/>
      <c r="D286" s="141"/>
      <c r="E286" s="141"/>
      <c r="F286" s="141"/>
      <c r="M286" s="20" t="s">
        <v>186</v>
      </c>
      <c r="Z286" s="109"/>
      <c r="AA286" s="109"/>
      <c r="AB286" s="109"/>
      <c r="AC286" s="109"/>
      <c r="AD286" s="109"/>
      <c r="AE286" s="109"/>
      <c r="AF286" s="109"/>
      <c r="AG286" s="109"/>
      <c r="AH286" s="109"/>
      <c r="AI286" s="109"/>
      <c r="AJ286" s="109"/>
      <c r="AK286" s="109"/>
      <c r="AL286" s="109"/>
      <c r="AM286" s="109"/>
      <c r="AN286" s="109"/>
      <c r="AO286" s="109"/>
      <c r="AP286" s="109"/>
      <c r="AQ286" s="109"/>
      <c r="AR286" s="109"/>
      <c r="AS286" s="109"/>
    </row>
    <row r="287" spans="1:45" ht="12.6" customHeight="1" x14ac:dyDescent="0.3">
      <c r="A287" s="68"/>
      <c r="B287" s="77" t="s">
        <v>1479</v>
      </c>
      <c r="C287" s="98"/>
      <c r="D287" s="98"/>
      <c r="E287" s="98"/>
      <c r="F287" s="98"/>
      <c r="G287" s="16" t="s">
        <v>1478</v>
      </c>
      <c r="Z287" s="109"/>
      <c r="AA287" s="109"/>
      <c r="AB287" s="109"/>
      <c r="AC287" s="109"/>
      <c r="AD287" s="109"/>
      <c r="AE287" s="109"/>
      <c r="AF287" s="109"/>
      <c r="AG287" s="109"/>
      <c r="AH287" s="109"/>
      <c r="AI287" s="109"/>
      <c r="AJ287" s="109"/>
      <c r="AK287" s="109"/>
      <c r="AL287" s="109"/>
      <c r="AM287" s="109"/>
      <c r="AN287" s="109"/>
      <c r="AO287" s="109"/>
      <c r="AP287" s="109"/>
      <c r="AQ287" s="109"/>
      <c r="AR287" s="109"/>
      <c r="AS287" s="109"/>
    </row>
    <row r="288" spans="1:45" ht="12.6" customHeight="1" x14ac:dyDescent="0.3">
      <c r="A288" s="78"/>
      <c r="B288" s="78"/>
      <c r="C288" s="78"/>
      <c r="D288" s="78"/>
      <c r="E288" s="78"/>
      <c r="F288" s="78"/>
      <c r="G288" s="16" t="s">
        <v>1317</v>
      </c>
      <c r="Z288" s="109"/>
      <c r="AA288" s="109"/>
      <c r="AB288" s="109"/>
      <c r="AC288" s="109"/>
      <c r="AD288" s="109"/>
      <c r="AE288" s="109"/>
      <c r="AF288" s="109"/>
      <c r="AG288" s="109"/>
      <c r="AH288" s="109"/>
      <c r="AI288" s="109"/>
      <c r="AJ288" s="109"/>
      <c r="AK288" s="109"/>
      <c r="AL288" s="109"/>
      <c r="AM288" s="109"/>
      <c r="AN288" s="109"/>
      <c r="AO288" s="109"/>
      <c r="AP288" s="109"/>
      <c r="AQ288" s="109"/>
      <c r="AR288" s="109"/>
      <c r="AS288" s="109"/>
    </row>
    <row r="289" spans="1:45" ht="12.6" customHeight="1" x14ac:dyDescent="0.3">
      <c r="A289" s="68"/>
      <c r="B289" s="77" t="s">
        <v>1481</v>
      </c>
      <c r="C289" s="78"/>
      <c r="D289" s="78"/>
      <c r="E289" s="78"/>
      <c r="F289" s="78"/>
      <c r="G289" s="16" t="s">
        <v>1480</v>
      </c>
      <c r="Z289" s="109"/>
      <c r="AA289" s="109"/>
      <c r="AB289" s="109"/>
      <c r="AC289" s="109"/>
      <c r="AD289" s="109"/>
      <c r="AE289" s="109"/>
      <c r="AF289" s="109"/>
      <c r="AG289" s="109"/>
      <c r="AH289" s="109"/>
      <c r="AI289" s="109"/>
      <c r="AJ289" s="109"/>
      <c r="AK289" s="109"/>
      <c r="AL289" s="109"/>
      <c r="AM289" s="109"/>
      <c r="AN289" s="109"/>
      <c r="AO289" s="109"/>
      <c r="AP289" s="109"/>
      <c r="AQ289" s="109"/>
      <c r="AR289" s="109"/>
      <c r="AS289" s="109"/>
    </row>
    <row r="290" spans="1:45" ht="12.6" customHeight="1" x14ac:dyDescent="0.3">
      <c r="A290" s="78"/>
      <c r="B290" s="78"/>
      <c r="C290" s="78"/>
      <c r="D290" s="78"/>
      <c r="E290" s="78"/>
      <c r="F290" s="78"/>
      <c r="G290" s="16" t="s">
        <v>1317</v>
      </c>
      <c r="Z290" s="109"/>
      <c r="AA290" s="109"/>
      <c r="AB290" s="109"/>
      <c r="AC290" s="109"/>
      <c r="AD290" s="109"/>
      <c r="AE290" s="109"/>
      <c r="AF290" s="109"/>
      <c r="AG290" s="109"/>
      <c r="AH290" s="109"/>
      <c r="AI290" s="109"/>
      <c r="AJ290" s="109"/>
      <c r="AK290" s="109"/>
      <c r="AL290" s="109"/>
      <c r="AM290" s="109"/>
      <c r="AN290" s="109"/>
      <c r="AO290" s="109"/>
      <c r="AP290" s="109"/>
      <c r="AQ290" s="109"/>
      <c r="AR290" s="109"/>
      <c r="AS290" s="109"/>
    </row>
    <row r="291" spans="1:45" ht="12.6" customHeight="1" x14ac:dyDescent="0.3">
      <c r="A291" s="68"/>
      <c r="B291" s="77" t="s">
        <v>1483</v>
      </c>
      <c r="C291" s="78"/>
      <c r="D291" s="78"/>
      <c r="E291" s="78"/>
      <c r="F291" s="78"/>
      <c r="G291" s="16" t="s">
        <v>1482</v>
      </c>
      <c r="Z291" s="109"/>
      <c r="AA291" s="109"/>
      <c r="AB291" s="109"/>
      <c r="AC291" s="109"/>
      <c r="AD291" s="109"/>
      <c r="AE291" s="109"/>
      <c r="AF291" s="109"/>
      <c r="AG291" s="109"/>
      <c r="AH291" s="109"/>
      <c r="AI291" s="109"/>
      <c r="AJ291" s="109"/>
      <c r="AK291" s="109"/>
      <c r="AL291" s="109"/>
      <c r="AM291" s="109"/>
      <c r="AN291" s="109"/>
      <c r="AO291" s="109"/>
      <c r="AP291" s="109"/>
      <c r="AQ291" s="109"/>
      <c r="AR291" s="109"/>
      <c r="AS291" s="109"/>
    </row>
    <row r="292" spans="1:45" ht="12.6" customHeight="1" x14ac:dyDescent="0.3">
      <c r="A292" s="78"/>
      <c r="B292" s="78"/>
      <c r="C292" s="78"/>
      <c r="D292" s="78"/>
      <c r="E292" s="78"/>
      <c r="F292" s="78"/>
      <c r="G292" s="16" t="s">
        <v>1317</v>
      </c>
      <c r="Z292" s="109"/>
      <c r="AA292" s="109"/>
      <c r="AB292" s="109"/>
      <c r="AC292" s="109"/>
      <c r="AD292" s="109"/>
      <c r="AE292" s="109"/>
      <c r="AF292" s="109"/>
      <c r="AG292" s="109"/>
      <c r="AH292" s="109"/>
      <c r="AI292" s="109"/>
      <c r="AJ292" s="109"/>
      <c r="AK292" s="109"/>
      <c r="AL292" s="109"/>
      <c r="AM292" s="109"/>
      <c r="AN292" s="109"/>
      <c r="AO292" s="109"/>
      <c r="AP292" s="109"/>
      <c r="AQ292" s="109"/>
      <c r="AR292" s="109"/>
      <c r="AS292" s="109"/>
    </row>
    <row r="293" spans="1:45" ht="12.6" customHeight="1" x14ac:dyDescent="0.3">
      <c r="A293" s="68"/>
      <c r="B293" s="77" t="s">
        <v>1485</v>
      </c>
      <c r="C293" s="78"/>
      <c r="D293" s="78"/>
      <c r="E293" s="78"/>
      <c r="F293" s="78"/>
      <c r="G293" s="16" t="s">
        <v>1484</v>
      </c>
      <c r="Z293" s="109"/>
      <c r="AA293" s="109"/>
      <c r="AB293" s="109"/>
      <c r="AC293" s="109"/>
      <c r="AD293" s="109"/>
      <c r="AE293" s="109"/>
      <c r="AF293" s="109"/>
      <c r="AG293" s="109"/>
      <c r="AH293" s="109"/>
      <c r="AI293" s="109"/>
      <c r="AJ293" s="109"/>
      <c r="AK293" s="109"/>
      <c r="AL293" s="109"/>
      <c r="AM293" s="109"/>
      <c r="AN293" s="109"/>
      <c r="AO293" s="109"/>
      <c r="AP293" s="109"/>
      <c r="AQ293" s="109"/>
      <c r="AR293" s="109"/>
      <c r="AS293" s="109"/>
    </row>
    <row r="294" spans="1:45" ht="12.6" customHeight="1" x14ac:dyDescent="0.3">
      <c r="A294" s="78"/>
      <c r="B294" s="78"/>
      <c r="C294" s="78"/>
      <c r="D294" s="78"/>
      <c r="E294" s="78"/>
      <c r="F294" s="78"/>
      <c r="G294" s="16" t="s">
        <v>1317</v>
      </c>
      <c r="Z294" s="109"/>
      <c r="AA294" s="109"/>
      <c r="AB294" s="109"/>
      <c r="AC294" s="109"/>
      <c r="AD294" s="109"/>
      <c r="AE294" s="109"/>
      <c r="AF294" s="109"/>
      <c r="AG294" s="109"/>
      <c r="AH294" s="109"/>
      <c r="AI294" s="109"/>
      <c r="AJ294" s="109"/>
      <c r="AK294" s="109"/>
      <c r="AL294" s="109"/>
      <c r="AM294" s="109"/>
      <c r="AN294" s="109"/>
      <c r="AO294" s="109"/>
      <c r="AP294" s="109"/>
      <c r="AQ294" s="109"/>
      <c r="AR294" s="109"/>
      <c r="AS294" s="109"/>
    </row>
    <row r="295" spans="1:45" ht="12.6" customHeight="1" x14ac:dyDescent="0.3">
      <c r="A295" s="78"/>
      <c r="B295" s="78"/>
      <c r="C295" s="78"/>
      <c r="D295" s="78"/>
      <c r="E295" s="78"/>
      <c r="F295" s="78"/>
      <c r="G295" s="16" t="s">
        <v>1317</v>
      </c>
      <c r="Z295" s="109"/>
      <c r="AA295" s="109"/>
      <c r="AB295" s="109"/>
      <c r="AC295" s="109"/>
      <c r="AD295" s="109"/>
      <c r="AE295" s="109"/>
      <c r="AF295" s="109"/>
      <c r="AG295" s="109"/>
      <c r="AH295" s="109"/>
      <c r="AI295" s="109"/>
      <c r="AJ295" s="109"/>
      <c r="AK295" s="109"/>
      <c r="AL295" s="109"/>
      <c r="AM295" s="109"/>
      <c r="AN295" s="109"/>
      <c r="AO295" s="109"/>
      <c r="AP295" s="109"/>
      <c r="AQ295" s="109"/>
      <c r="AR295" s="109"/>
      <c r="AS295" s="109"/>
    </row>
    <row r="296" spans="1:45" ht="12.6" customHeight="1" x14ac:dyDescent="0.3">
      <c r="A296" s="68"/>
      <c r="B296" s="77" t="s">
        <v>1487</v>
      </c>
      <c r="C296" s="78"/>
      <c r="D296" s="78"/>
      <c r="E296" s="78"/>
      <c r="F296" s="78"/>
      <c r="G296" s="16" t="s">
        <v>1486</v>
      </c>
      <c r="Z296" s="109"/>
      <c r="AA296" s="109"/>
      <c r="AB296" s="109"/>
      <c r="AC296" s="109"/>
      <c r="AD296" s="109"/>
      <c r="AE296" s="109"/>
      <c r="AF296" s="109"/>
      <c r="AG296" s="109"/>
      <c r="AH296" s="109"/>
      <c r="AI296" s="109"/>
      <c r="AJ296" s="109"/>
      <c r="AK296" s="109"/>
      <c r="AL296" s="109"/>
      <c r="AM296" s="109"/>
      <c r="AN296" s="109"/>
      <c r="AO296" s="109"/>
      <c r="AP296" s="109"/>
      <c r="AQ296" s="109"/>
      <c r="AR296" s="109"/>
      <c r="AS296" s="109"/>
    </row>
    <row r="297" spans="1:45" ht="12.6" customHeight="1" x14ac:dyDescent="0.3">
      <c r="A297" s="78"/>
      <c r="B297" s="78"/>
      <c r="C297" s="78"/>
      <c r="D297" s="78"/>
      <c r="E297" s="78"/>
      <c r="F297" s="78"/>
      <c r="G297" s="16" t="s">
        <v>1317</v>
      </c>
      <c r="Z297" s="109"/>
      <c r="AA297" s="109"/>
      <c r="AB297" s="109"/>
      <c r="AC297" s="109"/>
      <c r="AD297" s="109"/>
      <c r="AE297" s="109"/>
      <c r="AF297" s="109"/>
      <c r="AG297" s="109"/>
      <c r="AH297" s="109"/>
      <c r="AI297" s="109"/>
      <c r="AJ297" s="109"/>
      <c r="AK297" s="109"/>
      <c r="AL297" s="109"/>
      <c r="AM297" s="109"/>
      <c r="AN297" s="109"/>
      <c r="AO297" s="109"/>
      <c r="AP297" s="109"/>
      <c r="AQ297" s="109"/>
      <c r="AR297" s="109"/>
      <c r="AS297" s="109"/>
    </row>
    <row r="298" spans="1:45" ht="12.6" customHeight="1" x14ac:dyDescent="0.3">
      <c r="A298" s="78"/>
      <c r="B298" s="78"/>
      <c r="C298" s="78"/>
      <c r="D298" s="78"/>
      <c r="E298" s="78"/>
      <c r="F298" s="78"/>
      <c r="G298" s="16" t="s">
        <v>1317</v>
      </c>
      <c r="Z298" s="109"/>
      <c r="AA298" s="109"/>
      <c r="AB298" s="109"/>
      <c r="AC298" s="109"/>
      <c r="AD298" s="109"/>
      <c r="AE298" s="109"/>
      <c r="AF298" s="109"/>
      <c r="AG298" s="109"/>
      <c r="AH298" s="109"/>
      <c r="AI298" s="109"/>
      <c r="AJ298" s="109"/>
      <c r="AK298" s="109"/>
      <c r="AL298" s="109"/>
      <c r="AM298" s="109"/>
      <c r="AN298" s="109"/>
      <c r="AO298" s="109"/>
      <c r="AP298" s="109"/>
      <c r="AQ298" s="109"/>
      <c r="AR298" s="109"/>
      <c r="AS298" s="109"/>
    </row>
    <row r="299" spans="1:45" ht="12.6" customHeight="1" x14ac:dyDescent="0.3">
      <c r="A299" s="68" t="s">
        <v>663</v>
      </c>
      <c r="B299" s="97" t="str">
        <f>"  보통인부: "&amp;Z299&amp;" * "&amp;TEXT(I299,"#,##0"&amp;IF(I299&lt;&gt;INT(I299),".###",""))&amp;"  = "&amp;TEXT(C299,"#,##0.0")&amp;""</f>
        <v xml:space="preserve">  보통인부: 0.018 * 165,545  = 2,979.8</v>
      </c>
      <c r="C299" s="99">
        <f>E299+D299+F299</f>
        <v>2979.8</v>
      </c>
      <c r="D299" s="99">
        <f>IF(H299=0,0,ROUNDDOWN(J299*H299,1))</f>
        <v>2979.8</v>
      </c>
      <c r="E299" s="99">
        <f>IF(H299=0,0,ROUNDDOWN(K299*H299,1))</f>
        <v>0</v>
      </c>
      <c r="F299" s="99">
        <f>IF(H299=0,0,ROUNDDOWN(L299*H299,1))</f>
        <v>0</v>
      </c>
      <c r="G299" s="16" t="s">
        <v>1488</v>
      </c>
      <c r="H299" s="105">
        <f>AC299</f>
        <v>1.7999999999999999E-2</v>
      </c>
      <c r="I299" s="106">
        <f>K299+J299+L299</f>
        <v>165545</v>
      </c>
      <c r="J299" s="39">
        <f>노무비목록표!E9</f>
        <v>165545</v>
      </c>
      <c r="M299" s="20" t="s">
        <v>1126</v>
      </c>
      <c r="N299" s="20" t="s">
        <v>1332</v>
      </c>
      <c r="X299" s="108" t="str">
        <f>노무비목록표!B9&amp;" / "&amp;노무비목록표!C9</f>
        <v xml:space="preserve">보통인부 / </v>
      </c>
      <c r="Y299" s="19" t="str">
        <f ca="1">HYPERLINK("#"&amp;노무비목록표!G2&amp;"!A"&amp;ROW(노무비목록표!A9),"노무    6 →")</f>
        <v>노무    6 →</v>
      </c>
      <c r="Z299" s="110">
        <v>1.7999999999999999E-2</v>
      </c>
      <c r="AA299" s="20" t="s">
        <v>1325</v>
      </c>
      <c r="AB299" s="20" t="s">
        <v>1326</v>
      </c>
      <c r="AC299" s="113">
        <f>Z299*1</f>
        <v>1.7999999999999999E-2</v>
      </c>
      <c r="AD299" s="109"/>
      <c r="AE299" s="109"/>
      <c r="AF299" s="109"/>
      <c r="AG299" s="109"/>
      <c r="AH299" s="109"/>
      <c r="AI299" s="109"/>
      <c r="AJ299" s="109"/>
      <c r="AK299" s="109"/>
      <c r="AL299" s="109"/>
      <c r="AM299" s="109"/>
      <c r="AN299" s="109"/>
      <c r="AO299" s="109"/>
      <c r="AP299" s="109"/>
      <c r="AQ299" s="109"/>
      <c r="AR299" s="109"/>
      <c r="AS299" s="109"/>
    </row>
    <row r="300" spans="1:45" ht="12.6" customHeight="1" x14ac:dyDescent="0.3">
      <c r="A300" s="78"/>
      <c r="B300" s="78"/>
      <c r="C300" s="78"/>
      <c r="D300" s="78"/>
      <c r="E300" s="78"/>
      <c r="F300" s="78"/>
      <c r="G300" s="16" t="s">
        <v>1317</v>
      </c>
      <c r="Z300" s="109"/>
      <c r="AA300" s="109"/>
      <c r="AB300" s="109"/>
      <c r="AC300" s="109"/>
      <c r="AD300" s="109"/>
      <c r="AE300" s="109"/>
      <c r="AF300" s="109"/>
      <c r="AG300" s="109"/>
      <c r="AH300" s="109"/>
      <c r="AI300" s="109"/>
      <c r="AJ300" s="109"/>
      <c r="AK300" s="109"/>
      <c r="AL300" s="109"/>
      <c r="AM300" s="109"/>
      <c r="AN300" s="109"/>
      <c r="AO300" s="109"/>
      <c r="AP300" s="109"/>
      <c r="AQ300" s="109"/>
      <c r="AR300" s="109"/>
      <c r="AS300" s="109"/>
    </row>
    <row r="301" spans="1:45" ht="12.6" customHeight="1" x14ac:dyDescent="0.3">
      <c r="A301" s="78"/>
      <c r="B301" s="78"/>
      <c r="C301" s="78"/>
      <c r="D301" s="78"/>
      <c r="E301" s="78"/>
      <c r="F301" s="78"/>
      <c r="G301" s="16" t="s">
        <v>1317</v>
      </c>
      <c r="Z301" s="109"/>
      <c r="AA301" s="109"/>
      <c r="AB301" s="109"/>
      <c r="AC301" s="109"/>
      <c r="AD301" s="109"/>
      <c r="AE301" s="109"/>
      <c r="AF301" s="109"/>
      <c r="AG301" s="109"/>
      <c r="AH301" s="109"/>
      <c r="AI301" s="109"/>
      <c r="AJ301" s="109"/>
      <c r="AK301" s="109"/>
      <c r="AL301" s="109"/>
      <c r="AM301" s="109"/>
      <c r="AN301" s="109"/>
      <c r="AO301" s="109"/>
      <c r="AP301" s="109"/>
      <c r="AQ301" s="109"/>
      <c r="AR301" s="109"/>
      <c r="AS301" s="109"/>
    </row>
    <row r="302" spans="1:45" ht="12.6" customHeight="1" x14ac:dyDescent="0.3">
      <c r="A302" s="68"/>
      <c r="B302" s="77" t="s">
        <v>1331</v>
      </c>
      <c r="C302" s="100">
        <f>E302+D302+F302</f>
        <v>2979.8</v>
      </c>
      <c r="D302" s="100">
        <f>SUMIF(N287:N301,M302,D287:D301)</f>
        <v>2979.8</v>
      </c>
      <c r="E302" s="100">
        <f>SUMIF(N287:N301,M302,E287:E301)</f>
        <v>0</v>
      </c>
      <c r="F302" s="100">
        <f>SUMIF(N287:N301,M302,F287:F301)</f>
        <v>0</v>
      </c>
      <c r="G302" s="16" t="s">
        <v>1415</v>
      </c>
      <c r="M302" s="20" t="s">
        <v>1332</v>
      </c>
      <c r="N302" s="20" t="s">
        <v>1341</v>
      </c>
      <c r="Z302" s="109"/>
      <c r="AA302" s="109"/>
      <c r="AB302" s="109"/>
      <c r="AC302" s="109"/>
      <c r="AD302" s="109"/>
      <c r="AE302" s="109"/>
      <c r="AF302" s="109"/>
      <c r="AG302" s="109"/>
      <c r="AH302" s="109"/>
      <c r="AI302" s="109"/>
      <c r="AJ302" s="109"/>
      <c r="AK302" s="109"/>
      <c r="AL302" s="109"/>
      <c r="AM302" s="109"/>
      <c r="AN302" s="109"/>
      <c r="AO302" s="109"/>
      <c r="AP302" s="109"/>
      <c r="AQ302" s="109"/>
      <c r="AR302" s="109"/>
      <c r="AS302" s="109"/>
    </row>
    <row r="303" spans="1:45" ht="12.6" customHeight="1" x14ac:dyDescent="0.3">
      <c r="A303" s="78"/>
      <c r="B303" s="78"/>
      <c r="C303" s="98"/>
      <c r="D303" s="98"/>
      <c r="E303" s="98"/>
      <c r="F303" s="98"/>
      <c r="G303" s="16" t="s">
        <v>1317</v>
      </c>
      <c r="Z303" s="109"/>
      <c r="AA303" s="109"/>
      <c r="AB303" s="109"/>
      <c r="AC303" s="109"/>
      <c r="AD303" s="109"/>
      <c r="AE303" s="109"/>
      <c r="AF303" s="109"/>
      <c r="AG303" s="109"/>
      <c r="AH303" s="109"/>
      <c r="AI303" s="109"/>
      <c r="AJ303" s="109"/>
      <c r="AK303" s="109"/>
      <c r="AL303" s="109"/>
      <c r="AM303" s="109"/>
      <c r="AN303" s="109"/>
      <c r="AO303" s="109"/>
      <c r="AP303" s="109"/>
      <c r="AQ303" s="109"/>
      <c r="AR303" s="109"/>
      <c r="AS303" s="109"/>
    </row>
    <row r="304" spans="1:45" ht="12.6" customHeight="1" x14ac:dyDescent="0.3">
      <c r="A304" s="78"/>
      <c r="B304" s="78"/>
      <c r="C304" s="78"/>
      <c r="D304" s="78"/>
      <c r="E304" s="78"/>
      <c r="F304" s="78"/>
      <c r="G304" s="16" t="s">
        <v>1317</v>
      </c>
      <c r="Z304" s="109"/>
      <c r="AA304" s="109"/>
      <c r="AB304" s="109"/>
      <c r="AC304" s="109"/>
      <c r="AD304" s="109"/>
      <c r="AE304" s="109"/>
      <c r="AF304" s="109"/>
      <c r="AG304" s="109"/>
      <c r="AH304" s="109"/>
      <c r="AI304" s="109"/>
      <c r="AJ304" s="109"/>
      <c r="AK304" s="109"/>
      <c r="AL304" s="109"/>
      <c r="AM304" s="109"/>
      <c r="AN304" s="109"/>
      <c r="AO304" s="109"/>
      <c r="AP304" s="109"/>
      <c r="AQ304" s="109"/>
      <c r="AR304" s="109"/>
      <c r="AS304" s="109"/>
    </row>
    <row r="305" spans="1:45" ht="12.6" customHeight="1" x14ac:dyDescent="0.3">
      <c r="A305" s="68"/>
      <c r="B305" s="77" t="s">
        <v>1490</v>
      </c>
      <c r="C305" s="78"/>
      <c r="D305" s="78"/>
      <c r="E305" s="78"/>
      <c r="F305" s="78"/>
      <c r="G305" s="16" t="s">
        <v>1489</v>
      </c>
      <c r="Z305" s="109"/>
      <c r="AA305" s="109"/>
      <c r="AB305" s="109"/>
      <c r="AC305" s="109"/>
      <c r="AD305" s="109"/>
      <c r="AE305" s="109"/>
      <c r="AF305" s="109"/>
      <c r="AG305" s="109"/>
      <c r="AH305" s="109"/>
      <c r="AI305" s="109"/>
      <c r="AJ305" s="109"/>
      <c r="AK305" s="109"/>
      <c r="AL305" s="109"/>
      <c r="AM305" s="109"/>
      <c r="AN305" s="109"/>
      <c r="AO305" s="109"/>
      <c r="AP305" s="109"/>
      <c r="AQ305" s="109"/>
      <c r="AR305" s="109"/>
      <c r="AS305" s="109"/>
    </row>
    <row r="306" spans="1:45" ht="12.6" customHeight="1" x14ac:dyDescent="0.3">
      <c r="A306" s="78"/>
      <c r="B306" s="78"/>
      <c r="C306" s="78"/>
      <c r="D306" s="78"/>
      <c r="E306" s="78"/>
      <c r="F306" s="78"/>
      <c r="G306" s="16" t="s">
        <v>1317</v>
      </c>
      <c r="Z306" s="109"/>
      <c r="AA306" s="109"/>
      <c r="AB306" s="109"/>
      <c r="AC306" s="109"/>
      <c r="AD306" s="109"/>
      <c r="AE306" s="109"/>
      <c r="AF306" s="109"/>
      <c r="AG306" s="109"/>
      <c r="AH306" s="109"/>
      <c r="AI306" s="109"/>
      <c r="AJ306" s="109"/>
      <c r="AK306" s="109"/>
      <c r="AL306" s="109"/>
      <c r="AM306" s="109"/>
      <c r="AN306" s="109"/>
      <c r="AO306" s="109"/>
      <c r="AP306" s="109"/>
      <c r="AQ306" s="109"/>
      <c r="AR306" s="109"/>
      <c r="AS306" s="109"/>
    </row>
    <row r="307" spans="1:45" ht="12.6" customHeight="1" x14ac:dyDescent="0.3">
      <c r="A307" s="78"/>
      <c r="B307" s="78"/>
      <c r="C307" s="78"/>
      <c r="D307" s="78"/>
      <c r="E307" s="78"/>
      <c r="F307" s="78"/>
      <c r="G307" s="16" t="s">
        <v>1317</v>
      </c>
      <c r="Z307" s="109"/>
      <c r="AA307" s="109"/>
      <c r="AB307" s="109"/>
      <c r="AC307" s="109"/>
      <c r="AD307" s="109"/>
      <c r="AE307" s="109"/>
      <c r="AF307" s="109"/>
      <c r="AG307" s="109"/>
      <c r="AH307" s="109"/>
      <c r="AI307" s="109"/>
      <c r="AJ307" s="109"/>
      <c r="AK307" s="109"/>
      <c r="AL307" s="109"/>
      <c r="AM307" s="109"/>
      <c r="AN307" s="109"/>
      <c r="AO307" s="109"/>
      <c r="AP307" s="109"/>
      <c r="AQ307" s="109"/>
      <c r="AR307" s="109"/>
      <c r="AS307" s="109"/>
    </row>
    <row r="308" spans="1:45" ht="12.6" customHeight="1" x14ac:dyDescent="0.3">
      <c r="A308" s="68" t="s">
        <v>1492</v>
      </c>
      <c r="B308" s="97" t="str">
        <f>" 노무비: "&amp;TEXT(I308,"#,##0"&amp;IF(I308&lt;&gt;INT(I308),".###",""))&amp;" * "&amp;AA308&amp;" = "&amp;TEXT(C308,"#,##0.0")&amp;""</f>
        <v xml:space="preserve"> 노무비: 55,700 * 0.07 = 3,899.0</v>
      </c>
      <c r="C308" s="99">
        <f>E308+D308+F308</f>
        <v>3899</v>
      </c>
      <c r="D308" s="99">
        <f>IF(H308=0,0,ROUNDDOWN(J308*H308,1))</f>
        <v>3899</v>
      </c>
      <c r="E308" s="99">
        <f>IF(H308=0,0,ROUNDDOWN(K308*H308,1))</f>
        <v>0</v>
      </c>
      <c r="F308" s="99">
        <f>IF(H308=0,0,ROUNDDOWN(L308*H308,1))</f>
        <v>0</v>
      </c>
      <c r="G308" s="16" t="s">
        <v>1491</v>
      </c>
      <c r="H308" s="105">
        <f>AC308</f>
        <v>7.0000000000000007E-2</v>
      </c>
      <c r="I308" s="106">
        <f>K308+J308+L308</f>
        <v>55700</v>
      </c>
      <c r="J308" s="39">
        <f>중기목록표!F5</f>
        <v>55700</v>
      </c>
      <c r="M308" s="20" t="s">
        <v>1493</v>
      </c>
      <c r="N308" s="20" t="s">
        <v>1332</v>
      </c>
      <c r="X308" s="108" t="str">
        <f>중기목록표!B5&amp;" / "&amp;중기목록표!C5</f>
        <v xml:space="preserve">굴삭기(0.2m3) / </v>
      </c>
      <c r="Y308" s="19" t="str">
        <f ca="1">HYPERLINK("#"&amp;중기목록표!J2&amp;"!A"&amp;ROW(중기목록표!A5),"중기    2 →")</f>
        <v>중기    2 →</v>
      </c>
      <c r="Z308" s="20" t="s">
        <v>1338</v>
      </c>
      <c r="AA308" s="110">
        <v>7.0000000000000007E-2</v>
      </c>
      <c r="AB308" s="20" t="s">
        <v>1326</v>
      </c>
      <c r="AC308" s="113">
        <f>1*AA308</f>
        <v>7.0000000000000007E-2</v>
      </c>
      <c r="AD308" s="109"/>
      <c r="AE308" s="109"/>
      <c r="AF308" s="109"/>
      <c r="AG308" s="109"/>
      <c r="AH308" s="109"/>
      <c r="AI308" s="109"/>
      <c r="AJ308" s="109"/>
      <c r="AK308" s="109"/>
      <c r="AL308" s="109"/>
      <c r="AM308" s="109"/>
      <c r="AN308" s="109"/>
      <c r="AO308" s="109"/>
      <c r="AP308" s="109"/>
      <c r="AQ308" s="109"/>
      <c r="AR308" s="109"/>
      <c r="AS308" s="109"/>
    </row>
    <row r="309" spans="1:45" ht="12.6" customHeight="1" x14ac:dyDescent="0.3">
      <c r="A309" s="78"/>
      <c r="B309" s="78"/>
      <c r="C309" s="78"/>
      <c r="D309" s="78"/>
      <c r="E309" s="78"/>
      <c r="F309" s="78"/>
      <c r="G309" s="16" t="s">
        <v>1317</v>
      </c>
      <c r="Z309" s="109"/>
      <c r="AA309" s="109"/>
      <c r="AB309" s="109"/>
      <c r="AC309" s="109"/>
      <c r="AD309" s="109"/>
      <c r="AE309" s="109"/>
      <c r="AF309" s="109"/>
      <c r="AG309" s="109"/>
      <c r="AH309" s="109"/>
      <c r="AI309" s="109"/>
      <c r="AJ309" s="109"/>
      <c r="AK309" s="109"/>
      <c r="AL309" s="109"/>
      <c r="AM309" s="109"/>
      <c r="AN309" s="109"/>
      <c r="AO309" s="109"/>
      <c r="AP309" s="109"/>
      <c r="AQ309" s="109"/>
      <c r="AR309" s="109"/>
      <c r="AS309" s="109"/>
    </row>
    <row r="310" spans="1:45" ht="12.6" customHeight="1" x14ac:dyDescent="0.3">
      <c r="A310" s="68" t="s">
        <v>1495</v>
      </c>
      <c r="B310" s="97" t="str">
        <f>" 재료비: "&amp;TEXT(I310,"#,##0"&amp;IF(I310&lt;&gt;INT(I310),".###",""))&amp;" * "&amp;AA310&amp;" = "&amp;TEXT(C310,"#,##0.0")&amp;""</f>
        <v xml:space="preserve"> 재료비: 7,695 * 0.07 = 538.6</v>
      </c>
      <c r="C310" s="99">
        <f>E310+D310+F310</f>
        <v>538.6</v>
      </c>
      <c r="D310" s="99">
        <f>IF(H310=0,0,ROUNDDOWN(J310*H310,1))</f>
        <v>0</v>
      </c>
      <c r="E310" s="99">
        <f>IF(H310=0,0,ROUNDDOWN(K310*H310,1))</f>
        <v>538.6</v>
      </c>
      <c r="F310" s="99">
        <f>IF(H310=0,0,ROUNDDOWN(L310*H310,1))</f>
        <v>0</v>
      </c>
      <c r="G310" s="16" t="s">
        <v>1494</v>
      </c>
      <c r="H310" s="105">
        <f>AC310</f>
        <v>7.0000000000000007E-2</v>
      </c>
      <c r="I310" s="106">
        <f>K310+J310+L310</f>
        <v>7695</v>
      </c>
      <c r="K310" s="39">
        <f>중기목록표!G5</f>
        <v>7695</v>
      </c>
      <c r="M310" s="20" t="s">
        <v>1493</v>
      </c>
      <c r="N310" s="20" t="s">
        <v>1332</v>
      </c>
      <c r="X310" s="108" t="str">
        <f>중기목록표!B5&amp;" / "&amp;중기목록표!C5</f>
        <v xml:space="preserve">굴삭기(0.2m3) / </v>
      </c>
      <c r="Y310" s="19" t="str">
        <f ca="1">HYPERLINK("#"&amp;중기목록표!J2&amp;"!A"&amp;ROW(중기목록표!A5),"중기    2 →")</f>
        <v>중기    2 →</v>
      </c>
      <c r="Z310" s="20" t="s">
        <v>1338</v>
      </c>
      <c r="AA310" s="110">
        <v>7.0000000000000007E-2</v>
      </c>
      <c r="AB310" s="20" t="s">
        <v>1326</v>
      </c>
      <c r="AC310" s="113">
        <f>1*AA310</f>
        <v>7.0000000000000007E-2</v>
      </c>
      <c r="AD310" s="109"/>
      <c r="AE310" s="109"/>
      <c r="AF310" s="109"/>
      <c r="AG310" s="109"/>
      <c r="AH310" s="109"/>
      <c r="AI310" s="109"/>
      <c r="AJ310" s="109"/>
      <c r="AK310" s="109"/>
      <c r="AL310" s="109"/>
      <c r="AM310" s="109"/>
      <c r="AN310" s="109"/>
      <c r="AO310" s="109"/>
      <c r="AP310" s="109"/>
      <c r="AQ310" s="109"/>
      <c r="AR310" s="109"/>
      <c r="AS310" s="109"/>
    </row>
    <row r="311" spans="1:45" ht="12.6" customHeight="1" x14ac:dyDescent="0.3">
      <c r="A311" s="78"/>
      <c r="B311" s="78"/>
      <c r="C311" s="78"/>
      <c r="D311" s="78"/>
      <c r="E311" s="78"/>
      <c r="F311" s="78"/>
      <c r="G311" s="16" t="s">
        <v>1317</v>
      </c>
      <c r="Z311" s="109"/>
      <c r="AA311" s="109"/>
      <c r="AB311" s="109"/>
      <c r="AC311" s="109"/>
      <c r="AD311" s="109"/>
      <c r="AE311" s="109"/>
      <c r="AF311" s="109"/>
      <c r="AG311" s="109"/>
      <c r="AH311" s="109"/>
      <c r="AI311" s="109"/>
      <c r="AJ311" s="109"/>
      <c r="AK311" s="109"/>
      <c r="AL311" s="109"/>
      <c r="AM311" s="109"/>
      <c r="AN311" s="109"/>
      <c r="AO311" s="109"/>
      <c r="AP311" s="109"/>
      <c r="AQ311" s="109"/>
      <c r="AR311" s="109"/>
      <c r="AS311" s="109"/>
    </row>
    <row r="312" spans="1:45" ht="12.6" customHeight="1" x14ac:dyDescent="0.3">
      <c r="A312" s="68" t="s">
        <v>1497</v>
      </c>
      <c r="B312" s="97" t="str">
        <f>" 경  비: "&amp;TEXT(I312,"#,##0"&amp;IF(I312&lt;&gt;INT(I312),".###",""))&amp;" * "&amp;AA312&amp;" = "&amp;TEXT(C312,"#,##0.0")&amp;""</f>
        <v xml:space="preserve"> 경  비: 13,041 * 0.07 = 912.8</v>
      </c>
      <c r="C312" s="99">
        <f>E312+D312+F312</f>
        <v>912.8</v>
      </c>
      <c r="D312" s="99">
        <f>IF(H312=0,0,ROUNDDOWN(J312*H312,1))</f>
        <v>0</v>
      </c>
      <c r="E312" s="99">
        <f>IF(H312=0,0,ROUNDDOWN(K312*H312,1))</f>
        <v>0</v>
      </c>
      <c r="F312" s="99">
        <f>IF(H312=0,0,ROUNDDOWN(L312*H312,1))</f>
        <v>912.8</v>
      </c>
      <c r="G312" s="16" t="s">
        <v>1496</v>
      </c>
      <c r="H312" s="105">
        <f>AC312</f>
        <v>7.0000000000000007E-2</v>
      </c>
      <c r="I312" s="106">
        <f>K312+J312+L312</f>
        <v>13041</v>
      </c>
      <c r="L312" s="39">
        <f>중기목록표!H5</f>
        <v>13041</v>
      </c>
      <c r="M312" s="20" t="s">
        <v>1493</v>
      </c>
      <c r="N312" s="20" t="s">
        <v>1332</v>
      </c>
      <c r="X312" s="108" t="str">
        <f>중기목록표!B5&amp;" / "&amp;중기목록표!C5</f>
        <v xml:space="preserve">굴삭기(0.2m3) / </v>
      </c>
      <c r="Y312" s="19" t="str">
        <f ca="1">HYPERLINK("#"&amp;중기목록표!J2&amp;"!A"&amp;ROW(중기목록표!A5),"중기    2 →")</f>
        <v>중기    2 →</v>
      </c>
      <c r="Z312" s="20" t="s">
        <v>1338</v>
      </c>
      <c r="AA312" s="110">
        <v>7.0000000000000007E-2</v>
      </c>
      <c r="AB312" s="20" t="s">
        <v>1326</v>
      </c>
      <c r="AC312" s="113">
        <f>1*AA312</f>
        <v>7.0000000000000007E-2</v>
      </c>
      <c r="AD312" s="109"/>
      <c r="AE312" s="109"/>
      <c r="AF312" s="109"/>
      <c r="AG312" s="109"/>
      <c r="AH312" s="109"/>
      <c r="AI312" s="109"/>
      <c r="AJ312" s="109"/>
      <c r="AK312" s="109"/>
      <c r="AL312" s="109"/>
      <c r="AM312" s="109"/>
      <c r="AN312" s="109"/>
      <c r="AO312" s="109"/>
      <c r="AP312" s="109"/>
      <c r="AQ312" s="109"/>
      <c r="AR312" s="109"/>
      <c r="AS312" s="109"/>
    </row>
    <row r="313" spans="1:45" ht="12.6" customHeight="1" x14ac:dyDescent="0.3">
      <c r="A313" s="78"/>
      <c r="B313" s="78"/>
      <c r="C313" s="78"/>
      <c r="D313" s="78"/>
      <c r="E313" s="78"/>
      <c r="F313" s="78"/>
      <c r="G313" s="16" t="s">
        <v>1317</v>
      </c>
      <c r="Z313" s="109"/>
      <c r="AA313" s="109"/>
      <c r="AB313" s="109"/>
      <c r="AC313" s="109"/>
      <c r="AD313" s="109"/>
      <c r="AE313" s="109"/>
      <c r="AF313" s="109"/>
      <c r="AG313" s="109"/>
      <c r="AH313" s="109"/>
      <c r="AI313" s="109"/>
      <c r="AJ313" s="109"/>
      <c r="AK313" s="109"/>
      <c r="AL313" s="109"/>
      <c r="AM313" s="109"/>
      <c r="AN313" s="109"/>
      <c r="AO313" s="109"/>
      <c r="AP313" s="109"/>
      <c r="AQ313" s="109"/>
      <c r="AR313" s="109"/>
      <c r="AS313" s="109"/>
    </row>
    <row r="314" spans="1:45" ht="12.6" customHeight="1" x14ac:dyDescent="0.3">
      <c r="A314" s="78"/>
      <c r="B314" s="78"/>
      <c r="C314" s="78"/>
      <c r="D314" s="78"/>
      <c r="E314" s="78"/>
      <c r="F314" s="78"/>
      <c r="G314" s="16" t="s">
        <v>1317</v>
      </c>
      <c r="Z314" s="109"/>
      <c r="AA314" s="109"/>
      <c r="AB314" s="109"/>
      <c r="AC314" s="109"/>
      <c r="AD314" s="109"/>
      <c r="AE314" s="109"/>
      <c r="AF314" s="109"/>
      <c r="AG314" s="109"/>
      <c r="AH314" s="109"/>
      <c r="AI314" s="109"/>
      <c r="AJ314" s="109"/>
      <c r="AK314" s="109"/>
      <c r="AL314" s="109"/>
      <c r="AM314" s="109"/>
      <c r="AN314" s="109"/>
      <c r="AO314" s="109"/>
      <c r="AP314" s="109"/>
      <c r="AQ314" s="109"/>
      <c r="AR314" s="109"/>
      <c r="AS314" s="109"/>
    </row>
    <row r="315" spans="1:45" ht="12.6" customHeight="1" x14ac:dyDescent="0.3">
      <c r="A315" s="68"/>
      <c r="B315" s="77" t="s">
        <v>1331</v>
      </c>
      <c r="C315" s="100">
        <f>E315+D315+F315</f>
        <v>5350.4000000000005</v>
      </c>
      <c r="D315" s="100">
        <f>SUMIF(N303:N314,M315,D303:D314)</f>
        <v>3899</v>
      </c>
      <c r="E315" s="100">
        <f>SUMIF(N303:N314,M315,E303:E314)</f>
        <v>538.6</v>
      </c>
      <c r="F315" s="100">
        <f>SUMIF(N303:N314,M315,F303:F314)</f>
        <v>912.8</v>
      </c>
      <c r="G315" s="16" t="s">
        <v>1415</v>
      </c>
      <c r="M315" s="20" t="s">
        <v>1332</v>
      </c>
      <c r="N315" s="20" t="s">
        <v>1341</v>
      </c>
      <c r="Z315" s="109"/>
      <c r="AA315" s="109"/>
      <c r="AB315" s="109"/>
      <c r="AC315" s="109"/>
      <c r="AD315" s="109"/>
      <c r="AE315" s="109"/>
      <c r="AF315" s="109"/>
      <c r="AG315" s="109"/>
      <c r="AH315" s="109"/>
      <c r="AI315" s="109"/>
      <c r="AJ315" s="109"/>
      <c r="AK315" s="109"/>
      <c r="AL315" s="109"/>
      <c r="AM315" s="109"/>
      <c r="AN315" s="109"/>
      <c r="AO315" s="109"/>
      <c r="AP315" s="109"/>
      <c r="AQ315" s="109"/>
      <c r="AR315" s="109"/>
      <c r="AS315" s="109"/>
    </row>
    <row r="316" spans="1:45" ht="12.6" customHeight="1" x14ac:dyDescent="0.3">
      <c r="A316" s="78"/>
      <c r="B316" s="78"/>
      <c r="C316" s="98"/>
      <c r="D316" s="98"/>
      <c r="E316" s="98"/>
      <c r="F316" s="98"/>
      <c r="G316" s="16" t="s">
        <v>1317</v>
      </c>
      <c r="Z316" s="109"/>
      <c r="AA316" s="109"/>
      <c r="AB316" s="109"/>
      <c r="AC316" s="109"/>
      <c r="AD316" s="109"/>
      <c r="AE316" s="109"/>
      <c r="AF316" s="109"/>
      <c r="AG316" s="109"/>
      <c r="AH316" s="109"/>
      <c r="AI316" s="109"/>
      <c r="AJ316" s="109"/>
      <c r="AK316" s="109"/>
      <c r="AL316" s="109"/>
      <c r="AM316" s="109"/>
      <c r="AN316" s="109"/>
      <c r="AO316" s="109"/>
      <c r="AP316" s="109"/>
      <c r="AQ316" s="109"/>
      <c r="AR316" s="109"/>
      <c r="AS316" s="109"/>
    </row>
    <row r="317" spans="1:45" ht="12.6" customHeight="1" x14ac:dyDescent="0.3">
      <c r="A317" s="78"/>
      <c r="B317" s="78"/>
      <c r="C317" s="78"/>
      <c r="D317" s="78"/>
      <c r="E317" s="78"/>
      <c r="F317" s="78"/>
      <c r="G317" s="16" t="s">
        <v>1317</v>
      </c>
      <c r="Z317" s="109"/>
      <c r="AA317" s="109"/>
      <c r="AB317" s="109"/>
      <c r="AC317" s="109"/>
      <c r="AD317" s="109"/>
      <c r="AE317" s="109"/>
      <c r="AF317" s="109"/>
      <c r="AG317" s="109"/>
      <c r="AH317" s="109"/>
      <c r="AI317" s="109"/>
      <c r="AJ317" s="109"/>
      <c r="AK317" s="109"/>
      <c r="AL317" s="109"/>
      <c r="AM317" s="109"/>
      <c r="AN317" s="109"/>
      <c r="AO317" s="109"/>
      <c r="AP317" s="109"/>
      <c r="AQ317" s="109"/>
      <c r="AR317" s="109"/>
      <c r="AS317" s="109"/>
    </row>
    <row r="318" spans="1:45" ht="12.6" customHeight="1" x14ac:dyDescent="0.3">
      <c r="A318" s="68"/>
      <c r="B318" s="77" t="s">
        <v>1340</v>
      </c>
      <c r="C318" s="100">
        <f>E318+D318+F318</f>
        <v>8330.2000000000007</v>
      </c>
      <c r="D318" s="100">
        <f>SUMIF(N287:N317,M318,D287:D317)</f>
        <v>6878.8</v>
      </c>
      <c r="E318" s="100">
        <f>SUMIF(N287:N317,M318,E287:E317)</f>
        <v>538.6</v>
      </c>
      <c r="F318" s="100">
        <f>SUMIF(N287:N317,M318,F287:F317)</f>
        <v>912.8</v>
      </c>
      <c r="G318" s="16" t="s">
        <v>1380</v>
      </c>
      <c r="M318" s="20" t="s">
        <v>1341</v>
      </c>
      <c r="N318" s="20" t="s">
        <v>1128</v>
      </c>
      <c r="Z318" s="109"/>
      <c r="AA318" s="109"/>
      <c r="AB318" s="109"/>
      <c r="AC318" s="109"/>
      <c r="AD318" s="109"/>
      <c r="AE318" s="109"/>
      <c r="AF318" s="109"/>
      <c r="AG318" s="109"/>
      <c r="AH318" s="109"/>
      <c r="AI318" s="109"/>
      <c r="AJ318" s="109"/>
      <c r="AK318" s="109"/>
      <c r="AL318" s="109"/>
      <c r="AM318" s="109"/>
      <c r="AN318" s="109"/>
      <c r="AO318" s="109"/>
      <c r="AP318" s="109"/>
      <c r="AQ318" s="109"/>
      <c r="AR318" s="109"/>
      <c r="AS318" s="109"/>
    </row>
    <row r="319" spans="1:45" ht="12.6" customHeight="1" x14ac:dyDescent="0.3">
      <c r="A319" s="78"/>
      <c r="B319" s="78"/>
      <c r="C319" s="98"/>
      <c r="D319" s="98"/>
      <c r="E319" s="98"/>
      <c r="F319" s="98"/>
      <c r="Z319" s="109"/>
      <c r="AA319" s="109"/>
      <c r="AB319" s="109"/>
      <c r="AC319" s="109"/>
      <c r="AD319" s="109"/>
      <c r="AE319" s="109"/>
      <c r="AF319" s="109"/>
      <c r="AG319" s="109"/>
      <c r="AH319" s="109"/>
      <c r="AI319" s="109"/>
      <c r="AJ319" s="109"/>
      <c r="AK319" s="109"/>
      <c r="AL319" s="109"/>
      <c r="AM319" s="109"/>
      <c r="AN319" s="109"/>
      <c r="AO319" s="109"/>
      <c r="AP319" s="109"/>
      <c r="AQ319" s="109"/>
      <c r="AR319" s="109"/>
      <c r="AS319" s="109"/>
    </row>
    <row r="320" spans="1:45" ht="12.6" customHeight="1" x14ac:dyDescent="0.3">
      <c r="A320" s="78"/>
      <c r="B320" s="78"/>
      <c r="C320" s="78"/>
      <c r="D320" s="78"/>
      <c r="E320" s="78"/>
      <c r="F320" s="78"/>
      <c r="Z320" s="109"/>
      <c r="AA320" s="109"/>
      <c r="AB320" s="109"/>
      <c r="AC320" s="109"/>
      <c r="AD320" s="109"/>
      <c r="AE320" s="109"/>
      <c r="AF320" s="109"/>
      <c r="AG320" s="109"/>
      <c r="AH320" s="109"/>
      <c r="AI320" s="109"/>
      <c r="AJ320" s="109"/>
      <c r="AK320" s="109"/>
      <c r="AL320" s="109"/>
      <c r="AM320" s="109"/>
      <c r="AN320" s="109"/>
      <c r="AO320" s="109"/>
      <c r="AP320" s="109"/>
      <c r="AQ320" s="109"/>
      <c r="AR320" s="109"/>
      <c r="AS320" s="109"/>
    </row>
    <row r="321" spans="1:45" ht="12.6" customHeight="1" x14ac:dyDescent="0.3">
      <c r="A321" s="78"/>
      <c r="B321" s="78"/>
      <c r="C321" s="78"/>
      <c r="D321" s="78"/>
      <c r="E321" s="78"/>
      <c r="F321" s="78"/>
      <c r="Z321" s="109"/>
      <c r="AA321" s="109"/>
      <c r="AB321" s="109"/>
      <c r="AC321" s="109"/>
      <c r="AD321" s="109"/>
      <c r="AE321" s="109"/>
      <c r="AF321" s="109"/>
      <c r="AG321" s="109"/>
      <c r="AH321" s="109"/>
      <c r="AI321" s="109"/>
      <c r="AJ321" s="109"/>
      <c r="AK321" s="109"/>
      <c r="AL321" s="109"/>
      <c r="AM321" s="109"/>
      <c r="AN321" s="109"/>
      <c r="AO321" s="109"/>
      <c r="AP321" s="109"/>
      <c r="AQ321" s="109"/>
      <c r="AR321" s="109"/>
      <c r="AS321" s="109"/>
    </row>
    <row r="322" spans="1:45" ht="12.6" customHeight="1" x14ac:dyDescent="0.3">
      <c r="A322" s="78"/>
      <c r="B322" s="78"/>
      <c r="C322" s="78"/>
      <c r="D322" s="78"/>
      <c r="E322" s="78"/>
      <c r="F322" s="78"/>
      <c r="Z322" s="109"/>
      <c r="AA322" s="109"/>
      <c r="AB322" s="109"/>
      <c r="AC322" s="109"/>
      <c r="AD322" s="109"/>
      <c r="AE322" s="109"/>
      <c r="AF322" s="109"/>
      <c r="AG322" s="109"/>
      <c r="AH322" s="109"/>
      <c r="AI322" s="109"/>
      <c r="AJ322" s="109"/>
      <c r="AK322" s="109"/>
      <c r="AL322" s="109"/>
      <c r="AM322" s="109"/>
      <c r="AN322" s="109"/>
      <c r="AO322" s="109"/>
      <c r="AP322" s="109"/>
      <c r="AQ322" s="109"/>
      <c r="AR322" s="109"/>
      <c r="AS322" s="109"/>
    </row>
    <row r="323" spans="1:45" ht="12.6" customHeight="1" x14ac:dyDescent="0.3">
      <c r="A323" s="78"/>
      <c r="B323" s="78"/>
      <c r="C323" s="78"/>
      <c r="D323" s="78"/>
      <c r="E323" s="78"/>
      <c r="F323" s="78"/>
      <c r="Z323" s="109"/>
      <c r="AA323" s="109"/>
      <c r="AB323" s="109"/>
      <c r="AC323" s="109"/>
      <c r="AD323" s="109"/>
      <c r="AE323" s="109"/>
      <c r="AF323" s="109"/>
      <c r="AG323" s="109"/>
      <c r="AH323" s="109"/>
      <c r="AI323" s="109"/>
      <c r="AJ323" s="109"/>
      <c r="AK323" s="109"/>
      <c r="AL323" s="109"/>
      <c r="AM323" s="109"/>
      <c r="AN323" s="109"/>
      <c r="AO323" s="109"/>
      <c r="AP323" s="109"/>
      <c r="AQ323" s="109"/>
      <c r="AR323" s="109"/>
      <c r="AS323" s="109"/>
    </row>
    <row r="324" spans="1:45" ht="12.6" customHeight="1" x14ac:dyDescent="0.3">
      <c r="A324" s="78"/>
      <c r="B324" s="78"/>
      <c r="C324" s="78"/>
      <c r="D324" s="78"/>
      <c r="E324" s="78"/>
      <c r="F324" s="78"/>
      <c r="Z324" s="109"/>
      <c r="AA324" s="109"/>
      <c r="AB324" s="109"/>
      <c r="AC324" s="109"/>
      <c r="AD324" s="109"/>
      <c r="AE324" s="109"/>
      <c r="AF324" s="109"/>
      <c r="AG324" s="109"/>
      <c r="AH324" s="109"/>
      <c r="AI324" s="109"/>
      <c r="AJ324" s="109"/>
      <c r="AK324" s="109"/>
      <c r="AL324" s="109"/>
      <c r="AM324" s="109"/>
      <c r="AN324" s="109"/>
      <c r="AO324" s="109"/>
      <c r="AP324" s="109"/>
      <c r="AQ324" s="109"/>
      <c r="AR324" s="109"/>
      <c r="AS324" s="109"/>
    </row>
    <row r="325" spans="1:45" ht="12.6" customHeight="1" x14ac:dyDescent="0.3">
      <c r="A325" s="78"/>
      <c r="B325" s="78"/>
      <c r="C325" s="78"/>
      <c r="D325" s="78"/>
      <c r="E325" s="78"/>
      <c r="F325" s="78"/>
      <c r="Z325" s="109"/>
      <c r="AA325" s="109"/>
      <c r="AB325" s="109"/>
      <c r="AC325" s="109"/>
      <c r="AD325" s="109"/>
      <c r="AE325" s="109"/>
      <c r="AF325" s="109"/>
      <c r="AG325" s="109"/>
      <c r="AH325" s="109"/>
      <c r="AI325" s="109"/>
      <c r="AJ325" s="109"/>
      <c r="AK325" s="109"/>
      <c r="AL325" s="109"/>
      <c r="AM325" s="109"/>
      <c r="AN325" s="109"/>
      <c r="AO325" s="109"/>
      <c r="AP325" s="109"/>
      <c r="AQ325" s="109"/>
      <c r="AR325" s="109"/>
      <c r="AS325" s="109"/>
    </row>
    <row r="326" spans="1:45" ht="12.6" customHeight="1" x14ac:dyDescent="0.3">
      <c r="A326" s="78"/>
      <c r="B326" s="78"/>
      <c r="C326" s="78"/>
      <c r="D326" s="78"/>
      <c r="E326" s="78"/>
      <c r="F326" s="78"/>
      <c r="Z326" s="109"/>
      <c r="AA326" s="109"/>
      <c r="AB326" s="109"/>
      <c r="AC326" s="109"/>
      <c r="AD326" s="109"/>
      <c r="AE326" s="109"/>
      <c r="AF326" s="109"/>
      <c r="AG326" s="109"/>
      <c r="AH326" s="109"/>
      <c r="AI326" s="109"/>
      <c r="AJ326" s="109"/>
      <c r="AK326" s="109"/>
      <c r="AL326" s="109"/>
      <c r="AM326" s="109"/>
      <c r="AN326" s="109"/>
      <c r="AO326" s="109"/>
      <c r="AP326" s="109"/>
      <c r="AQ326" s="109"/>
      <c r="AR326" s="109"/>
      <c r="AS326" s="109"/>
    </row>
    <row r="327" spans="1:45" ht="12.6" customHeight="1" x14ac:dyDescent="0.3">
      <c r="A327" s="78"/>
      <c r="B327" s="78"/>
      <c r="C327" s="78"/>
      <c r="D327" s="78"/>
      <c r="E327" s="78"/>
      <c r="F327" s="78"/>
      <c r="Z327" s="109"/>
      <c r="AA327" s="109"/>
      <c r="AB327" s="109"/>
      <c r="AC327" s="109"/>
      <c r="AD327" s="109"/>
      <c r="AE327" s="109"/>
      <c r="AF327" s="109"/>
      <c r="AG327" s="109"/>
      <c r="AH327" s="109"/>
      <c r="AI327" s="109"/>
      <c r="AJ327" s="109"/>
      <c r="AK327" s="109"/>
      <c r="AL327" s="109"/>
      <c r="AM327" s="109"/>
      <c r="AN327" s="109"/>
      <c r="AO327" s="109"/>
      <c r="AP327" s="109"/>
      <c r="AQ327" s="109"/>
      <c r="AR327" s="109"/>
      <c r="AS327" s="109"/>
    </row>
    <row r="328" spans="1:45" ht="12.6" customHeight="1" x14ac:dyDescent="0.3">
      <c r="A328" s="78"/>
      <c r="B328" s="78"/>
      <c r="C328" s="78"/>
      <c r="D328" s="78"/>
      <c r="E328" s="78"/>
      <c r="F328" s="78"/>
      <c r="Z328" s="109"/>
      <c r="AA328" s="109"/>
      <c r="AB328" s="109"/>
      <c r="AC328" s="109"/>
      <c r="AD328" s="109"/>
      <c r="AE328" s="109"/>
      <c r="AF328" s="109"/>
      <c r="AG328" s="109"/>
      <c r="AH328" s="109"/>
      <c r="AI328" s="109"/>
      <c r="AJ328" s="109"/>
      <c r="AK328" s="109"/>
      <c r="AL328" s="109"/>
      <c r="AM328" s="109"/>
      <c r="AN328" s="109"/>
      <c r="AO328" s="109"/>
      <c r="AP328" s="109"/>
      <c r="AQ328" s="109"/>
      <c r="AR328" s="109"/>
      <c r="AS328" s="109"/>
    </row>
    <row r="329" spans="1:45" ht="12.6" customHeight="1" x14ac:dyDescent="0.3">
      <c r="A329" s="78"/>
      <c r="B329" s="78"/>
      <c r="C329" s="78"/>
      <c r="D329" s="78"/>
      <c r="E329" s="78"/>
      <c r="F329" s="78"/>
      <c r="Z329" s="109"/>
      <c r="AA329" s="109"/>
      <c r="AB329" s="109"/>
      <c r="AC329" s="109"/>
      <c r="AD329" s="109"/>
      <c r="AE329" s="109"/>
      <c r="AF329" s="109"/>
      <c r="AG329" s="109"/>
      <c r="AH329" s="109"/>
      <c r="AI329" s="109"/>
      <c r="AJ329" s="109"/>
      <c r="AK329" s="109"/>
      <c r="AL329" s="109"/>
      <c r="AM329" s="109"/>
      <c r="AN329" s="109"/>
      <c r="AO329" s="109"/>
      <c r="AP329" s="109"/>
      <c r="AQ329" s="109"/>
      <c r="AR329" s="109"/>
      <c r="AS329" s="109"/>
    </row>
    <row r="330" spans="1:45" ht="12.6" customHeight="1" x14ac:dyDescent="0.3">
      <c r="A330" s="78"/>
      <c r="B330" s="78"/>
      <c r="C330" s="78"/>
      <c r="D330" s="78"/>
      <c r="E330" s="78"/>
      <c r="F330" s="78"/>
      <c r="Z330" s="109"/>
      <c r="AA330" s="109"/>
      <c r="AB330" s="109"/>
      <c r="AC330" s="109"/>
      <c r="AD330" s="109"/>
      <c r="AE330" s="109"/>
      <c r="AF330" s="109"/>
      <c r="AG330" s="109"/>
      <c r="AH330" s="109"/>
      <c r="AI330" s="109"/>
      <c r="AJ330" s="109"/>
      <c r="AK330" s="109"/>
      <c r="AL330" s="109"/>
      <c r="AM330" s="109"/>
      <c r="AN330" s="109"/>
      <c r="AO330" s="109"/>
      <c r="AP330" s="109"/>
      <c r="AQ330" s="109"/>
      <c r="AR330" s="109"/>
      <c r="AS330" s="109"/>
    </row>
    <row r="331" spans="1:45" ht="12.6" customHeight="1" x14ac:dyDescent="0.3">
      <c r="A331" s="78"/>
      <c r="B331" s="78"/>
      <c r="C331" s="78"/>
      <c r="D331" s="78"/>
      <c r="E331" s="78"/>
      <c r="F331" s="78"/>
      <c r="Z331" s="109"/>
      <c r="AA331" s="109"/>
      <c r="AB331" s="109"/>
      <c r="AC331" s="109"/>
      <c r="AD331" s="109"/>
      <c r="AE331" s="109"/>
      <c r="AF331" s="109"/>
      <c r="AG331" s="109"/>
      <c r="AH331" s="109"/>
      <c r="AI331" s="109"/>
      <c r="AJ331" s="109"/>
      <c r="AK331" s="109"/>
      <c r="AL331" s="109"/>
      <c r="AM331" s="109"/>
      <c r="AN331" s="109"/>
      <c r="AO331" s="109"/>
      <c r="AP331" s="109"/>
      <c r="AQ331" s="109"/>
      <c r="AR331" s="109"/>
      <c r="AS331" s="109"/>
    </row>
    <row r="332" spans="1:45" ht="12.6" customHeight="1" x14ac:dyDescent="0.3">
      <c r="A332" s="78"/>
      <c r="B332" s="78"/>
      <c r="C332" s="78"/>
      <c r="D332" s="78"/>
      <c r="E332" s="78"/>
      <c r="F332" s="78"/>
      <c r="Z332" s="109"/>
      <c r="AA332" s="109"/>
      <c r="AB332" s="109"/>
      <c r="AC332" s="109"/>
      <c r="AD332" s="109"/>
      <c r="AE332" s="109"/>
      <c r="AF332" s="109"/>
      <c r="AG332" s="109"/>
      <c r="AH332" s="109"/>
      <c r="AI332" s="109"/>
      <c r="AJ332" s="109"/>
      <c r="AK332" s="109"/>
      <c r="AL332" s="109"/>
      <c r="AM332" s="109"/>
      <c r="AN332" s="109"/>
      <c r="AO332" s="109"/>
      <c r="AP332" s="109"/>
      <c r="AQ332" s="109"/>
      <c r="AR332" s="109"/>
      <c r="AS332" s="109"/>
    </row>
    <row r="333" spans="1:45" ht="12.6" customHeight="1" x14ac:dyDescent="0.3">
      <c r="A333" s="78"/>
      <c r="B333" s="78"/>
      <c r="C333" s="78"/>
      <c r="D333" s="78"/>
      <c r="E333" s="78"/>
      <c r="F333" s="78"/>
      <c r="Z333" s="109"/>
      <c r="AA333" s="109"/>
      <c r="AB333" s="109"/>
      <c r="AC333" s="109"/>
      <c r="AD333" s="109"/>
      <c r="AE333" s="109"/>
      <c r="AF333" s="109"/>
      <c r="AG333" s="109"/>
      <c r="AH333" s="109"/>
      <c r="AI333" s="109"/>
      <c r="AJ333" s="109"/>
      <c r="AK333" s="109"/>
      <c r="AL333" s="109"/>
      <c r="AM333" s="109"/>
      <c r="AN333" s="109"/>
      <c r="AO333" s="109"/>
      <c r="AP333" s="109"/>
      <c r="AQ333" s="109"/>
      <c r="AR333" s="109"/>
      <c r="AS333" s="109"/>
    </row>
    <row r="334" spans="1:45" ht="12.6" customHeight="1" x14ac:dyDescent="0.3">
      <c r="A334" s="78"/>
      <c r="B334" s="78"/>
      <c r="C334" s="78"/>
      <c r="D334" s="78"/>
      <c r="E334" s="78"/>
      <c r="F334" s="78"/>
      <c r="Z334" s="109"/>
      <c r="AA334" s="109"/>
      <c r="AB334" s="109"/>
      <c r="AC334" s="109"/>
      <c r="AD334" s="109"/>
      <c r="AE334" s="109"/>
      <c r="AF334" s="109"/>
      <c r="AG334" s="109"/>
      <c r="AH334" s="109"/>
      <c r="AI334" s="109"/>
      <c r="AJ334" s="109"/>
      <c r="AK334" s="109"/>
      <c r="AL334" s="109"/>
      <c r="AM334" s="109"/>
      <c r="AN334" s="109"/>
      <c r="AO334" s="109"/>
      <c r="AP334" s="109"/>
      <c r="AQ334" s="109"/>
      <c r="AR334" s="109"/>
      <c r="AS334" s="109"/>
    </row>
    <row r="335" spans="1:45" ht="12.6" customHeight="1" x14ac:dyDescent="0.3">
      <c r="A335" s="78"/>
      <c r="B335" s="78"/>
      <c r="C335" s="78"/>
      <c r="D335" s="78"/>
      <c r="E335" s="78"/>
      <c r="F335" s="78"/>
      <c r="Z335" s="109"/>
      <c r="AA335" s="109"/>
      <c r="AB335" s="109"/>
      <c r="AC335" s="109"/>
      <c r="AD335" s="109"/>
      <c r="AE335" s="109"/>
      <c r="AF335" s="109"/>
      <c r="AG335" s="109"/>
      <c r="AH335" s="109"/>
      <c r="AI335" s="109"/>
      <c r="AJ335" s="109"/>
      <c r="AK335" s="109"/>
      <c r="AL335" s="109"/>
      <c r="AM335" s="109"/>
      <c r="AN335" s="109"/>
      <c r="AO335" s="109"/>
      <c r="AP335" s="109"/>
      <c r="AQ335" s="109"/>
      <c r="AR335" s="109"/>
      <c r="AS335" s="109"/>
    </row>
    <row r="336" spans="1:45" ht="12.6" customHeight="1" x14ac:dyDescent="0.3">
      <c r="A336" s="78"/>
      <c r="B336" s="78"/>
      <c r="C336" s="78"/>
      <c r="D336" s="78"/>
      <c r="E336" s="78"/>
      <c r="F336" s="78"/>
      <c r="Z336" s="109"/>
      <c r="AA336" s="109"/>
      <c r="AB336" s="109"/>
      <c r="AC336" s="109"/>
      <c r="AD336" s="109"/>
      <c r="AE336" s="109"/>
      <c r="AF336" s="109"/>
      <c r="AG336" s="109"/>
      <c r="AH336" s="109"/>
      <c r="AI336" s="109"/>
      <c r="AJ336" s="109"/>
      <c r="AK336" s="109"/>
      <c r="AL336" s="109"/>
      <c r="AM336" s="109"/>
      <c r="AN336" s="109"/>
      <c r="AO336" s="109"/>
      <c r="AP336" s="109"/>
      <c r="AQ336" s="109"/>
      <c r="AR336" s="109"/>
      <c r="AS336" s="109"/>
    </row>
    <row r="337" spans="1:45" ht="12.6" customHeight="1" x14ac:dyDescent="0.3">
      <c r="A337" s="78"/>
      <c r="B337" s="78"/>
      <c r="C337" s="78"/>
      <c r="D337" s="78"/>
      <c r="E337" s="78"/>
      <c r="F337" s="78"/>
      <c r="Z337" s="109"/>
      <c r="AA337" s="109"/>
      <c r="AB337" s="109"/>
      <c r="AC337" s="109"/>
      <c r="AD337" s="109"/>
      <c r="AE337" s="109"/>
      <c r="AF337" s="109"/>
      <c r="AG337" s="109"/>
      <c r="AH337" s="109"/>
      <c r="AI337" s="109"/>
      <c r="AJ337" s="109"/>
      <c r="AK337" s="109"/>
      <c r="AL337" s="109"/>
      <c r="AM337" s="109"/>
      <c r="AN337" s="109"/>
      <c r="AO337" s="109"/>
      <c r="AP337" s="109"/>
      <c r="AQ337" s="109"/>
      <c r="AR337" s="109"/>
      <c r="AS337" s="109"/>
    </row>
    <row r="338" spans="1:45" ht="12.6" customHeight="1" x14ac:dyDescent="0.3">
      <c r="A338" s="78"/>
      <c r="B338" s="78"/>
      <c r="C338" s="78"/>
      <c r="D338" s="78"/>
      <c r="E338" s="78"/>
      <c r="F338" s="78"/>
      <c r="Z338" s="109"/>
      <c r="AA338" s="109"/>
      <c r="AB338" s="109"/>
      <c r="AC338" s="109"/>
      <c r="AD338" s="109"/>
      <c r="AE338" s="109"/>
      <c r="AF338" s="109"/>
      <c r="AG338" s="109"/>
      <c r="AH338" s="109"/>
      <c r="AI338" s="109"/>
      <c r="AJ338" s="109"/>
      <c r="AK338" s="109"/>
      <c r="AL338" s="109"/>
      <c r="AM338" s="109"/>
      <c r="AN338" s="109"/>
      <c r="AO338" s="109"/>
      <c r="AP338" s="109"/>
      <c r="AQ338" s="109"/>
      <c r="AR338" s="109"/>
      <c r="AS338" s="109"/>
    </row>
    <row r="339" spans="1:45" ht="12.6" customHeight="1" x14ac:dyDescent="0.3">
      <c r="A339" s="78"/>
      <c r="B339" s="78"/>
      <c r="C339" s="78"/>
      <c r="D339" s="78"/>
      <c r="E339" s="78"/>
      <c r="F339" s="78"/>
      <c r="Z339" s="109"/>
      <c r="AA339" s="109"/>
      <c r="AB339" s="109"/>
      <c r="AC339" s="109"/>
      <c r="AD339" s="109"/>
      <c r="AE339" s="109"/>
      <c r="AF339" s="109"/>
      <c r="AG339" s="109"/>
      <c r="AH339" s="109"/>
      <c r="AI339" s="109"/>
      <c r="AJ339" s="109"/>
      <c r="AK339" s="109"/>
      <c r="AL339" s="109"/>
      <c r="AM339" s="109"/>
      <c r="AN339" s="109"/>
      <c r="AO339" s="109"/>
      <c r="AP339" s="109"/>
      <c r="AQ339" s="109"/>
      <c r="AR339" s="109"/>
      <c r="AS339" s="109"/>
    </row>
    <row r="340" spans="1:45" ht="12.6" customHeight="1" x14ac:dyDescent="0.3">
      <c r="A340" s="78"/>
      <c r="B340" s="78"/>
      <c r="C340" s="78"/>
      <c r="D340" s="78"/>
      <c r="E340" s="78"/>
      <c r="F340" s="78"/>
      <c r="Z340" s="109"/>
      <c r="AA340" s="109"/>
      <c r="AB340" s="109"/>
      <c r="AC340" s="109"/>
      <c r="AD340" s="109"/>
      <c r="AE340" s="109"/>
      <c r="AF340" s="109"/>
      <c r="AG340" s="109"/>
      <c r="AH340" s="109"/>
      <c r="AI340" s="109"/>
      <c r="AJ340" s="109"/>
      <c r="AK340" s="109"/>
      <c r="AL340" s="109"/>
      <c r="AM340" s="109"/>
      <c r="AN340" s="109"/>
      <c r="AO340" s="109"/>
      <c r="AP340" s="109"/>
      <c r="AQ340" s="109"/>
      <c r="AR340" s="109"/>
      <c r="AS340" s="109"/>
    </row>
    <row r="341" spans="1:45" ht="12.6" customHeight="1" x14ac:dyDescent="0.3">
      <c r="A341" s="78"/>
      <c r="B341" s="78"/>
      <c r="C341" s="78"/>
      <c r="D341" s="78"/>
      <c r="E341" s="78"/>
      <c r="F341" s="78"/>
      <c r="Z341" s="109"/>
      <c r="AA341" s="109"/>
      <c r="AB341" s="109"/>
      <c r="AC341" s="109"/>
      <c r="AD341" s="109"/>
      <c r="AE341" s="109"/>
      <c r="AF341" s="109"/>
      <c r="AG341" s="109"/>
      <c r="AH341" s="109"/>
      <c r="AI341" s="109"/>
      <c r="AJ341" s="109"/>
      <c r="AK341" s="109"/>
      <c r="AL341" s="109"/>
      <c r="AM341" s="109"/>
      <c r="AN341" s="109"/>
      <c r="AO341" s="109"/>
      <c r="AP341" s="109"/>
      <c r="AQ341" s="109"/>
      <c r="AR341" s="109"/>
      <c r="AS341" s="109"/>
    </row>
    <row r="342" spans="1:45" ht="12.6" customHeight="1" x14ac:dyDescent="0.3">
      <c r="A342" s="78"/>
      <c r="B342" s="78"/>
      <c r="C342" s="78"/>
      <c r="D342" s="78"/>
      <c r="E342" s="78"/>
      <c r="F342" s="78"/>
      <c r="Z342" s="109"/>
      <c r="AA342" s="109"/>
      <c r="AB342" s="109"/>
      <c r="AC342" s="109"/>
      <c r="AD342" s="109"/>
      <c r="AE342" s="109"/>
      <c r="AF342" s="109"/>
      <c r="AG342" s="109"/>
      <c r="AH342" s="109"/>
      <c r="AI342" s="109"/>
      <c r="AJ342" s="109"/>
      <c r="AK342" s="109"/>
      <c r="AL342" s="109"/>
      <c r="AM342" s="109"/>
      <c r="AN342" s="109"/>
      <c r="AO342" s="109"/>
      <c r="AP342" s="109"/>
      <c r="AQ342" s="109"/>
      <c r="AR342" s="109"/>
      <c r="AS342" s="109"/>
    </row>
    <row r="343" spans="1:45" ht="12.6" customHeight="1" x14ac:dyDescent="0.3">
      <c r="A343" s="78"/>
      <c r="B343" s="78"/>
      <c r="C343" s="78"/>
      <c r="D343" s="78"/>
      <c r="E343" s="78"/>
      <c r="F343" s="78"/>
      <c r="Z343" s="109"/>
      <c r="AA343" s="109"/>
      <c r="AB343" s="109"/>
      <c r="AC343" s="109"/>
      <c r="AD343" s="109"/>
      <c r="AE343" s="109"/>
      <c r="AF343" s="109"/>
      <c r="AG343" s="109"/>
      <c r="AH343" s="109"/>
      <c r="AI343" s="109"/>
      <c r="AJ343" s="109"/>
      <c r="AK343" s="109"/>
      <c r="AL343" s="109"/>
      <c r="AM343" s="109"/>
      <c r="AN343" s="109"/>
      <c r="AO343" s="109"/>
      <c r="AP343" s="109"/>
      <c r="AQ343" s="109"/>
      <c r="AR343" s="109"/>
      <c r="AS343" s="109"/>
    </row>
    <row r="344" spans="1:45" ht="12.6" customHeight="1" x14ac:dyDescent="0.3">
      <c r="A344" s="78"/>
      <c r="B344" s="78"/>
      <c r="C344" s="78"/>
      <c r="D344" s="78"/>
      <c r="E344" s="78"/>
      <c r="F344" s="78"/>
      <c r="Z344" s="109"/>
      <c r="AA344" s="109"/>
      <c r="AB344" s="109"/>
      <c r="AC344" s="109"/>
      <c r="AD344" s="109"/>
      <c r="AE344" s="109"/>
      <c r="AF344" s="109"/>
      <c r="AG344" s="109"/>
      <c r="AH344" s="109"/>
      <c r="AI344" s="109"/>
      <c r="AJ344" s="109"/>
      <c r="AK344" s="109"/>
      <c r="AL344" s="109"/>
      <c r="AM344" s="109"/>
      <c r="AN344" s="109"/>
      <c r="AO344" s="109"/>
      <c r="AP344" s="109"/>
      <c r="AQ344" s="109"/>
      <c r="AR344" s="109"/>
      <c r="AS344" s="109"/>
    </row>
    <row r="345" spans="1:45" ht="12.6" customHeight="1" x14ac:dyDescent="0.3">
      <c r="A345" s="78"/>
      <c r="B345" s="78"/>
      <c r="C345" s="78"/>
      <c r="D345" s="78"/>
      <c r="E345" s="78"/>
      <c r="F345" s="78"/>
      <c r="Z345" s="109"/>
      <c r="AA345" s="109"/>
      <c r="AB345" s="109"/>
      <c r="AC345" s="109"/>
      <c r="AD345" s="109"/>
      <c r="AE345" s="109"/>
      <c r="AF345" s="109"/>
      <c r="AG345" s="109"/>
      <c r="AH345" s="109"/>
      <c r="AI345" s="109"/>
      <c r="AJ345" s="109"/>
      <c r="AK345" s="109"/>
      <c r="AL345" s="109"/>
      <c r="AM345" s="109"/>
      <c r="AN345" s="109"/>
      <c r="AO345" s="109"/>
      <c r="AP345" s="109"/>
      <c r="AQ345" s="109"/>
      <c r="AR345" s="109"/>
      <c r="AS345" s="109"/>
    </row>
    <row r="346" spans="1:45" ht="12.6" customHeight="1" x14ac:dyDescent="0.3">
      <c r="A346" s="78"/>
      <c r="B346" s="78"/>
      <c r="C346" s="78"/>
      <c r="D346" s="78"/>
      <c r="E346" s="78"/>
      <c r="F346" s="78"/>
      <c r="Z346" s="109"/>
      <c r="AA346" s="109"/>
      <c r="AB346" s="109"/>
      <c r="AC346" s="109"/>
      <c r="AD346" s="109"/>
      <c r="AE346" s="109"/>
      <c r="AF346" s="109"/>
      <c r="AG346" s="109"/>
      <c r="AH346" s="109"/>
      <c r="AI346" s="109"/>
      <c r="AJ346" s="109"/>
      <c r="AK346" s="109"/>
      <c r="AL346" s="109"/>
      <c r="AM346" s="109"/>
      <c r="AN346" s="109"/>
      <c r="AO346" s="109"/>
      <c r="AP346" s="109"/>
      <c r="AQ346" s="109"/>
      <c r="AR346" s="109"/>
      <c r="AS346" s="109"/>
    </row>
    <row r="347" spans="1:45" ht="12.6" customHeight="1" x14ac:dyDescent="0.3">
      <c r="A347" s="78"/>
      <c r="B347" s="78"/>
      <c r="C347" s="78"/>
      <c r="D347" s="78"/>
      <c r="E347" s="78"/>
      <c r="F347" s="78"/>
      <c r="Z347" s="109"/>
      <c r="AA347" s="109"/>
      <c r="AB347" s="109"/>
      <c r="AC347" s="109"/>
      <c r="AD347" s="109"/>
      <c r="AE347" s="109"/>
      <c r="AF347" s="109"/>
      <c r="AG347" s="109"/>
      <c r="AH347" s="109"/>
      <c r="AI347" s="109"/>
      <c r="AJ347" s="109"/>
      <c r="AK347" s="109"/>
      <c r="AL347" s="109"/>
      <c r="AM347" s="109"/>
      <c r="AN347" s="109"/>
      <c r="AO347" s="109"/>
      <c r="AP347" s="109"/>
      <c r="AQ347" s="109"/>
      <c r="AR347" s="109"/>
      <c r="AS347" s="109"/>
    </row>
    <row r="348" spans="1:45" ht="12.6" customHeight="1" x14ac:dyDescent="0.3">
      <c r="A348" s="78"/>
      <c r="B348" s="78"/>
      <c r="C348" s="78"/>
      <c r="D348" s="78"/>
      <c r="E348" s="78"/>
      <c r="F348" s="78"/>
      <c r="Z348" s="109"/>
      <c r="AA348" s="109"/>
      <c r="AB348" s="109"/>
      <c r="AC348" s="109"/>
      <c r="AD348" s="109"/>
      <c r="AE348" s="109"/>
      <c r="AF348" s="109"/>
      <c r="AG348" s="109"/>
      <c r="AH348" s="109"/>
      <c r="AI348" s="109"/>
      <c r="AJ348" s="109"/>
      <c r="AK348" s="109"/>
      <c r="AL348" s="109"/>
      <c r="AM348" s="109"/>
      <c r="AN348" s="109"/>
      <c r="AO348" s="109"/>
      <c r="AP348" s="109"/>
      <c r="AQ348" s="109"/>
      <c r="AR348" s="109"/>
      <c r="AS348" s="109"/>
    </row>
    <row r="349" spans="1:45" ht="12.6" customHeight="1" x14ac:dyDescent="0.3">
      <c r="A349" s="78"/>
      <c r="B349" s="78"/>
      <c r="C349" s="78"/>
      <c r="D349" s="78"/>
      <c r="E349" s="78"/>
      <c r="F349" s="78"/>
      <c r="Z349" s="109"/>
      <c r="AA349" s="109"/>
      <c r="AB349" s="109"/>
      <c r="AC349" s="109"/>
      <c r="AD349" s="109"/>
      <c r="AE349" s="109"/>
      <c r="AF349" s="109"/>
      <c r="AG349" s="109"/>
      <c r="AH349" s="109"/>
      <c r="AI349" s="109"/>
      <c r="AJ349" s="109"/>
      <c r="AK349" s="109"/>
      <c r="AL349" s="109"/>
      <c r="AM349" s="109"/>
      <c r="AN349" s="109"/>
      <c r="AO349" s="109"/>
      <c r="AP349" s="109"/>
      <c r="AQ349" s="109"/>
      <c r="AR349" s="109"/>
      <c r="AS349" s="109"/>
    </row>
    <row r="350" spans="1:45" ht="12.6" customHeight="1" x14ac:dyDescent="0.3">
      <c r="A350" s="78"/>
      <c r="B350" s="78"/>
      <c r="C350" s="78"/>
      <c r="D350" s="78"/>
      <c r="E350" s="78"/>
      <c r="F350" s="78"/>
      <c r="Z350" s="109"/>
      <c r="AA350" s="109"/>
      <c r="AB350" s="109"/>
      <c r="AC350" s="109"/>
      <c r="AD350" s="109"/>
      <c r="AE350" s="109"/>
      <c r="AF350" s="109"/>
      <c r="AG350" s="109"/>
      <c r="AH350" s="109"/>
      <c r="AI350" s="109"/>
      <c r="AJ350" s="109"/>
      <c r="AK350" s="109"/>
      <c r="AL350" s="109"/>
      <c r="AM350" s="109"/>
      <c r="AN350" s="109"/>
      <c r="AO350" s="109"/>
      <c r="AP350" s="109"/>
      <c r="AQ350" s="109"/>
      <c r="AR350" s="109"/>
      <c r="AS350" s="109"/>
    </row>
    <row r="351" spans="1:45" ht="12.6" customHeight="1" x14ac:dyDescent="0.3">
      <c r="A351" s="78"/>
      <c r="B351" s="78"/>
      <c r="C351" s="78"/>
      <c r="D351" s="78"/>
      <c r="E351" s="78"/>
      <c r="F351" s="78"/>
      <c r="Z351" s="109"/>
      <c r="AA351" s="109"/>
      <c r="AB351" s="109"/>
      <c r="AC351" s="109"/>
      <c r="AD351" s="109"/>
      <c r="AE351" s="109"/>
      <c r="AF351" s="109"/>
      <c r="AG351" s="109"/>
      <c r="AH351" s="109"/>
      <c r="AI351" s="109"/>
      <c r="AJ351" s="109"/>
      <c r="AK351" s="109"/>
      <c r="AL351" s="109"/>
      <c r="AM351" s="109"/>
      <c r="AN351" s="109"/>
      <c r="AO351" s="109"/>
      <c r="AP351" s="109"/>
      <c r="AQ351" s="109"/>
      <c r="AR351" s="109"/>
      <c r="AS351" s="109"/>
    </row>
    <row r="352" spans="1:45" ht="12.6" customHeight="1" x14ac:dyDescent="0.3">
      <c r="A352" s="78"/>
      <c r="B352" s="78"/>
      <c r="C352" s="78"/>
      <c r="D352" s="78"/>
      <c r="E352" s="78"/>
      <c r="F352" s="78"/>
      <c r="Z352" s="109"/>
      <c r="AA352" s="109"/>
      <c r="AB352" s="109"/>
      <c r="AC352" s="109"/>
      <c r="AD352" s="109"/>
      <c r="AE352" s="109"/>
      <c r="AF352" s="109"/>
      <c r="AG352" s="109"/>
      <c r="AH352" s="109"/>
      <c r="AI352" s="109"/>
      <c r="AJ352" s="109"/>
      <c r="AK352" s="109"/>
      <c r="AL352" s="109"/>
      <c r="AM352" s="109"/>
      <c r="AN352" s="109"/>
      <c r="AO352" s="109"/>
      <c r="AP352" s="109"/>
      <c r="AQ352" s="109"/>
      <c r="AR352" s="109"/>
      <c r="AS352" s="109"/>
    </row>
    <row r="353" spans="1:45" ht="12.6" customHeight="1" x14ac:dyDescent="0.3">
      <c r="A353" s="58"/>
      <c r="B353" s="58"/>
      <c r="C353" s="58"/>
      <c r="D353" s="58"/>
      <c r="E353" s="58"/>
      <c r="F353" s="58"/>
      <c r="Z353" s="109"/>
      <c r="AA353" s="109"/>
      <c r="AB353" s="109"/>
      <c r="AC353" s="109"/>
      <c r="AD353" s="109"/>
      <c r="AE353" s="109"/>
      <c r="AF353" s="109"/>
      <c r="AG353" s="109"/>
      <c r="AH353" s="109"/>
      <c r="AI353" s="109"/>
      <c r="AJ353" s="109"/>
      <c r="AK353" s="109"/>
      <c r="AL353" s="109"/>
      <c r="AM353" s="109"/>
      <c r="AN353" s="109"/>
      <c r="AO353" s="109"/>
      <c r="AP353" s="109"/>
      <c r="AQ353" s="109"/>
      <c r="AR353" s="109"/>
      <c r="AS353" s="109"/>
    </row>
    <row r="354" spans="1:45" ht="12.6" customHeight="1" x14ac:dyDescent="0.3">
      <c r="A354" s="159" t="s">
        <v>1401</v>
      </c>
      <c r="B354" s="152"/>
      <c r="C354" s="55">
        <f>E354+D354+F354</f>
        <v>8328</v>
      </c>
      <c r="D354" s="54">
        <f>ROUNDDOWN(SUMIF(N287:N318,M354,D287:D318),0)</f>
        <v>6878</v>
      </c>
      <c r="E354" s="63">
        <f>ROUNDDOWN(SUMIF(N287:N318,M354,E287:E318),0)</f>
        <v>538</v>
      </c>
      <c r="F354" s="55">
        <f>ROUNDDOWN(SUMIF(N287:N318,M354,F287:F318),0)</f>
        <v>912</v>
      </c>
      <c r="M354" s="20" t="s">
        <v>1128</v>
      </c>
      <c r="Z354" s="109"/>
      <c r="AA354" s="109"/>
      <c r="AB354" s="109"/>
      <c r="AC354" s="109"/>
      <c r="AD354" s="109"/>
      <c r="AE354" s="109"/>
      <c r="AF354" s="109"/>
      <c r="AG354" s="109"/>
      <c r="AH354" s="109"/>
      <c r="AI354" s="109"/>
      <c r="AJ354" s="109"/>
      <c r="AK354" s="109"/>
      <c r="AL354" s="109"/>
      <c r="AM354" s="109"/>
      <c r="AN354" s="109"/>
      <c r="AO354" s="109"/>
      <c r="AP354" s="109"/>
      <c r="AQ354" s="109"/>
      <c r="AR354" s="109"/>
      <c r="AS354" s="109"/>
    </row>
    <row r="355" spans="1:45" ht="12.6" customHeight="1" x14ac:dyDescent="0.3">
      <c r="A355" s="95" t="s">
        <v>45</v>
      </c>
      <c r="B355" s="96" t="s">
        <v>45</v>
      </c>
      <c r="C355" s="158">
        <f>C424</f>
        <v>12701</v>
      </c>
      <c r="D355" s="158">
        <f>D424</f>
        <v>7908</v>
      </c>
      <c r="E355" s="158">
        <f>E424</f>
        <v>1963</v>
      </c>
      <c r="F355" s="158">
        <f>F424</f>
        <v>2830</v>
      </c>
      <c r="G355" s="36" t="str">
        <f>HYPERLINK("#G"&amp;ROW(G421),"_x0005_`BDCOD|D00959_x0007_`POSS|"&amp;ROW(G357)&amp;"_x0007_`POSE|"&amp;ROW(G421)&amp;"_x0007_`")</f>
        <v>_x0005_`BDCOD|D00959_x0007_`POSS|357_x0007_`POSE|421_x0007_`</v>
      </c>
      <c r="Z355" s="109"/>
      <c r="AA355" s="109"/>
      <c r="AB355" s="109"/>
      <c r="AC355" s="109"/>
      <c r="AD355" s="109"/>
      <c r="AE355" s="109"/>
      <c r="AF355" s="109"/>
      <c r="AG355" s="109"/>
      <c r="AH355" s="109"/>
      <c r="AI355" s="109"/>
      <c r="AJ355" s="109"/>
      <c r="AK355" s="109"/>
      <c r="AL355" s="109"/>
      <c r="AM355" s="109"/>
      <c r="AN355" s="109"/>
      <c r="AO355" s="109"/>
      <c r="AP355" s="109"/>
      <c r="AQ355" s="109"/>
      <c r="AR355" s="109"/>
      <c r="AS355" s="109"/>
    </row>
    <row r="356" spans="1:45" ht="12.6" customHeight="1" x14ac:dyDescent="0.3">
      <c r="A356" s="84"/>
      <c r="B356" s="96" t="s">
        <v>191</v>
      </c>
      <c r="C356" s="141"/>
      <c r="D356" s="141"/>
      <c r="E356" s="141"/>
      <c r="F356" s="141"/>
      <c r="M356" s="20" t="s">
        <v>190</v>
      </c>
      <c r="Z356" s="109"/>
      <c r="AA356" s="109"/>
      <c r="AB356" s="109"/>
      <c r="AC356" s="109"/>
      <c r="AD356" s="109"/>
      <c r="AE356" s="109"/>
      <c r="AF356" s="109"/>
      <c r="AG356" s="109"/>
      <c r="AH356" s="109"/>
      <c r="AI356" s="109"/>
      <c r="AJ356" s="109"/>
      <c r="AK356" s="109"/>
      <c r="AL356" s="109"/>
      <c r="AM356" s="109"/>
      <c r="AN356" s="109"/>
      <c r="AO356" s="109"/>
      <c r="AP356" s="109"/>
      <c r="AQ356" s="109"/>
      <c r="AR356" s="109"/>
      <c r="AS356" s="109"/>
    </row>
    <row r="357" spans="1:45" ht="12.6" customHeight="1" x14ac:dyDescent="0.3">
      <c r="A357" s="78"/>
      <c r="B357" s="78"/>
      <c r="C357" s="98"/>
      <c r="D357" s="98"/>
      <c r="E357" s="98"/>
      <c r="F357" s="98"/>
      <c r="G357" s="16" t="s">
        <v>1317</v>
      </c>
      <c r="Z357" s="109"/>
      <c r="AA357" s="109"/>
      <c r="AB357" s="109"/>
      <c r="AC357" s="109"/>
      <c r="AD357" s="109"/>
      <c r="AE357" s="109"/>
      <c r="AF357" s="109"/>
      <c r="AG357" s="109"/>
      <c r="AH357" s="109"/>
      <c r="AI357" s="109"/>
      <c r="AJ357" s="109"/>
      <c r="AK357" s="109"/>
      <c r="AL357" s="109"/>
      <c r="AM357" s="109"/>
      <c r="AN357" s="109"/>
      <c r="AO357" s="109"/>
      <c r="AP357" s="109"/>
      <c r="AQ357" s="109"/>
      <c r="AR357" s="109"/>
      <c r="AS357" s="109"/>
    </row>
    <row r="358" spans="1:45" ht="12.6" customHeight="1" x14ac:dyDescent="0.3">
      <c r="A358" s="68"/>
      <c r="B358" s="77" t="s">
        <v>1499</v>
      </c>
      <c r="C358" s="78"/>
      <c r="D358" s="78"/>
      <c r="E358" s="78"/>
      <c r="F358" s="78"/>
      <c r="G358" s="16" t="s">
        <v>1498</v>
      </c>
      <c r="Z358" s="109"/>
      <c r="AA358" s="109"/>
      <c r="AB358" s="109"/>
      <c r="AC358" s="109"/>
      <c r="AD358" s="109"/>
      <c r="AE358" s="109"/>
      <c r="AF358" s="109"/>
      <c r="AG358" s="109"/>
      <c r="AH358" s="109"/>
      <c r="AI358" s="109"/>
      <c r="AJ358" s="109"/>
      <c r="AK358" s="109"/>
      <c r="AL358" s="109"/>
      <c r="AM358" s="109"/>
      <c r="AN358" s="109"/>
      <c r="AO358" s="109"/>
      <c r="AP358" s="109"/>
      <c r="AQ358" s="109"/>
      <c r="AR358" s="109"/>
      <c r="AS358" s="109"/>
    </row>
    <row r="359" spans="1:45" ht="12.6" customHeight="1" x14ac:dyDescent="0.3">
      <c r="A359" s="78"/>
      <c r="B359" s="78"/>
      <c r="C359" s="78"/>
      <c r="D359" s="78"/>
      <c r="E359" s="78"/>
      <c r="F359" s="78"/>
      <c r="G359" s="16" t="s">
        <v>1317</v>
      </c>
      <c r="Z359" s="109"/>
      <c r="AA359" s="109"/>
      <c r="AB359" s="109"/>
      <c r="AC359" s="109"/>
      <c r="AD359" s="109"/>
      <c r="AE359" s="109"/>
      <c r="AF359" s="109"/>
      <c r="AG359" s="109"/>
      <c r="AH359" s="109"/>
      <c r="AI359" s="109"/>
      <c r="AJ359" s="109"/>
      <c r="AK359" s="109"/>
      <c r="AL359" s="109"/>
      <c r="AM359" s="109"/>
      <c r="AN359" s="109"/>
      <c r="AO359" s="109"/>
      <c r="AP359" s="109"/>
      <c r="AQ359" s="109"/>
      <c r="AR359" s="109"/>
      <c r="AS359" s="109"/>
    </row>
    <row r="360" spans="1:45" ht="12.6" customHeight="1" x14ac:dyDescent="0.3">
      <c r="A360" s="68"/>
      <c r="B360" s="77" t="s">
        <v>1501</v>
      </c>
      <c r="C360" s="78"/>
      <c r="D360" s="78"/>
      <c r="E360" s="78"/>
      <c r="F360" s="78"/>
      <c r="G360" s="16" t="s">
        <v>1500</v>
      </c>
      <c r="Z360" s="109"/>
      <c r="AA360" s="109"/>
      <c r="AB360" s="109"/>
      <c r="AC360" s="109"/>
      <c r="AD360" s="109"/>
      <c r="AE360" s="109"/>
      <c r="AF360" s="109"/>
      <c r="AG360" s="109"/>
      <c r="AH360" s="109"/>
      <c r="AI360" s="109"/>
      <c r="AJ360" s="109"/>
      <c r="AK360" s="109"/>
      <c r="AL360" s="109"/>
      <c r="AM360" s="109"/>
      <c r="AN360" s="109"/>
      <c r="AO360" s="109"/>
      <c r="AP360" s="109"/>
      <c r="AQ360" s="109"/>
      <c r="AR360" s="109"/>
      <c r="AS360" s="109"/>
    </row>
    <row r="361" spans="1:45" ht="12.6" customHeight="1" x14ac:dyDescent="0.3">
      <c r="A361" s="78"/>
      <c r="B361" s="78"/>
      <c r="C361" s="78"/>
      <c r="D361" s="78"/>
      <c r="E361" s="78"/>
      <c r="F361" s="78"/>
      <c r="G361" s="16" t="s">
        <v>1317</v>
      </c>
      <c r="Z361" s="109"/>
      <c r="AA361" s="109"/>
      <c r="AB361" s="109"/>
      <c r="AC361" s="109"/>
      <c r="AD361" s="109"/>
      <c r="AE361" s="109"/>
      <c r="AF361" s="109"/>
      <c r="AG361" s="109"/>
      <c r="AH361" s="109"/>
      <c r="AI361" s="109"/>
      <c r="AJ361" s="109"/>
      <c r="AK361" s="109"/>
      <c r="AL361" s="109"/>
      <c r="AM361" s="109"/>
      <c r="AN361" s="109"/>
      <c r="AO361" s="109"/>
      <c r="AP361" s="109"/>
      <c r="AQ361" s="109"/>
      <c r="AR361" s="109"/>
      <c r="AS361" s="109"/>
    </row>
    <row r="362" spans="1:45" ht="12.6" customHeight="1" x14ac:dyDescent="0.3">
      <c r="A362" s="68"/>
      <c r="B362" s="77" t="s">
        <v>1503</v>
      </c>
      <c r="C362" s="78"/>
      <c r="D362" s="78"/>
      <c r="E362" s="78"/>
      <c r="F362" s="78"/>
      <c r="G362" s="16" t="s">
        <v>1502</v>
      </c>
      <c r="Z362" s="109"/>
      <c r="AA362" s="109"/>
      <c r="AB362" s="109"/>
      <c r="AC362" s="109"/>
      <c r="AD362" s="109"/>
      <c r="AE362" s="109"/>
      <c r="AF362" s="109"/>
      <c r="AG362" s="109"/>
      <c r="AH362" s="109"/>
      <c r="AI362" s="109"/>
      <c r="AJ362" s="109"/>
      <c r="AK362" s="109"/>
      <c r="AL362" s="109"/>
      <c r="AM362" s="109"/>
      <c r="AN362" s="109"/>
      <c r="AO362" s="109"/>
      <c r="AP362" s="109"/>
      <c r="AQ362" s="109"/>
      <c r="AR362" s="109"/>
      <c r="AS362" s="109"/>
    </row>
    <row r="363" spans="1:45" ht="12.6" customHeight="1" x14ac:dyDescent="0.3">
      <c r="A363" s="78"/>
      <c r="B363" s="78"/>
      <c r="C363" s="78"/>
      <c r="D363" s="78"/>
      <c r="E363" s="78"/>
      <c r="F363" s="78"/>
      <c r="G363" s="16" t="s">
        <v>1317</v>
      </c>
      <c r="Z363" s="109"/>
      <c r="AA363" s="109"/>
      <c r="AB363" s="109"/>
      <c r="AC363" s="109"/>
      <c r="AD363" s="109"/>
      <c r="AE363" s="109"/>
      <c r="AF363" s="109"/>
      <c r="AG363" s="109"/>
      <c r="AH363" s="109"/>
      <c r="AI363" s="109"/>
      <c r="AJ363" s="109"/>
      <c r="AK363" s="109"/>
      <c r="AL363" s="109"/>
      <c r="AM363" s="109"/>
      <c r="AN363" s="109"/>
      <c r="AO363" s="109"/>
      <c r="AP363" s="109"/>
      <c r="AQ363" s="109"/>
      <c r="AR363" s="109"/>
      <c r="AS363" s="109"/>
    </row>
    <row r="364" spans="1:45" ht="12.6" customHeight="1" x14ac:dyDescent="0.3">
      <c r="A364" s="68"/>
      <c r="B364" s="77" t="s">
        <v>1505</v>
      </c>
      <c r="C364" s="78"/>
      <c r="D364" s="78"/>
      <c r="E364" s="78"/>
      <c r="F364" s="78"/>
      <c r="G364" s="16" t="s">
        <v>1504</v>
      </c>
      <c r="Z364" s="109"/>
      <c r="AA364" s="109"/>
      <c r="AB364" s="109"/>
      <c r="AC364" s="109"/>
      <c r="AD364" s="109"/>
      <c r="AE364" s="109"/>
      <c r="AF364" s="109"/>
      <c r="AG364" s="109"/>
      <c r="AH364" s="109"/>
      <c r="AI364" s="109"/>
      <c r="AJ364" s="109"/>
      <c r="AK364" s="109"/>
      <c r="AL364" s="109"/>
      <c r="AM364" s="109"/>
      <c r="AN364" s="109"/>
      <c r="AO364" s="109"/>
      <c r="AP364" s="109"/>
      <c r="AQ364" s="109"/>
      <c r="AR364" s="109"/>
      <c r="AS364" s="109"/>
    </row>
    <row r="365" spans="1:45" ht="12.6" customHeight="1" x14ac:dyDescent="0.3">
      <c r="A365" s="78"/>
      <c r="B365" s="78"/>
      <c r="C365" s="78"/>
      <c r="D365" s="78"/>
      <c r="E365" s="78"/>
      <c r="F365" s="78"/>
      <c r="G365" s="16" t="s">
        <v>1317</v>
      </c>
      <c r="Z365" s="109"/>
      <c r="AA365" s="109"/>
      <c r="AB365" s="109"/>
      <c r="AC365" s="109"/>
      <c r="AD365" s="109"/>
      <c r="AE365" s="109"/>
      <c r="AF365" s="109"/>
      <c r="AG365" s="109"/>
      <c r="AH365" s="109"/>
      <c r="AI365" s="109"/>
      <c r="AJ365" s="109"/>
      <c r="AK365" s="109"/>
      <c r="AL365" s="109"/>
      <c r="AM365" s="109"/>
      <c r="AN365" s="109"/>
      <c r="AO365" s="109"/>
      <c r="AP365" s="109"/>
      <c r="AQ365" s="109"/>
      <c r="AR365" s="109"/>
      <c r="AS365" s="109"/>
    </row>
    <row r="366" spans="1:45" ht="12.6" customHeight="1" x14ac:dyDescent="0.3">
      <c r="A366" s="68"/>
      <c r="B366" s="77" t="s">
        <v>1507</v>
      </c>
      <c r="C366" s="78"/>
      <c r="D366" s="78"/>
      <c r="E366" s="78"/>
      <c r="F366" s="78"/>
      <c r="G366" s="16" t="s">
        <v>1506</v>
      </c>
      <c r="Z366" s="109"/>
      <c r="AA366" s="109"/>
      <c r="AB366" s="109"/>
      <c r="AC366" s="109"/>
      <c r="AD366" s="109"/>
      <c r="AE366" s="109"/>
      <c r="AF366" s="109"/>
      <c r="AG366" s="109"/>
      <c r="AH366" s="109"/>
      <c r="AI366" s="109"/>
      <c r="AJ366" s="109"/>
      <c r="AK366" s="109"/>
      <c r="AL366" s="109"/>
      <c r="AM366" s="109"/>
      <c r="AN366" s="109"/>
      <c r="AO366" s="109"/>
      <c r="AP366" s="109"/>
      <c r="AQ366" s="109"/>
      <c r="AR366" s="109"/>
      <c r="AS366" s="109"/>
    </row>
    <row r="367" spans="1:45" ht="12.6" customHeight="1" x14ac:dyDescent="0.3">
      <c r="A367" s="78"/>
      <c r="B367" s="78"/>
      <c r="C367" s="78"/>
      <c r="D367" s="78"/>
      <c r="E367" s="78"/>
      <c r="F367" s="78"/>
      <c r="G367" s="16" t="s">
        <v>1317</v>
      </c>
      <c r="Z367" s="109"/>
      <c r="AA367" s="109"/>
      <c r="AB367" s="109"/>
      <c r="AC367" s="109"/>
      <c r="AD367" s="109"/>
      <c r="AE367" s="109"/>
      <c r="AF367" s="109"/>
      <c r="AG367" s="109"/>
      <c r="AH367" s="109"/>
      <c r="AI367" s="109"/>
      <c r="AJ367" s="109"/>
      <c r="AK367" s="109"/>
      <c r="AL367" s="109"/>
      <c r="AM367" s="109"/>
      <c r="AN367" s="109"/>
      <c r="AO367" s="109"/>
      <c r="AP367" s="109"/>
      <c r="AQ367" s="109"/>
      <c r="AR367" s="109"/>
      <c r="AS367" s="109"/>
    </row>
    <row r="368" spans="1:45" ht="12.6" customHeight="1" x14ac:dyDescent="0.3">
      <c r="A368" s="68"/>
      <c r="B368" s="77" t="s">
        <v>1509</v>
      </c>
      <c r="C368" s="78"/>
      <c r="D368" s="78"/>
      <c r="E368" s="78"/>
      <c r="F368" s="78"/>
      <c r="G368" s="16" t="s">
        <v>1508</v>
      </c>
      <c r="Z368" s="109"/>
      <c r="AA368" s="109"/>
      <c r="AB368" s="109"/>
      <c r="AC368" s="109"/>
      <c r="AD368" s="109"/>
      <c r="AE368" s="109"/>
      <c r="AF368" s="109"/>
      <c r="AG368" s="109"/>
      <c r="AH368" s="109"/>
      <c r="AI368" s="109"/>
      <c r="AJ368" s="109"/>
      <c r="AK368" s="109"/>
      <c r="AL368" s="109"/>
      <c r="AM368" s="109"/>
      <c r="AN368" s="109"/>
      <c r="AO368" s="109"/>
      <c r="AP368" s="109"/>
      <c r="AQ368" s="109"/>
      <c r="AR368" s="109"/>
      <c r="AS368" s="109"/>
    </row>
    <row r="369" spans="1:45" ht="12.6" customHeight="1" x14ac:dyDescent="0.3">
      <c r="A369" s="78"/>
      <c r="B369" s="78"/>
      <c r="C369" s="78"/>
      <c r="D369" s="78"/>
      <c r="E369" s="78"/>
      <c r="F369" s="78"/>
      <c r="G369" s="16" t="s">
        <v>1317</v>
      </c>
      <c r="Z369" s="109"/>
      <c r="AA369" s="109"/>
      <c r="AB369" s="109"/>
      <c r="AC369" s="109"/>
      <c r="AD369" s="109"/>
      <c r="AE369" s="109"/>
      <c r="AF369" s="109"/>
      <c r="AG369" s="109"/>
      <c r="AH369" s="109"/>
      <c r="AI369" s="109"/>
      <c r="AJ369" s="109"/>
      <c r="AK369" s="109"/>
      <c r="AL369" s="109"/>
      <c r="AM369" s="109"/>
      <c r="AN369" s="109"/>
      <c r="AO369" s="109"/>
      <c r="AP369" s="109"/>
      <c r="AQ369" s="109"/>
      <c r="AR369" s="109"/>
      <c r="AS369" s="109"/>
    </row>
    <row r="370" spans="1:45" ht="12.6" customHeight="1" x14ac:dyDescent="0.3">
      <c r="A370" s="68"/>
      <c r="B370" s="77" t="s">
        <v>1511</v>
      </c>
      <c r="C370" s="78"/>
      <c r="D370" s="78"/>
      <c r="E370" s="78"/>
      <c r="F370" s="78"/>
      <c r="G370" s="16" t="s">
        <v>1510</v>
      </c>
      <c r="Z370" s="109"/>
      <c r="AA370" s="109"/>
      <c r="AB370" s="109"/>
      <c r="AC370" s="109"/>
      <c r="AD370" s="109"/>
      <c r="AE370" s="109"/>
      <c r="AF370" s="109"/>
      <c r="AG370" s="109"/>
      <c r="AH370" s="109"/>
      <c r="AI370" s="109"/>
      <c r="AJ370" s="109"/>
      <c r="AK370" s="109"/>
      <c r="AL370" s="109"/>
      <c r="AM370" s="109"/>
      <c r="AN370" s="109"/>
      <c r="AO370" s="109"/>
      <c r="AP370" s="109"/>
      <c r="AQ370" s="109"/>
      <c r="AR370" s="109"/>
      <c r="AS370" s="109"/>
    </row>
    <row r="371" spans="1:45" ht="12.6" customHeight="1" x14ac:dyDescent="0.3">
      <c r="A371" s="78"/>
      <c r="B371" s="78"/>
      <c r="C371" s="78"/>
      <c r="D371" s="78"/>
      <c r="E371" s="78"/>
      <c r="F371" s="78"/>
      <c r="G371" s="16" t="s">
        <v>1317</v>
      </c>
      <c r="Z371" s="109"/>
      <c r="AA371" s="109"/>
      <c r="AB371" s="109"/>
      <c r="AC371" s="109"/>
      <c r="AD371" s="109"/>
      <c r="AE371" s="109"/>
      <c r="AF371" s="109"/>
      <c r="AG371" s="109"/>
      <c r="AH371" s="109"/>
      <c r="AI371" s="109"/>
      <c r="AJ371" s="109"/>
      <c r="AK371" s="109"/>
      <c r="AL371" s="109"/>
      <c r="AM371" s="109"/>
      <c r="AN371" s="109"/>
      <c r="AO371" s="109"/>
      <c r="AP371" s="109"/>
      <c r="AQ371" s="109"/>
      <c r="AR371" s="109"/>
      <c r="AS371" s="109"/>
    </row>
    <row r="372" spans="1:45" ht="12.6" customHeight="1" x14ac:dyDescent="0.3">
      <c r="A372" s="68"/>
      <c r="B372" s="97" t="str">
        <f>" q (버킷용량)  = "&amp;Z372&amp;" , f (체적환산계수)  = "&amp;AD372&amp;"/"&amp;AF372&amp;" = "&amp;AH372&amp;""</f>
        <v xml:space="preserve"> q (버킷용량)  = 0.7 , f (체적환산계수)  = 1/1.125 = 0.89</v>
      </c>
      <c r="C372" s="78"/>
      <c r="D372" s="78"/>
      <c r="E372" s="78"/>
      <c r="F372" s="78"/>
      <c r="G372" s="16" t="s">
        <v>1512</v>
      </c>
      <c r="Z372" s="110">
        <v>0.7</v>
      </c>
      <c r="AA372" s="20" t="s">
        <v>1326</v>
      </c>
      <c r="AB372" s="112">
        <f>Z372</f>
        <v>0.7</v>
      </c>
      <c r="AC372" s="20" t="s">
        <v>1385</v>
      </c>
      <c r="AD372" s="111">
        <v>1</v>
      </c>
      <c r="AE372" s="20" t="s">
        <v>1387</v>
      </c>
      <c r="AF372" s="110">
        <v>1.125</v>
      </c>
      <c r="AG372" s="20" t="s">
        <v>1326</v>
      </c>
      <c r="AH372" s="112" t="str">
        <f>TEXT(ROUND(AD372/AF372,2),"0.00")</f>
        <v>0.89</v>
      </c>
      <c r="AI372" s="20" t="s">
        <v>1385</v>
      </c>
      <c r="AJ372" s="109"/>
      <c r="AK372" s="109"/>
      <c r="AL372" s="109"/>
      <c r="AM372" s="109"/>
      <c r="AN372" s="109"/>
      <c r="AO372" s="109"/>
      <c r="AP372" s="109"/>
      <c r="AQ372" s="109"/>
      <c r="AR372" s="109"/>
      <c r="AS372" s="109"/>
    </row>
    <row r="373" spans="1:45" ht="12.6" customHeight="1" x14ac:dyDescent="0.3">
      <c r="A373" s="78"/>
      <c r="B373" s="78"/>
      <c r="C373" s="78"/>
      <c r="D373" s="78"/>
      <c r="E373" s="78"/>
      <c r="F373" s="78"/>
      <c r="G373" s="16" t="s">
        <v>1317</v>
      </c>
      <c r="Z373" s="109"/>
      <c r="AA373" s="109"/>
      <c r="AB373" s="109"/>
      <c r="AC373" s="109"/>
      <c r="AD373" s="109"/>
      <c r="AE373" s="109"/>
      <c r="AF373" s="109"/>
      <c r="AG373" s="109"/>
      <c r="AH373" s="109"/>
      <c r="AI373" s="109"/>
      <c r="AJ373" s="109"/>
      <c r="AK373" s="109"/>
      <c r="AL373" s="109"/>
      <c r="AM373" s="109"/>
      <c r="AN373" s="109"/>
      <c r="AO373" s="109"/>
      <c r="AP373" s="109"/>
      <c r="AQ373" s="109"/>
      <c r="AR373" s="109"/>
      <c r="AS373" s="109"/>
    </row>
    <row r="374" spans="1:45" ht="12.6" customHeight="1" x14ac:dyDescent="0.3">
      <c r="A374" s="68"/>
      <c r="B374" s="97" t="str">
        <f>" K (버킷계수)  = "&amp;Z374&amp;""</f>
        <v xml:space="preserve"> K (버킷계수)  = 0.55</v>
      </c>
      <c r="C374" s="78"/>
      <c r="D374" s="78"/>
      <c r="E374" s="78"/>
      <c r="F374" s="78"/>
      <c r="G374" s="16" t="s">
        <v>1513</v>
      </c>
      <c r="Z374" s="110">
        <v>0.55000000000000004</v>
      </c>
      <c r="AA374" s="20" t="s">
        <v>1326</v>
      </c>
      <c r="AB374" s="112">
        <f>Z374</f>
        <v>0.55000000000000004</v>
      </c>
      <c r="AC374" s="109"/>
      <c r="AD374" s="109"/>
      <c r="AE374" s="109"/>
      <c r="AF374" s="109"/>
      <c r="AG374" s="109"/>
      <c r="AH374" s="109"/>
      <c r="AI374" s="109"/>
      <c r="AJ374" s="109"/>
      <c r="AK374" s="109"/>
      <c r="AL374" s="109"/>
      <c r="AM374" s="109"/>
      <c r="AN374" s="109"/>
      <c r="AO374" s="109"/>
      <c r="AP374" s="109"/>
      <c r="AQ374" s="109"/>
      <c r="AR374" s="109"/>
      <c r="AS374" s="109"/>
    </row>
    <row r="375" spans="1:45" ht="12.6" customHeight="1" x14ac:dyDescent="0.3">
      <c r="A375" s="78"/>
      <c r="B375" s="78"/>
      <c r="C375" s="78"/>
      <c r="D375" s="78"/>
      <c r="E375" s="78"/>
      <c r="F375" s="78"/>
      <c r="G375" s="16" t="s">
        <v>1317</v>
      </c>
      <c r="Z375" s="109"/>
      <c r="AA375" s="109"/>
      <c r="AB375" s="109"/>
      <c r="AC375" s="109"/>
      <c r="AD375" s="109"/>
      <c r="AE375" s="109"/>
      <c r="AF375" s="109"/>
      <c r="AG375" s="109"/>
      <c r="AH375" s="109"/>
      <c r="AI375" s="109"/>
      <c r="AJ375" s="109"/>
      <c r="AK375" s="109"/>
      <c r="AL375" s="109"/>
      <c r="AM375" s="109"/>
      <c r="AN375" s="109"/>
      <c r="AO375" s="109"/>
      <c r="AP375" s="109"/>
      <c r="AQ375" s="109"/>
      <c r="AR375" s="109"/>
      <c r="AS375" s="109"/>
    </row>
    <row r="376" spans="1:45" ht="12.6" customHeight="1" x14ac:dyDescent="0.3">
      <c r="A376" s="68"/>
      <c r="B376" s="97" t="str">
        <f>" Cm (사이클시간)  = "&amp;Z376&amp;" sec (135˚) "</f>
        <v xml:space="preserve"> Cm (사이클시간)  = 20 sec (135˚) </v>
      </c>
      <c r="C376" s="78"/>
      <c r="D376" s="78"/>
      <c r="E376" s="78"/>
      <c r="F376" s="78"/>
      <c r="G376" s="16" t="s">
        <v>1514</v>
      </c>
      <c r="Z376" s="111">
        <v>20</v>
      </c>
      <c r="AA376" s="20" t="s">
        <v>1326</v>
      </c>
      <c r="AB376" s="112">
        <f>Z376</f>
        <v>20</v>
      </c>
      <c r="AC376" s="109"/>
      <c r="AD376" s="109"/>
      <c r="AE376" s="109"/>
      <c r="AF376" s="109"/>
      <c r="AG376" s="109"/>
      <c r="AH376" s="109"/>
      <c r="AI376" s="109"/>
      <c r="AJ376" s="109"/>
      <c r="AK376" s="109"/>
      <c r="AL376" s="109"/>
      <c r="AM376" s="109"/>
      <c r="AN376" s="109"/>
      <c r="AO376" s="109"/>
      <c r="AP376" s="109"/>
      <c r="AQ376" s="109"/>
      <c r="AR376" s="109"/>
      <c r="AS376" s="109"/>
    </row>
    <row r="377" spans="1:45" ht="12.6" customHeight="1" x14ac:dyDescent="0.3">
      <c r="A377" s="78"/>
      <c r="B377" s="78"/>
      <c r="C377" s="78"/>
      <c r="D377" s="78"/>
      <c r="E377" s="78"/>
      <c r="F377" s="78"/>
      <c r="G377" s="16" t="s">
        <v>1317</v>
      </c>
      <c r="Z377" s="109"/>
      <c r="AA377" s="109"/>
      <c r="AB377" s="109"/>
      <c r="AC377" s="109"/>
      <c r="AD377" s="109"/>
      <c r="AE377" s="109"/>
      <c r="AF377" s="109"/>
      <c r="AG377" s="109"/>
      <c r="AH377" s="109"/>
      <c r="AI377" s="109"/>
      <c r="AJ377" s="109"/>
      <c r="AK377" s="109"/>
      <c r="AL377" s="109"/>
      <c r="AM377" s="109"/>
      <c r="AN377" s="109"/>
      <c r="AO377" s="109"/>
      <c r="AP377" s="109"/>
      <c r="AQ377" s="109"/>
      <c r="AR377" s="109"/>
      <c r="AS377" s="109"/>
    </row>
    <row r="378" spans="1:45" ht="12.6" customHeight="1" x14ac:dyDescent="0.3">
      <c r="A378" s="68"/>
      <c r="B378" s="97" t="str">
        <f>" E (작업효율)  = "&amp;Z378&amp;""</f>
        <v xml:space="preserve"> E (작업효율)  = 0.35</v>
      </c>
      <c r="C378" s="78"/>
      <c r="D378" s="78"/>
      <c r="E378" s="78"/>
      <c r="F378" s="78"/>
      <c r="G378" s="16" t="s">
        <v>1515</v>
      </c>
      <c r="Z378" s="110">
        <v>0.35</v>
      </c>
      <c r="AA378" s="20" t="s">
        <v>1326</v>
      </c>
      <c r="AB378" s="112">
        <f>Z378</f>
        <v>0.35</v>
      </c>
      <c r="AC378" s="109"/>
      <c r="AD378" s="109"/>
      <c r="AE378" s="109"/>
      <c r="AF378" s="109"/>
      <c r="AG378" s="109"/>
      <c r="AH378" s="109"/>
      <c r="AI378" s="109"/>
      <c r="AJ378" s="109"/>
      <c r="AK378" s="109"/>
      <c r="AL378" s="109"/>
      <c r="AM378" s="109"/>
      <c r="AN378" s="109"/>
      <c r="AO378" s="109"/>
      <c r="AP378" s="109"/>
      <c r="AQ378" s="109"/>
      <c r="AR378" s="109"/>
      <c r="AS378" s="109"/>
    </row>
    <row r="379" spans="1:45" ht="12.6" customHeight="1" x14ac:dyDescent="0.3">
      <c r="A379" s="78"/>
      <c r="B379" s="78"/>
      <c r="C379" s="78"/>
      <c r="D379" s="78"/>
      <c r="E379" s="78"/>
      <c r="F379" s="78"/>
      <c r="G379" s="16" t="s">
        <v>1317</v>
      </c>
      <c r="Z379" s="109"/>
      <c r="AA379" s="109"/>
      <c r="AB379" s="109"/>
      <c r="AC379" s="109"/>
      <c r="AD379" s="109"/>
      <c r="AE379" s="109"/>
      <c r="AF379" s="109"/>
      <c r="AG379" s="109"/>
      <c r="AH379" s="109"/>
      <c r="AI379" s="109"/>
      <c r="AJ379" s="109"/>
      <c r="AK379" s="109"/>
      <c r="AL379" s="109"/>
      <c r="AM379" s="109"/>
      <c r="AN379" s="109"/>
      <c r="AO379" s="109"/>
      <c r="AP379" s="109"/>
      <c r="AQ379" s="109"/>
      <c r="AR379" s="109"/>
      <c r="AS379" s="109"/>
    </row>
    <row r="380" spans="1:45" ht="12.6" customHeight="1" x14ac:dyDescent="0.3">
      <c r="A380" s="68"/>
      <c r="B380" s="97" t="str">
        <f>" Q (시간당작업량)  = "&amp;Z380&amp;"*q*K*f*E/Cm = "&amp;AL380&amp;" m3/hr "</f>
        <v xml:space="preserve"> Q (시간당작업량)  = 3600*q*K*f*E/Cm = 21.59 m3/hr </v>
      </c>
      <c r="C380" s="78"/>
      <c r="D380" s="78"/>
      <c r="E380" s="78"/>
      <c r="F380" s="78"/>
      <c r="G380" s="16" t="s">
        <v>1516</v>
      </c>
      <c r="Z380" s="111">
        <v>3600</v>
      </c>
      <c r="AA380" s="20" t="s">
        <v>1390</v>
      </c>
      <c r="AB380" s="112">
        <f>AB372</f>
        <v>0.7</v>
      </c>
      <c r="AC380" s="20" t="s">
        <v>1390</v>
      </c>
      <c r="AD380" s="112">
        <f>AB374</f>
        <v>0.55000000000000004</v>
      </c>
      <c r="AE380" s="20" t="s">
        <v>1390</v>
      </c>
      <c r="AF380" s="112" t="str">
        <f>AH372</f>
        <v>0.89</v>
      </c>
      <c r="AG380" s="20" t="s">
        <v>1390</v>
      </c>
      <c r="AH380" s="112">
        <f>AB378</f>
        <v>0.35</v>
      </c>
      <c r="AI380" s="20" t="s">
        <v>1387</v>
      </c>
      <c r="AJ380" s="112">
        <f>AB376</f>
        <v>20</v>
      </c>
      <c r="AK380" s="20" t="s">
        <v>1326</v>
      </c>
      <c r="AL380" s="112" t="str">
        <f>TEXT(ROUND(Z380*AB372*AB374*AH372*AB378/AB376,2),"0.00")</f>
        <v>21.59</v>
      </c>
      <c r="AM380" s="109"/>
      <c r="AN380" s="109"/>
      <c r="AO380" s="109"/>
      <c r="AP380" s="109"/>
      <c r="AQ380" s="109"/>
      <c r="AR380" s="109"/>
      <c r="AS380" s="109"/>
    </row>
    <row r="381" spans="1:45" ht="12.6" customHeight="1" x14ac:dyDescent="0.3">
      <c r="A381" s="78"/>
      <c r="B381" s="78"/>
      <c r="C381" s="78"/>
      <c r="D381" s="78"/>
      <c r="E381" s="78"/>
      <c r="F381" s="78"/>
      <c r="G381" s="16" t="s">
        <v>1317</v>
      </c>
      <c r="Z381" s="109"/>
      <c r="AA381" s="109"/>
      <c r="AB381" s="109"/>
      <c r="AC381" s="109"/>
      <c r="AD381" s="109"/>
      <c r="AE381" s="109"/>
      <c r="AF381" s="109"/>
      <c r="AG381" s="109"/>
      <c r="AH381" s="109"/>
      <c r="AI381" s="109"/>
      <c r="AJ381" s="109"/>
      <c r="AK381" s="109"/>
      <c r="AL381" s="109"/>
      <c r="AM381" s="109"/>
      <c r="AN381" s="109"/>
      <c r="AO381" s="109"/>
      <c r="AP381" s="109"/>
      <c r="AQ381" s="109"/>
      <c r="AR381" s="109"/>
      <c r="AS381" s="109"/>
    </row>
    <row r="382" spans="1:45" ht="12.6" customHeight="1" x14ac:dyDescent="0.3">
      <c r="A382" s="68" t="s">
        <v>1441</v>
      </c>
      <c r="B382" s="97" t="str">
        <f>" 노 무 비  : "&amp;TEXT(I382,"#,##0"&amp;IF(I382&lt;&gt;INT(I382),".###",""))&amp;" / Q * "&amp;AC382&amp;" = "&amp;TEXT(C382,"#,##0.0")&amp;""</f>
        <v xml:space="preserve"> 노 무 비  : 55,700 / Q * 2 = 5,159.7</v>
      </c>
      <c r="C382" s="99">
        <f>E382+D382+F382</f>
        <v>5159.7</v>
      </c>
      <c r="D382" s="99">
        <f>IF(H382=0,0,ROUNDDOWN(J382*H382,1))</f>
        <v>5159.7</v>
      </c>
      <c r="E382" s="99">
        <f>IF(H382=0,0,ROUNDDOWN(K382*H382,1))</f>
        <v>0</v>
      </c>
      <c r="F382" s="99">
        <f>IF(H382=0,0,ROUNDDOWN(L382*H382,1))</f>
        <v>0</v>
      </c>
      <c r="G382" s="16" t="s">
        <v>1517</v>
      </c>
      <c r="H382" s="105">
        <f>AE382</f>
        <v>9.2635479388605835E-2</v>
      </c>
      <c r="I382" s="106">
        <f>K382+J382+L382</f>
        <v>55700</v>
      </c>
      <c r="J382" s="39">
        <f>중기목록표!F9</f>
        <v>55700</v>
      </c>
      <c r="M382" s="20" t="s">
        <v>1442</v>
      </c>
      <c r="N382" s="20" t="s">
        <v>1332</v>
      </c>
      <c r="X382" s="108" t="str">
        <f>중기목록표!B9&amp;" / "&amp;중기목록표!C9</f>
        <v>굴삭기(0.7m3) / 0.7㎥,(암석)</v>
      </c>
      <c r="Y382" s="19" t="str">
        <f ca="1">HYPERLINK("#"&amp;중기목록표!J2&amp;"!A"&amp;ROW(중기목록표!A9),"중기    6 →")</f>
        <v>중기    6 →</v>
      </c>
      <c r="Z382" s="20" t="s">
        <v>1393</v>
      </c>
      <c r="AA382" s="112" t="str">
        <f>AL380</f>
        <v>21.59</v>
      </c>
      <c r="AB382" s="20" t="s">
        <v>1390</v>
      </c>
      <c r="AC382" s="111">
        <v>2</v>
      </c>
      <c r="AD382" s="20" t="s">
        <v>1326</v>
      </c>
      <c r="AE382" s="113">
        <f>1/AL380*AC382</f>
        <v>9.2635479388605835E-2</v>
      </c>
      <c r="AF382" s="109"/>
      <c r="AG382" s="109"/>
      <c r="AH382" s="109"/>
      <c r="AI382" s="109"/>
      <c r="AJ382" s="109"/>
      <c r="AK382" s="109"/>
      <c r="AL382" s="109"/>
      <c r="AM382" s="109"/>
      <c r="AN382" s="109"/>
      <c r="AO382" s="109"/>
      <c r="AP382" s="109"/>
      <c r="AQ382" s="109"/>
      <c r="AR382" s="109"/>
      <c r="AS382" s="109"/>
    </row>
    <row r="383" spans="1:45" ht="12.6" customHeight="1" x14ac:dyDescent="0.3">
      <c r="A383" s="78"/>
      <c r="B383" s="78"/>
      <c r="C383" s="78"/>
      <c r="D383" s="78"/>
      <c r="E383" s="78"/>
      <c r="F383" s="78"/>
      <c r="G383" s="16" t="s">
        <v>1317</v>
      </c>
      <c r="Z383" s="109"/>
      <c r="AA383" s="109"/>
      <c r="AB383" s="109"/>
      <c r="AC383" s="109"/>
      <c r="AD383" s="109"/>
      <c r="AE383" s="109"/>
      <c r="AF383" s="109"/>
      <c r="AG383" s="109"/>
      <c r="AH383" s="109"/>
      <c r="AI383" s="109"/>
      <c r="AJ383" s="109"/>
      <c r="AK383" s="109"/>
      <c r="AL383" s="109"/>
      <c r="AM383" s="109"/>
      <c r="AN383" s="109"/>
      <c r="AO383" s="109"/>
      <c r="AP383" s="109"/>
      <c r="AQ383" s="109"/>
      <c r="AR383" s="109"/>
      <c r="AS383" s="109"/>
    </row>
    <row r="384" spans="1:45" ht="12.6" customHeight="1" x14ac:dyDescent="0.3">
      <c r="A384" s="68" t="s">
        <v>1444</v>
      </c>
      <c r="B384" s="97" t="str">
        <f>" 재 료 비  : "&amp;TEXT(I384,"#,##0"&amp;IF(I384&lt;&gt;INT(I384),".###",""))&amp;" / Q * "&amp;AC384&amp;" = "&amp;TEXT(C384,"#,##0.0")&amp;""</f>
        <v xml:space="preserve"> 재 료 비  : 18,001 / Q * 2 = 1,667.5</v>
      </c>
      <c r="C384" s="99">
        <f>E384+D384+F384</f>
        <v>1667.5</v>
      </c>
      <c r="D384" s="99">
        <f>IF(H384=0,0,ROUNDDOWN(J384*H384,1))</f>
        <v>0</v>
      </c>
      <c r="E384" s="99">
        <f>IF(H384=0,0,ROUNDDOWN(K384*H384,1))</f>
        <v>1667.5</v>
      </c>
      <c r="F384" s="99">
        <f>IF(H384=0,0,ROUNDDOWN(L384*H384,1))</f>
        <v>0</v>
      </c>
      <c r="G384" s="16" t="s">
        <v>1518</v>
      </c>
      <c r="H384" s="105">
        <f>AE384</f>
        <v>9.2635479388605835E-2</v>
      </c>
      <c r="I384" s="106">
        <f>K384+J384+L384</f>
        <v>18001</v>
      </c>
      <c r="K384" s="39">
        <f>중기목록표!G9</f>
        <v>18001</v>
      </c>
      <c r="M384" s="20" t="s">
        <v>1442</v>
      </c>
      <c r="N384" s="20" t="s">
        <v>1332</v>
      </c>
      <c r="X384" s="108" t="str">
        <f>중기목록표!B9&amp;" / "&amp;중기목록표!C9</f>
        <v>굴삭기(0.7m3) / 0.7㎥,(암석)</v>
      </c>
      <c r="Y384" s="19" t="str">
        <f ca="1">HYPERLINK("#"&amp;중기목록표!J2&amp;"!A"&amp;ROW(중기목록표!A9),"중기    6 →")</f>
        <v>중기    6 →</v>
      </c>
      <c r="Z384" s="20" t="s">
        <v>1393</v>
      </c>
      <c r="AA384" s="112" t="str">
        <f>AL380</f>
        <v>21.59</v>
      </c>
      <c r="AB384" s="20" t="s">
        <v>1390</v>
      </c>
      <c r="AC384" s="111">
        <v>2</v>
      </c>
      <c r="AD384" s="20" t="s">
        <v>1326</v>
      </c>
      <c r="AE384" s="113">
        <f>1/AL380*AC384</f>
        <v>9.2635479388605835E-2</v>
      </c>
      <c r="AF384" s="109"/>
      <c r="AG384" s="109"/>
      <c r="AH384" s="109"/>
      <c r="AI384" s="109"/>
      <c r="AJ384" s="109"/>
      <c r="AK384" s="109"/>
      <c r="AL384" s="109"/>
      <c r="AM384" s="109"/>
      <c r="AN384" s="109"/>
      <c r="AO384" s="109"/>
      <c r="AP384" s="109"/>
      <c r="AQ384" s="109"/>
      <c r="AR384" s="109"/>
      <c r="AS384" s="109"/>
    </row>
    <row r="385" spans="1:45" ht="12.6" customHeight="1" x14ac:dyDescent="0.3">
      <c r="A385" s="78"/>
      <c r="B385" s="78"/>
      <c r="C385" s="78"/>
      <c r="D385" s="78"/>
      <c r="E385" s="78"/>
      <c r="F385" s="78"/>
      <c r="G385" s="16" t="s">
        <v>1317</v>
      </c>
      <c r="Z385" s="109"/>
      <c r="AA385" s="109"/>
      <c r="AB385" s="109"/>
      <c r="AC385" s="109"/>
      <c r="AD385" s="109"/>
      <c r="AE385" s="109"/>
      <c r="AF385" s="109"/>
      <c r="AG385" s="109"/>
      <c r="AH385" s="109"/>
      <c r="AI385" s="109"/>
      <c r="AJ385" s="109"/>
      <c r="AK385" s="109"/>
      <c r="AL385" s="109"/>
      <c r="AM385" s="109"/>
      <c r="AN385" s="109"/>
      <c r="AO385" s="109"/>
      <c r="AP385" s="109"/>
      <c r="AQ385" s="109"/>
      <c r="AR385" s="109"/>
      <c r="AS385" s="109"/>
    </row>
    <row r="386" spans="1:45" ht="12.6" customHeight="1" x14ac:dyDescent="0.3">
      <c r="A386" s="68" t="s">
        <v>1446</v>
      </c>
      <c r="B386" s="97" t="str">
        <f>" 경    비  : "&amp;TEXT(I386,"#,##0"&amp;IF(I386&lt;&gt;INT(I386),".###",""))&amp;" / Q * "&amp;AC386&amp;" = "&amp;TEXT(C386,"#,##0.0")&amp;""</f>
        <v xml:space="preserve"> 경    비  : 26,677 / Q * 2 = 2,471.2</v>
      </c>
      <c r="C386" s="99">
        <f>E386+D386+F386</f>
        <v>2471.1999999999998</v>
      </c>
      <c r="D386" s="99">
        <f>IF(H386=0,0,ROUNDDOWN(J386*H386,1))</f>
        <v>0</v>
      </c>
      <c r="E386" s="99">
        <f>IF(H386=0,0,ROUNDDOWN(K386*H386,1))</f>
        <v>0</v>
      </c>
      <c r="F386" s="99">
        <f>IF(H386=0,0,ROUNDDOWN(L386*H386,1))</f>
        <v>2471.1999999999998</v>
      </c>
      <c r="G386" s="16" t="s">
        <v>1519</v>
      </c>
      <c r="H386" s="105">
        <f>AE386</f>
        <v>9.2635479388605835E-2</v>
      </c>
      <c r="I386" s="106">
        <f>K386+J386+L386</f>
        <v>26677</v>
      </c>
      <c r="L386" s="39">
        <f>중기목록표!H9</f>
        <v>26677</v>
      </c>
      <c r="M386" s="20" t="s">
        <v>1442</v>
      </c>
      <c r="N386" s="20" t="s">
        <v>1332</v>
      </c>
      <c r="X386" s="108" t="str">
        <f>중기목록표!B9&amp;" / "&amp;중기목록표!C9</f>
        <v>굴삭기(0.7m3) / 0.7㎥,(암석)</v>
      </c>
      <c r="Y386" s="19" t="str">
        <f ca="1">HYPERLINK("#"&amp;중기목록표!J2&amp;"!A"&amp;ROW(중기목록표!A9),"중기    6 →")</f>
        <v>중기    6 →</v>
      </c>
      <c r="Z386" s="20" t="s">
        <v>1393</v>
      </c>
      <c r="AA386" s="112" t="str">
        <f>AL380</f>
        <v>21.59</v>
      </c>
      <c r="AB386" s="20" t="s">
        <v>1390</v>
      </c>
      <c r="AC386" s="111">
        <v>2</v>
      </c>
      <c r="AD386" s="20" t="s">
        <v>1326</v>
      </c>
      <c r="AE386" s="113">
        <f>1/AL380*AC386</f>
        <v>9.2635479388605835E-2</v>
      </c>
      <c r="AF386" s="109"/>
      <c r="AG386" s="109"/>
      <c r="AH386" s="109"/>
      <c r="AI386" s="109"/>
      <c r="AJ386" s="109"/>
      <c r="AK386" s="109"/>
      <c r="AL386" s="109"/>
      <c r="AM386" s="109"/>
      <c r="AN386" s="109"/>
      <c r="AO386" s="109"/>
      <c r="AP386" s="109"/>
      <c r="AQ386" s="109"/>
      <c r="AR386" s="109"/>
      <c r="AS386" s="109"/>
    </row>
    <row r="387" spans="1:45" ht="12.6" customHeight="1" x14ac:dyDescent="0.3">
      <c r="A387" s="78"/>
      <c r="B387" s="78"/>
      <c r="C387" s="78"/>
      <c r="D387" s="78"/>
      <c r="E387" s="78"/>
      <c r="F387" s="78"/>
      <c r="G387" s="16" t="s">
        <v>1317</v>
      </c>
      <c r="Z387" s="109"/>
      <c r="AA387" s="109"/>
      <c r="AB387" s="109"/>
      <c r="AC387" s="109"/>
      <c r="AD387" s="109"/>
      <c r="AE387" s="109"/>
      <c r="AF387" s="109"/>
      <c r="AG387" s="109"/>
      <c r="AH387" s="109"/>
      <c r="AI387" s="109"/>
      <c r="AJ387" s="109"/>
      <c r="AK387" s="109"/>
      <c r="AL387" s="109"/>
      <c r="AM387" s="109"/>
      <c r="AN387" s="109"/>
      <c r="AO387" s="109"/>
      <c r="AP387" s="109"/>
      <c r="AQ387" s="109"/>
      <c r="AR387" s="109"/>
      <c r="AS387" s="109"/>
    </row>
    <row r="388" spans="1:45" ht="12.6" customHeight="1" x14ac:dyDescent="0.3">
      <c r="A388" s="68"/>
      <c r="B388" s="77" t="s">
        <v>1331</v>
      </c>
      <c r="C388" s="100">
        <f>E388+D388+F388</f>
        <v>9298.4</v>
      </c>
      <c r="D388" s="100">
        <f>SUMIF(N357:N387,M388,D357:D387)</f>
        <v>5159.7</v>
      </c>
      <c r="E388" s="100">
        <f>SUMIF(N357:N387,M388,E357:E387)</f>
        <v>1667.5</v>
      </c>
      <c r="F388" s="100">
        <f>SUMIF(N357:N387,M388,F357:F387)</f>
        <v>2471.1999999999998</v>
      </c>
      <c r="G388" s="16" t="s">
        <v>1415</v>
      </c>
      <c r="M388" s="20" t="s">
        <v>1332</v>
      </c>
      <c r="N388" s="20" t="s">
        <v>1341</v>
      </c>
      <c r="Z388" s="109"/>
      <c r="AA388" s="109"/>
      <c r="AB388" s="109"/>
      <c r="AC388" s="109"/>
      <c r="AD388" s="109"/>
      <c r="AE388" s="109"/>
      <c r="AF388" s="109"/>
      <c r="AG388" s="109"/>
      <c r="AH388" s="109"/>
      <c r="AI388" s="109"/>
      <c r="AJ388" s="109"/>
      <c r="AK388" s="109"/>
      <c r="AL388" s="109"/>
      <c r="AM388" s="109"/>
      <c r="AN388" s="109"/>
      <c r="AO388" s="109"/>
      <c r="AP388" s="109"/>
      <c r="AQ388" s="109"/>
      <c r="AR388" s="109"/>
      <c r="AS388" s="109"/>
    </row>
    <row r="389" spans="1:45" ht="12.6" customHeight="1" x14ac:dyDescent="0.3">
      <c r="A389" s="78"/>
      <c r="B389" s="78"/>
      <c r="C389" s="98"/>
      <c r="D389" s="98"/>
      <c r="E389" s="98"/>
      <c r="F389" s="98"/>
      <c r="G389" s="16" t="s">
        <v>1317</v>
      </c>
      <c r="Z389" s="109"/>
      <c r="AA389" s="109"/>
      <c r="AB389" s="109"/>
      <c r="AC389" s="109"/>
      <c r="AD389" s="109"/>
      <c r="AE389" s="109"/>
      <c r="AF389" s="109"/>
      <c r="AG389" s="109"/>
      <c r="AH389" s="109"/>
      <c r="AI389" s="109"/>
      <c r="AJ389" s="109"/>
      <c r="AK389" s="109"/>
      <c r="AL389" s="109"/>
      <c r="AM389" s="109"/>
      <c r="AN389" s="109"/>
      <c r="AO389" s="109"/>
      <c r="AP389" s="109"/>
      <c r="AQ389" s="109"/>
      <c r="AR389" s="109"/>
      <c r="AS389" s="109"/>
    </row>
    <row r="390" spans="1:45" ht="12.6" customHeight="1" x14ac:dyDescent="0.3">
      <c r="A390" s="68"/>
      <c r="B390" s="77" t="s">
        <v>1521</v>
      </c>
      <c r="C390" s="78"/>
      <c r="D390" s="78"/>
      <c r="E390" s="78"/>
      <c r="F390" s="78"/>
      <c r="G390" s="16" t="s">
        <v>1520</v>
      </c>
      <c r="Z390" s="109"/>
      <c r="AA390" s="109"/>
      <c r="AB390" s="109"/>
      <c r="AC390" s="109"/>
      <c r="AD390" s="109"/>
      <c r="AE390" s="109"/>
      <c r="AF390" s="109"/>
      <c r="AG390" s="109"/>
      <c r="AH390" s="109"/>
      <c r="AI390" s="109"/>
      <c r="AJ390" s="109"/>
      <c r="AK390" s="109"/>
      <c r="AL390" s="109"/>
      <c r="AM390" s="109"/>
      <c r="AN390" s="109"/>
      <c r="AO390" s="109"/>
      <c r="AP390" s="109"/>
      <c r="AQ390" s="109"/>
      <c r="AR390" s="109"/>
      <c r="AS390" s="109"/>
    </row>
    <row r="391" spans="1:45" ht="12.6" customHeight="1" x14ac:dyDescent="0.3">
      <c r="A391" s="78"/>
      <c r="B391" s="78"/>
      <c r="C391" s="78"/>
      <c r="D391" s="78"/>
      <c r="E391" s="78"/>
      <c r="F391" s="78"/>
      <c r="G391" s="16" t="s">
        <v>1317</v>
      </c>
      <c r="Z391" s="109"/>
      <c r="AA391" s="109"/>
      <c r="AB391" s="109"/>
      <c r="AC391" s="109"/>
      <c r="AD391" s="109"/>
      <c r="AE391" s="109"/>
      <c r="AF391" s="109"/>
      <c r="AG391" s="109"/>
      <c r="AH391" s="109"/>
      <c r="AI391" s="109"/>
      <c r="AJ391" s="109"/>
      <c r="AK391" s="109"/>
      <c r="AL391" s="109"/>
      <c r="AM391" s="109"/>
      <c r="AN391" s="109"/>
      <c r="AO391" s="109"/>
      <c r="AP391" s="109"/>
      <c r="AQ391" s="109"/>
      <c r="AR391" s="109"/>
      <c r="AS391" s="109"/>
    </row>
    <row r="392" spans="1:45" ht="12.6" customHeight="1" x14ac:dyDescent="0.3">
      <c r="A392" s="68"/>
      <c r="B392" s="97" t="str">
        <f>"L (운반거리)  = "&amp;Z392&amp;"  Km "</f>
        <v xml:space="preserve">L (운반거리)  = 0.1  Km </v>
      </c>
      <c r="C392" s="78"/>
      <c r="D392" s="78"/>
      <c r="E392" s="78"/>
      <c r="F392" s="78"/>
      <c r="G392" s="16" t="s">
        <v>1522</v>
      </c>
      <c r="Z392" s="110">
        <v>0.1</v>
      </c>
      <c r="AA392" s="20" t="s">
        <v>1326</v>
      </c>
      <c r="AB392" s="112">
        <f>Z392</f>
        <v>0.1</v>
      </c>
      <c r="AC392" s="109"/>
      <c r="AD392" s="109"/>
      <c r="AE392" s="109"/>
      <c r="AF392" s="109"/>
      <c r="AG392" s="109"/>
      <c r="AH392" s="109"/>
      <c r="AI392" s="109"/>
      <c r="AJ392" s="109"/>
      <c r="AK392" s="109"/>
      <c r="AL392" s="109"/>
      <c r="AM392" s="109"/>
      <c r="AN392" s="109"/>
      <c r="AO392" s="109"/>
      <c r="AP392" s="109"/>
      <c r="AQ392" s="109"/>
      <c r="AR392" s="109"/>
      <c r="AS392" s="109"/>
    </row>
    <row r="393" spans="1:45" ht="12.6" customHeight="1" x14ac:dyDescent="0.3">
      <c r="A393" s="78"/>
      <c r="B393" s="78"/>
      <c r="C393" s="78"/>
      <c r="D393" s="78"/>
      <c r="E393" s="78"/>
      <c r="F393" s="78"/>
      <c r="G393" s="16" t="s">
        <v>1317</v>
      </c>
      <c r="Z393" s="109"/>
      <c r="AA393" s="109"/>
      <c r="AB393" s="109"/>
      <c r="AC393" s="109"/>
      <c r="AD393" s="109"/>
      <c r="AE393" s="109"/>
      <c r="AF393" s="109"/>
      <c r="AG393" s="109"/>
      <c r="AH393" s="109"/>
      <c r="AI393" s="109"/>
      <c r="AJ393" s="109"/>
      <c r="AK393" s="109"/>
      <c r="AL393" s="109"/>
      <c r="AM393" s="109"/>
      <c r="AN393" s="109"/>
      <c r="AO393" s="109"/>
      <c r="AP393" s="109"/>
      <c r="AQ393" s="109"/>
      <c r="AR393" s="109"/>
      <c r="AS393" s="109"/>
    </row>
    <row r="394" spans="1:45" ht="12.6" customHeight="1" x14ac:dyDescent="0.3">
      <c r="A394" s="68"/>
      <c r="B394" s="97" t="str">
        <f>"E (작업효율)  = "&amp;Z394&amp;" , f (체적환산계수)  = "&amp;AD394&amp;""</f>
        <v>E (작업효율)  = 0.9 , f (체적환산계수)  = 1</v>
      </c>
      <c r="C394" s="78"/>
      <c r="D394" s="78"/>
      <c r="E394" s="78"/>
      <c r="F394" s="78"/>
      <c r="G394" s="16" t="s">
        <v>1523</v>
      </c>
      <c r="Z394" s="110">
        <v>0.9</v>
      </c>
      <c r="AA394" s="20" t="s">
        <v>1326</v>
      </c>
      <c r="AB394" s="112">
        <f>Z394</f>
        <v>0.9</v>
      </c>
      <c r="AC394" s="20" t="s">
        <v>1385</v>
      </c>
      <c r="AD394" s="111">
        <v>1</v>
      </c>
      <c r="AE394" s="20" t="s">
        <v>1326</v>
      </c>
      <c r="AF394" s="112">
        <f>AD394</f>
        <v>1</v>
      </c>
      <c r="AG394" s="20" t="s">
        <v>1385</v>
      </c>
      <c r="AH394" s="109"/>
      <c r="AI394" s="109"/>
      <c r="AJ394" s="109"/>
      <c r="AK394" s="109"/>
      <c r="AL394" s="109"/>
      <c r="AM394" s="109"/>
      <c r="AN394" s="109"/>
      <c r="AO394" s="109"/>
      <c r="AP394" s="109"/>
      <c r="AQ394" s="109"/>
      <c r="AR394" s="109"/>
      <c r="AS394" s="109"/>
    </row>
    <row r="395" spans="1:45" ht="12.6" customHeight="1" x14ac:dyDescent="0.3">
      <c r="A395" s="78"/>
      <c r="B395" s="78"/>
      <c r="C395" s="78"/>
      <c r="D395" s="78"/>
      <c r="E395" s="78"/>
      <c r="F395" s="78"/>
      <c r="G395" s="16" t="s">
        <v>1317</v>
      </c>
      <c r="Z395" s="109"/>
      <c r="AA395" s="109"/>
      <c r="AB395" s="109"/>
      <c r="AC395" s="109"/>
      <c r="AD395" s="109"/>
      <c r="AE395" s="109"/>
      <c r="AF395" s="109"/>
      <c r="AG395" s="109"/>
      <c r="AH395" s="109"/>
      <c r="AI395" s="109"/>
      <c r="AJ395" s="109"/>
      <c r="AK395" s="109"/>
      <c r="AL395" s="109"/>
      <c r="AM395" s="109"/>
      <c r="AN395" s="109"/>
      <c r="AO395" s="109"/>
      <c r="AP395" s="109"/>
      <c r="AQ395" s="109"/>
      <c r="AR395" s="109"/>
      <c r="AS395" s="109"/>
    </row>
    <row r="396" spans="1:45" ht="12.6" customHeight="1" x14ac:dyDescent="0.3">
      <c r="A396" s="68"/>
      <c r="B396" s="97" t="str">
        <f>"q1 (버킷용량)  = ("&amp;AA396&amp;"/"&amp;AC396&amp;") * "&amp;AE396&amp;" = "&amp;AG396&amp;""</f>
        <v>q1 (버킷용량)  = (2.5/1.7) * 1 = 1.47</v>
      </c>
      <c r="C396" s="78"/>
      <c r="D396" s="78"/>
      <c r="E396" s="78"/>
      <c r="F396" s="78"/>
      <c r="G396" s="16" t="s">
        <v>1524</v>
      </c>
      <c r="Z396" s="20" t="s">
        <v>1526</v>
      </c>
      <c r="AA396" s="110">
        <v>2.5</v>
      </c>
      <c r="AB396" s="20" t="s">
        <v>1387</v>
      </c>
      <c r="AC396" s="110">
        <v>1.7</v>
      </c>
      <c r="AD396" s="20" t="s">
        <v>1527</v>
      </c>
      <c r="AE396" s="111">
        <v>1</v>
      </c>
      <c r="AF396" s="20" t="s">
        <v>1326</v>
      </c>
      <c r="AG396" s="112" t="str">
        <f>TEXT(ROUND((AA396/AC396)*AE396,2),"0.00")</f>
        <v>1.47</v>
      </c>
      <c r="AH396" s="109"/>
      <c r="AI396" s="109"/>
      <c r="AJ396" s="109"/>
      <c r="AK396" s="109"/>
      <c r="AL396" s="109"/>
      <c r="AM396" s="109"/>
      <c r="AN396" s="109"/>
      <c r="AO396" s="109"/>
      <c r="AP396" s="109"/>
      <c r="AQ396" s="109"/>
      <c r="AR396" s="109"/>
      <c r="AS396" s="109"/>
    </row>
    <row r="397" spans="1:45" ht="12.6" customHeight="1" x14ac:dyDescent="0.3">
      <c r="A397" s="78"/>
      <c r="B397" s="78"/>
      <c r="C397" s="78"/>
      <c r="D397" s="78"/>
      <c r="E397" s="78"/>
      <c r="F397" s="78"/>
      <c r="G397" s="16" t="s">
        <v>1317</v>
      </c>
      <c r="Z397" s="109"/>
      <c r="AA397" s="109"/>
      <c r="AB397" s="109"/>
      <c r="AC397" s="109"/>
      <c r="AD397" s="109"/>
      <c r="AE397" s="109"/>
      <c r="AF397" s="109"/>
      <c r="AG397" s="109"/>
      <c r="AH397" s="109"/>
      <c r="AI397" s="109"/>
      <c r="AJ397" s="109"/>
      <c r="AK397" s="109"/>
      <c r="AL397" s="109"/>
      <c r="AM397" s="109"/>
      <c r="AN397" s="109"/>
      <c r="AO397" s="109"/>
      <c r="AP397" s="109"/>
      <c r="AQ397" s="109"/>
      <c r="AR397" s="109"/>
      <c r="AS397" s="109"/>
    </row>
    <row r="398" spans="1:45" ht="12.6" customHeight="1" x14ac:dyDescent="0.3">
      <c r="A398" s="68"/>
      <c r="B398" s="77" t="s">
        <v>1528</v>
      </c>
      <c r="C398" s="78"/>
      <c r="D398" s="78"/>
      <c r="E398" s="78"/>
      <c r="F398" s="78"/>
      <c r="G398" s="16" t="s">
        <v>1525</v>
      </c>
      <c r="Z398" s="109"/>
      <c r="AA398" s="109"/>
      <c r="AB398" s="109"/>
      <c r="AC398" s="109"/>
      <c r="AD398" s="109"/>
      <c r="AE398" s="109"/>
      <c r="AF398" s="109"/>
      <c r="AG398" s="109"/>
      <c r="AH398" s="109"/>
      <c r="AI398" s="109"/>
      <c r="AJ398" s="109"/>
      <c r="AK398" s="109"/>
      <c r="AL398" s="109"/>
      <c r="AM398" s="109"/>
      <c r="AN398" s="109"/>
      <c r="AO398" s="109"/>
      <c r="AP398" s="109"/>
      <c r="AQ398" s="109"/>
      <c r="AR398" s="109"/>
      <c r="AS398" s="109"/>
    </row>
    <row r="399" spans="1:45" ht="12.6" customHeight="1" x14ac:dyDescent="0.3">
      <c r="A399" s="78"/>
      <c r="B399" s="78"/>
      <c r="C399" s="78"/>
      <c r="D399" s="78"/>
      <c r="E399" s="78"/>
      <c r="F399" s="78"/>
      <c r="G399" s="16" t="s">
        <v>1317</v>
      </c>
      <c r="Z399" s="109"/>
      <c r="AA399" s="109"/>
      <c r="AB399" s="109"/>
      <c r="AC399" s="109"/>
      <c r="AD399" s="109"/>
      <c r="AE399" s="109"/>
      <c r="AF399" s="109"/>
      <c r="AG399" s="109"/>
      <c r="AH399" s="109"/>
      <c r="AI399" s="109"/>
      <c r="AJ399" s="109"/>
      <c r="AK399" s="109"/>
      <c r="AL399" s="109"/>
      <c r="AM399" s="109"/>
      <c r="AN399" s="109"/>
      <c r="AO399" s="109"/>
      <c r="AP399" s="109"/>
      <c r="AQ399" s="109"/>
      <c r="AR399" s="109"/>
      <c r="AS399" s="109"/>
    </row>
    <row r="400" spans="1:45" ht="12.6" customHeight="1" x14ac:dyDescent="0.3">
      <c r="A400" s="68"/>
      <c r="B400" s="97" t="str">
        <f>"n =q1 / ("&amp;AB400&amp;" * k) = "&amp;AG400&amp;"  회 "</f>
        <v xml:space="preserve">n =q1 / (0.7 * k) = 3.82  회 </v>
      </c>
      <c r="C400" s="78"/>
      <c r="D400" s="78"/>
      <c r="E400" s="78"/>
      <c r="F400" s="78"/>
      <c r="G400" s="16" t="s">
        <v>1529</v>
      </c>
      <c r="Z400" s="112" t="str">
        <f>AG396</f>
        <v>1.47</v>
      </c>
      <c r="AA400" s="20" t="s">
        <v>1531</v>
      </c>
      <c r="AB400" s="110">
        <v>0.7</v>
      </c>
      <c r="AC400" s="20" t="s">
        <v>1390</v>
      </c>
      <c r="AD400" s="112">
        <f>AB374</f>
        <v>0.55000000000000004</v>
      </c>
      <c r="AE400" s="20" t="s">
        <v>1532</v>
      </c>
      <c r="AF400" s="20" t="s">
        <v>1326</v>
      </c>
      <c r="AG400" s="112" t="str">
        <f>TEXT(ROUND(AG396/(AB400*AB374),2),"0.00")</f>
        <v>3.82</v>
      </c>
      <c r="AH400" s="109"/>
      <c r="AI400" s="109"/>
      <c r="AJ400" s="109"/>
      <c r="AK400" s="109"/>
      <c r="AL400" s="109"/>
      <c r="AM400" s="109"/>
      <c r="AN400" s="109"/>
      <c r="AO400" s="109"/>
      <c r="AP400" s="109"/>
      <c r="AQ400" s="109"/>
      <c r="AR400" s="109"/>
      <c r="AS400" s="109"/>
    </row>
    <row r="401" spans="1:45" ht="12.6" customHeight="1" x14ac:dyDescent="0.3">
      <c r="A401" s="78"/>
      <c r="B401" s="78"/>
      <c r="C401" s="78"/>
      <c r="D401" s="78"/>
      <c r="E401" s="78"/>
      <c r="F401" s="78"/>
      <c r="G401" s="16" t="s">
        <v>1317</v>
      </c>
      <c r="Z401" s="109"/>
      <c r="AA401" s="109"/>
      <c r="AB401" s="109"/>
      <c r="AC401" s="109"/>
      <c r="AD401" s="109"/>
      <c r="AE401" s="109"/>
      <c r="AF401" s="109"/>
      <c r="AG401" s="109"/>
      <c r="AH401" s="109"/>
      <c r="AI401" s="109"/>
      <c r="AJ401" s="109"/>
      <c r="AK401" s="109"/>
      <c r="AL401" s="109"/>
      <c r="AM401" s="109"/>
      <c r="AN401" s="109"/>
      <c r="AO401" s="109"/>
      <c r="AP401" s="109"/>
      <c r="AQ401" s="109"/>
      <c r="AR401" s="109"/>
      <c r="AS401" s="109"/>
    </row>
    <row r="402" spans="1:45" ht="12.6" customHeight="1" x14ac:dyDescent="0.3">
      <c r="A402" s="68"/>
      <c r="B402" s="97" t="str">
        <f>"t1 (적재시간)  ="&amp;Z402&amp;" * n / ("&amp;AD402&amp;" * "&amp;AF402&amp;") = "&amp;AI402&amp;" 분 "</f>
        <v xml:space="preserve">t1 (적재시간)  =15 * n / (60 * 0.45) = 2.12 분 </v>
      </c>
      <c r="C402" s="78"/>
      <c r="D402" s="78"/>
      <c r="E402" s="78"/>
      <c r="F402" s="78"/>
      <c r="G402" s="16" t="s">
        <v>1530</v>
      </c>
      <c r="Z402" s="111">
        <v>15</v>
      </c>
      <c r="AA402" s="20" t="s">
        <v>1390</v>
      </c>
      <c r="AB402" s="112" t="str">
        <f>AG400</f>
        <v>3.82</v>
      </c>
      <c r="AC402" s="20" t="s">
        <v>1531</v>
      </c>
      <c r="AD402" s="111">
        <v>60</v>
      </c>
      <c r="AE402" s="20" t="s">
        <v>1390</v>
      </c>
      <c r="AF402" s="110">
        <v>0.45</v>
      </c>
      <c r="AG402" s="20" t="s">
        <v>1532</v>
      </c>
      <c r="AH402" s="20" t="s">
        <v>1326</v>
      </c>
      <c r="AI402" s="112" t="str">
        <f>TEXT(ROUND(Z402*AG400/(AD402*AF402),2),"0.00")</f>
        <v>2.12</v>
      </c>
      <c r="AJ402" s="109"/>
      <c r="AK402" s="109"/>
      <c r="AL402" s="109"/>
      <c r="AM402" s="109"/>
      <c r="AN402" s="109"/>
      <c r="AO402" s="109"/>
      <c r="AP402" s="109"/>
      <c r="AQ402" s="109"/>
      <c r="AR402" s="109"/>
      <c r="AS402" s="109"/>
    </row>
    <row r="403" spans="1:45" ht="12.6" customHeight="1" x14ac:dyDescent="0.3">
      <c r="A403" s="78"/>
      <c r="B403" s="78"/>
      <c r="C403" s="78"/>
      <c r="D403" s="78"/>
      <c r="E403" s="78"/>
      <c r="F403" s="78"/>
      <c r="G403" s="16" t="s">
        <v>1317</v>
      </c>
      <c r="Z403" s="109"/>
      <c r="AA403" s="109"/>
      <c r="AB403" s="109"/>
      <c r="AC403" s="109"/>
      <c r="AD403" s="109"/>
      <c r="AE403" s="109"/>
      <c r="AF403" s="109"/>
      <c r="AG403" s="109"/>
      <c r="AH403" s="109"/>
      <c r="AI403" s="109"/>
      <c r="AJ403" s="109"/>
      <c r="AK403" s="109"/>
      <c r="AL403" s="109"/>
      <c r="AM403" s="109"/>
      <c r="AN403" s="109"/>
      <c r="AO403" s="109"/>
      <c r="AP403" s="109"/>
      <c r="AQ403" s="109"/>
      <c r="AR403" s="109"/>
      <c r="AS403" s="109"/>
    </row>
    <row r="404" spans="1:45" ht="12.6" customHeight="1" x14ac:dyDescent="0.3">
      <c r="A404" s="68"/>
      <c r="B404" s="97" t="str">
        <f>"t2 (왕복시간)  =(L/"&amp;AC404&amp;"+L/"&amp;AG404&amp;")* "&amp;AI404&amp;" = "&amp;AK404&amp;" 분 "</f>
        <v xml:space="preserve">t2 (왕복시간)  =(L/10+L/15)* 60 = 1.00 분 </v>
      </c>
      <c r="C404" s="78"/>
      <c r="D404" s="78"/>
      <c r="E404" s="78"/>
      <c r="F404" s="78"/>
      <c r="G404" s="16" t="s">
        <v>1533</v>
      </c>
      <c r="Z404" s="20" t="s">
        <v>1526</v>
      </c>
      <c r="AA404" s="112">
        <f>AB392</f>
        <v>0.1</v>
      </c>
      <c r="AB404" s="20" t="s">
        <v>1387</v>
      </c>
      <c r="AC404" s="111">
        <v>10</v>
      </c>
      <c r="AD404" s="20" t="s">
        <v>1535</v>
      </c>
      <c r="AE404" s="112">
        <f>AB392</f>
        <v>0.1</v>
      </c>
      <c r="AF404" s="20" t="s">
        <v>1387</v>
      </c>
      <c r="AG404" s="111">
        <v>15</v>
      </c>
      <c r="AH404" s="20" t="s">
        <v>1527</v>
      </c>
      <c r="AI404" s="111">
        <v>60</v>
      </c>
      <c r="AJ404" s="20" t="s">
        <v>1326</v>
      </c>
      <c r="AK404" s="112" t="str">
        <f>TEXT(ROUND((AB392/AC404+AB392/AG404)*AI404,2),"0.00")</f>
        <v>1.00</v>
      </c>
      <c r="AL404" s="109"/>
      <c r="AM404" s="109"/>
      <c r="AN404" s="109"/>
      <c r="AO404" s="109"/>
      <c r="AP404" s="109"/>
      <c r="AQ404" s="109"/>
      <c r="AR404" s="109"/>
      <c r="AS404" s="109"/>
    </row>
    <row r="405" spans="1:45" ht="12.6" customHeight="1" x14ac:dyDescent="0.3">
      <c r="A405" s="78"/>
      <c r="B405" s="78"/>
      <c r="C405" s="78"/>
      <c r="D405" s="78"/>
      <c r="E405" s="78"/>
      <c r="F405" s="78"/>
      <c r="G405" s="16" t="s">
        <v>1317</v>
      </c>
      <c r="Z405" s="109"/>
      <c r="AA405" s="109"/>
      <c r="AB405" s="109"/>
      <c r="AC405" s="109"/>
      <c r="AD405" s="109"/>
      <c r="AE405" s="109"/>
      <c r="AF405" s="109"/>
      <c r="AG405" s="109"/>
      <c r="AH405" s="109"/>
      <c r="AI405" s="109"/>
      <c r="AJ405" s="109"/>
      <c r="AK405" s="109"/>
      <c r="AL405" s="109"/>
      <c r="AM405" s="109"/>
      <c r="AN405" s="109"/>
      <c r="AO405" s="109"/>
      <c r="AP405" s="109"/>
      <c r="AQ405" s="109"/>
      <c r="AR405" s="109"/>
      <c r="AS405" s="109"/>
    </row>
    <row r="406" spans="1:45" ht="12.6" customHeight="1" x14ac:dyDescent="0.3">
      <c r="A406" s="68"/>
      <c r="B406" s="97" t="str">
        <f>"t3 (적하시간)  = "&amp;Z406&amp;" 분 "</f>
        <v xml:space="preserve">t3 (적하시간)  = 0.8 분 </v>
      </c>
      <c r="C406" s="78"/>
      <c r="D406" s="78"/>
      <c r="E406" s="78"/>
      <c r="F406" s="78"/>
      <c r="G406" s="16" t="s">
        <v>1534</v>
      </c>
      <c r="Z406" s="110">
        <v>0.8</v>
      </c>
      <c r="AA406" s="20" t="s">
        <v>1326</v>
      </c>
      <c r="AB406" s="112">
        <f>Z406</f>
        <v>0.8</v>
      </c>
      <c r="AC406" s="109"/>
      <c r="AD406" s="109"/>
      <c r="AE406" s="109"/>
      <c r="AF406" s="109"/>
      <c r="AG406" s="109"/>
      <c r="AH406" s="109"/>
      <c r="AI406" s="109"/>
      <c r="AJ406" s="109"/>
      <c r="AK406" s="109"/>
      <c r="AL406" s="109"/>
      <c r="AM406" s="109"/>
      <c r="AN406" s="109"/>
      <c r="AO406" s="109"/>
      <c r="AP406" s="109"/>
      <c r="AQ406" s="109"/>
      <c r="AR406" s="109"/>
      <c r="AS406" s="109"/>
    </row>
    <row r="407" spans="1:45" ht="12.6" customHeight="1" x14ac:dyDescent="0.3">
      <c r="A407" s="78"/>
      <c r="B407" s="78"/>
      <c r="C407" s="78"/>
      <c r="D407" s="78"/>
      <c r="E407" s="78"/>
      <c r="F407" s="78"/>
      <c r="G407" s="16" t="s">
        <v>1317</v>
      </c>
      <c r="Z407" s="109"/>
      <c r="AA407" s="109"/>
      <c r="AB407" s="109"/>
      <c r="AC407" s="109"/>
      <c r="AD407" s="109"/>
      <c r="AE407" s="109"/>
      <c r="AF407" s="109"/>
      <c r="AG407" s="109"/>
      <c r="AH407" s="109"/>
      <c r="AI407" s="109"/>
      <c r="AJ407" s="109"/>
      <c r="AK407" s="109"/>
      <c r="AL407" s="109"/>
      <c r="AM407" s="109"/>
      <c r="AN407" s="109"/>
      <c r="AO407" s="109"/>
      <c r="AP407" s="109"/>
      <c r="AQ407" s="109"/>
      <c r="AR407" s="109"/>
      <c r="AS407" s="109"/>
    </row>
    <row r="408" spans="1:45" ht="12.6" customHeight="1" x14ac:dyDescent="0.3">
      <c r="A408" s="68"/>
      <c r="B408" s="97" t="str">
        <f>"t4 (적재작업이 시작될때까지의시간)  = "&amp;Z408&amp;" 분 "</f>
        <v xml:space="preserve">t4 (적재작업이 시작될때까지의시간)  = 0.7 분 </v>
      </c>
      <c r="C408" s="78"/>
      <c r="D408" s="78"/>
      <c r="E408" s="78"/>
      <c r="F408" s="78"/>
      <c r="G408" s="16" t="s">
        <v>1536</v>
      </c>
      <c r="Z408" s="110">
        <v>0.7</v>
      </c>
      <c r="AA408" s="20" t="s">
        <v>1326</v>
      </c>
      <c r="AB408" s="112">
        <f>Z408</f>
        <v>0.7</v>
      </c>
      <c r="AC408" s="109"/>
      <c r="AD408" s="109"/>
      <c r="AE408" s="109"/>
      <c r="AF408" s="109"/>
      <c r="AG408" s="109"/>
      <c r="AH408" s="109"/>
      <c r="AI408" s="109"/>
      <c r="AJ408" s="109"/>
      <c r="AK408" s="109"/>
      <c r="AL408" s="109"/>
      <c r="AM408" s="109"/>
      <c r="AN408" s="109"/>
      <c r="AO408" s="109"/>
      <c r="AP408" s="109"/>
      <c r="AQ408" s="109"/>
      <c r="AR408" s="109"/>
      <c r="AS408" s="109"/>
    </row>
    <row r="409" spans="1:45" ht="12.6" customHeight="1" x14ac:dyDescent="0.3">
      <c r="A409" s="78"/>
      <c r="B409" s="78"/>
      <c r="C409" s="78"/>
      <c r="D409" s="78"/>
      <c r="E409" s="78"/>
      <c r="F409" s="78"/>
      <c r="G409" s="16" t="s">
        <v>1317</v>
      </c>
      <c r="Z409" s="109"/>
      <c r="AA409" s="109"/>
      <c r="AB409" s="109"/>
      <c r="AC409" s="109"/>
      <c r="AD409" s="109"/>
      <c r="AE409" s="109"/>
      <c r="AF409" s="109"/>
      <c r="AG409" s="109"/>
      <c r="AH409" s="109"/>
      <c r="AI409" s="109"/>
      <c r="AJ409" s="109"/>
      <c r="AK409" s="109"/>
      <c r="AL409" s="109"/>
      <c r="AM409" s="109"/>
      <c r="AN409" s="109"/>
      <c r="AO409" s="109"/>
      <c r="AP409" s="109"/>
      <c r="AQ409" s="109"/>
      <c r="AR409" s="109"/>
      <c r="AS409" s="109"/>
    </row>
    <row r="410" spans="1:45" ht="12.6" customHeight="1" x14ac:dyDescent="0.3">
      <c r="A410" s="68"/>
      <c r="B410" s="97" t="str">
        <f>"Cm (1회 사이클 시간(분))  = t1 + t2 + t3 + t4 = "&amp;AH410&amp;" 분 "</f>
        <v xml:space="preserve">Cm (1회 사이클 시간(분))  = t1 + t2 + t3 + t4 = 4.62 분 </v>
      </c>
      <c r="C410" s="78"/>
      <c r="D410" s="78"/>
      <c r="E410" s="78"/>
      <c r="F410" s="78"/>
      <c r="G410" s="16" t="s">
        <v>1537</v>
      </c>
      <c r="Z410" s="112" t="str">
        <f>AI402</f>
        <v>2.12</v>
      </c>
      <c r="AA410" s="20" t="s">
        <v>1535</v>
      </c>
      <c r="AB410" s="112" t="str">
        <f>AK404</f>
        <v>1.00</v>
      </c>
      <c r="AC410" s="20" t="s">
        <v>1535</v>
      </c>
      <c r="AD410" s="112">
        <f>AB406</f>
        <v>0.8</v>
      </c>
      <c r="AE410" s="20" t="s">
        <v>1535</v>
      </c>
      <c r="AF410" s="112">
        <f>AB408</f>
        <v>0.7</v>
      </c>
      <c r="AG410" s="20" t="s">
        <v>1326</v>
      </c>
      <c r="AH410" s="112" t="str">
        <f>TEXT(ROUND(AI402+AK404+AB406+AB408,2),"0.00")</f>
        <v>4.62</v>
      </c>
      <c r="AI410" s="109"/>
      <c r="AJ410" s="109"/>
      <c r="AK410" s="109"/>
      <c r="AL410" s="109"/>
      <c r="AM410" s="109"/>
      <c r="AN410" s="109"/>
      <c r="AO410" s="109"/>
      <c r="AP410" s="109"/>
      <c r="AQ410" s="109"/>
      <c r="AR410" s="109"/>
      <c r="AS410" s="109"/>
    </row>
    <row r="411" spans="1:45" ht="12.6" customHeight="1" x14ac:dyDescent="0.3">
      <c r="A411" s="78"/>
      <c r="B411" s="78"/>
      <c r="C411" s="78"/>
      <c r="D411" s="78"/>
      <c r="E411" s="78"/>
      <c r="F411" s="78"/>
      <c r="G411" s="16" t="s">
        <v>1317</v>
      </c>
      <c r="Z411" s="109"/>
      <c r="AA411" s="109"/>
      <c r="AB411" s="109"/>
      <c r="AC411" s="109"/>
      <c r="AD411" s="109"/>
      <c r="AE411" s="109"/>
      <c r="AF411" s="109"/>
      <c r="AG411" s="109"/>
      <c r="AH411" s="109"/>
      <c r="AI411" s="109"/>
      <c r="AJ411" s="109"/>
      <c r="AK411" s="109"/>
      <c r="AL411" s="109"/>
      <c r="AM411" s="109"/>
      <c r="AN411" s="109"/>
      <c r="AO411" s="109"/>
      <c r="AP411" s="109"/>
      <c r="AQ411" s="109"/>
      <c r="AR411" s="109"/>
      <c r="AS411" s="109"/>
    </row>
    <row r="412" spans="1:45" ht="12.6" customHeight="1" x14ac:dyDescent="0.3">
      <c r="A412" s="68"/>
      <c r="B412" s="97" t="str">
        <f>"Q1 (시간당작업량)  = "&amp;Z412&amp;" * q1 * f * E / Cm = "&amp;AJ412&amp;" m3/hr "</f>
        <v xml:space="preserve">Q1 (시간당작업량)  = 60 * q1 * f * E / Cm = 17.18 m3/hr </v>
      </c>
      <c r="C412" s="78"/>
      <c r="D412" s="78"/>
      <c r="E412" s="78"/>
      <c r="F412" s="78"/>
      <c r="G412" s="16" t="s">
        <v>1538</v>
      </c>
      <c r="Z412" s="111">
        <v>60</v>
      </c>
      <c r="AA412" s="20" t="s">
        <v>1390</v>
      </c>
      <c r="AB412" s="112" t="str">
        <f>AG396</f>
        <v>1.47</v>
      </c>
      <c r="AC412" s="20" t="s">
        <v>1390</v>
      </c>
      <c r="AD412" s="112">
        <f>AF394</f>
        <v>1</v>
      </c>
      <c r="AE412" s="20" t="s">
        <v>1390</v>
      </c>
      <c r="AF412" s="112">
        <f>AB394</f>
        <v>0.9</v>
      </c>
      <c r="AG412" s="20" t="s">
        <v>1387</v>
      </c>
      <c r="AH412" s="112" t="str">
        <f>AH410</f>
        <v>4.62</v>
      </c>
      <c r="AI412" s="20" t="s">
        <v>1326</v>
      </c>
      <c r="AJ412" s="112" t="str">
        <f>TEXT(ROUND(Z412*AG396*AF394*AB394/AH410,2),"0.00")</f>
        <v>17.18</v>
      </c>
      <c r="AK412" s="109"/>
      <c r="AL412" s="109"/>
      <c r="AM412" s="109"/>
      <c r="AN412" s="109"/>
      <c r="AO412" s="109"/>
      <c r="AP412" s="109"/>
      <c r="AQ412" s="109"/>
      <c r="AR412" s="109"/>
      <c r="AS412" s="109"/>
    </row>
    <row r="413" spans="1:45" ht="12.6" customHeight="1" x14ac:dyDescent="0.3">
      <c r="A413" s="78"/>
      <c r="B413" s="78"/>
      <c r="C413" s="78"/>
      <c r="D413" s="78"/>
      <c r="E413" s="78"/>
      <c r="F413" s="78"/>
      <c r="G413" s="16" t="s">
        <v>1317</v>
      </c>
      <c r="Z413" s="109"/>
      <c r="AA413" s="109"/>
      <c r="AB413" s="109"/>
      <c r="AC413" s="109"/>
      <c r="AD413" s="109"/>
      <c r="AE413" s="109"/>
      <c r="AF413" s="109"/>
      <c r="AG413" s="109"/>
      <c r="AH413" s="109"/>
      <c r="AI413" s="109"/>
      <c r="AJ413" s="109"/>
      <c r="AK413" s="109"/>
      <c r="AL413" s="109"/>
      <c r="AM413" s="109"/>
      <c r="AN413" s="109"/>
      <c r="AO413" s="109"/>
      <c r="AP413" s="109"/>
      <c r="AQ413" s="109"/>
      <c r="AR413" s="109"/>
      <c r="AS413" s="109"/>
    </row>
    <row r="414" spans="1:45" ht="12.6" customHeight="1" x14ac:dyDescent="0.3">
      <c r="A414" s="68" t="s">
        <v>1540</v>
      </c>
      <c r="B414" s="97" t="str">
        <f>" 노 무 비  :   "&amp;TEXT(I414,"#,##0"&amp;IF(I414&lt;&gt;INT(I414),".###",""))&amp;" / Q1 = "&amp;TEXT(C414,"#,##0.0")&amp;""</f>
        <v xml:space="preserve"> 노 무 비  :   47,231 / Q1 = 2,749.1</v>
      </c>
      <c r="C414" s="99">
        <f>E414+D414+F414</f>
        <v>2749.1</v>
      </c>
      <c r="D414" s="99">
        <f>IF(H414=0,0,ROUNDDOWN(J414*H414,1))</f>
        <v>2749.1</v>
      </c>
      <c r="E414" s="99">
        <f>IF(H414=0,0,ROUNDDOWN(K414*H414,1))</f>
        <v>0</v>
      </c>
      <c r="F414" s="99">
        <f>IF(H414=0,0,ROUNDDOWN(L414*H414,1))</f>
        <v>0</v>
      </c>
      <c r="G414" s="16" t="s">
        <v>1539</v>
      </c>
      <c r="H414" s="105">
        <f>AC414</f>
        <v>5.8207217694994179E-2</v>
      </c>
      <c r="I414" s="106">
        <f>K414+J414+L414</f>
        <v>47231</v>
      </c>
      <c r="J414" s="39">
        <f>중기목록표!F19</f>
        <v>47231</v>
      </c>
      <c r="M414" s="20" t="s">
        <v>1541</v>
      </c>
      <c r="N414" s="20" t="s">
        <v>1332</v>
      </c>
      <c r="X414" s="108" t="str">
        <f>중기목록표!B19&amp;" / "&amp;중기목록표!C19</f>
        <v xml:space="preserve">덤프트럭2.5ton(토사) / </v>
      </c>
      <c r="Y414" s="19" t="str">
        <f ca="1">HYPERLINK("#"&amp;중기목록표!J2&amp;"!A"&amp;ROW(중기목록표!A19),"중기   16 →")</f>
        <v>중기   16 →</v>
      </c>
      <c r="Z414" s="20" t="s">
        <v>1393</v>
      </c>
      <c r="AA414" s="112" t="str">
        <f>AJ412</f>
        <v>17.18</v>
      </c>
      <c r="AB414" s="20" t="s">
        <v>1326</v>
      </c>
      <c r="AC414" s="113">
        <f>1/AJ412</f>
        <v>5.8207217694994179E-2</v>
      </c>
      <c r="AD414" s="109"/>
      <c r="AE414" s="109"/>
      <c r="AF414" s="109"/>
      <c r="AG414" s="109"/>
      <c r="AH414" s="109"/>
      <c r="AI414" s="109"/>
      <c r="AJ414" s="109"/>
      <c r="AK414" s="109"/>
      <c r="AL414" s="109"/>
      <c r="AM414" s="109"/>
      <c r="AN414" s="109"/>
      <c r="AO414" s="109"/>
      <c r="AP414" s="109"/>
      <c r="AQ414" s="109"/>
      <c r="AR414" s="109"/>
      <c r="AS414" s="109"/>
    </row>
    <row r="415" spans="1:45" ht="12.6" customHeight="1" x14ac:dyDescent="0.3">
      <c r="A415" s="78"/>
      <c r="B415" s="78"/>
      <c r="C415" s="78"/>
      <c r="D415" s="78"/>
      <c r="E415" s="78"/>
      <c r="F415" s="78"/>
      <c r="G415" s="16" t="s">
        <v>1317</v>
      </c>
      <c r="Z415" s="109"/>
      <c r="AA415" s="109"/>
      <c r="AB415" s="109"/>
      <c r="AC415" s="109"/>
      <c r="AD415" s="109"/>
      <c r="AE415" s="109"/>
      <c r="AF415" s="109"/>
      <c r="AG415" s="109"/>
      <c r="AH415" s="109"/>
      <c r="AI415" s="109"/>
      <c r="AJ415" s="109"/>
      <c r="AK415" s="109"/>
      <c r="AL415" s="109"/>
      <c r="AM415" s="109"/>
      <c r="AN415" s="109"/>
      <c r="AO415" s="109"/>
      <c r="AP415" s="109"/>
      <c r="AQ415" s="109"/>
      <c r="AR415" s="109"/>
      <c r="AS415" s="109"/>
    </row>
    <row r="416" spans="1:45" ht="12.6" customHeight="1" x14ac:dyDescent="0.3">
      <c r="A416" s="68" t="s">
        <v>1543</v>
      </c>
      <c r="B416" s="97" t="str">
        <f>" 재 료 비  :   "&amp;TEXT(I416,"#,##0"&amp;IF(I416&lt;&gt;INT(I416),".###",""))&amp;" / Q1 = "&amp;TEXT(C416,"#,##0.0")&amp;""</f>
        <v xml:space="preserve"> 재 료 비  :   5,090 / Q1 = 296.2</v>
      </c>
      <c r="C416" s="99">
        <f>E416+D416+F416</f>
        <v>296.2</v>
      </c>
      <c r="D416" s="99">
        <f>IF(H416=0,0,ROUNDDOWN(J416*H416,1))</f>
        <v>0</v>
      </c>
      <c r="E416" s="99">
        <f>IF(H416=0,0,ROUNDDOWN(K416*H416,1))</f>
        <v>296.2</v>
      </c>
      <c r="F416" s="99">
        <f>IF(H416=0,0,ROUNDDOWN(L416*H416,1))</f>
        <v>0</v>
      </c>
      <c r="G416" s="16" t="s">
        <v>1542</v>
      </c>
      <c r="H416" s="105">
        <f>AC416</f>
        <v>5.8207217694994179E-2</v>
      </c>
      <c r="I416" s="106">
        <f>K416+J416+L416</f>
        <v>5090</v>
      </c>
      <c r="K416" s="39">
        <f>중기목록표!G19</f>
        <v>5090</v>
      </c>
      <c r="M416" s="20" t="s">
        <v>1541</v>
      </c>
      <c r="N416" s="20" t="s">
        <v>1332</v>
      </c>
      <c r="X416" s="108" t="str">
        <f>중기목록표!B19&amp;" / "&amp;중기목록표!C19</f>
        <v xml:space="preserve">덤프트럭2.5ton(토사) / </v>
      </c>
      <c r="Y416" s="19" t="str">
        <f ca="1">HYPERLINK("#"&amp;중기목록표!J2&amp;"!A"&amp;ROW(중기목록표!A19),"중기   16 →")</f>
        <v>중기   16 →</v>
      </c>
      <c r="Z416" s="20" t="s">
        <v>1393</v>
      </c>
      <c r="AA416" s="112" t="str">
        <f>AJ412</f>
        <v>17.18</v>
      </c>
      <c r="AB416" s="20" t="s">
        <v>1326</v>
      </c>
      <c r="AC416" s="113">
        <f>1/AJ412</f>
        <v>5.8207217694994179E-2</v>
      </c>
      <c r="AD416" s="109"/>
      <c r="AE416" s="109"/>
      <c r="AF416" s="109"/>
      <c r="AG416" s="109"/>
      <c r="AH416" s="109"/>
      <c r="AI416" s="109"/>
      <c r="AJ416" s="109"/>
      <c r="AK416" s="109"/>
      <c r="AL416" s="109"/>
      <c r="AM416" s="109"/>
      <c r="AN416" s="109"/>
      <c r="AO416" s="109"/>
      <c r="AP416" s="109"/>
      <c r="AQ416" s="109"/>
      <c r="AR416" s="109"/>
      <c r="AS416" s="109"/>
    </row>
    <row r="417" spans="1:45" ht="12.6" customHeight="1" x14ac:dyDescent="0.3">
      <c r="A417" s="78"/>
      <c r="B417" s="78"/>
      <c r="C417" s="78"/>
      <c r="D417" s="78"/>
      <c r="E417" s="78"/>
      <c r="F417" s="78"/>
      <c r="G417" s="16" t="s">
        <v>1317</v>
      </c>
      <c r="Z417" s="109"/>
      <c r="AA417" s="109"/>
      <c r="AB417" s="109"/>
      <c r="AC417" s="109"/>
      <c r="AD417" s="109"/>
      <c r="AE417" s="109"/>
      <c r="AF417" s="109"/>
      <c r="AG417" s="109"/>
      <c r="AH417" s="109"/>
      <c r="AI417" s="109"/>
      <c r="AJ417" s="109"/>
      <c r="AK417" s="109"/>
      <c r="AL417" s="109"/>
      <c r="AM417" s="109"/>
      <c r="AN417" s="109"/>
      <c r="AO417" s="109"/>
      <c r="AP417" s="109"/>
      <c r="AQ417" s="109"/>
      <c r="AR417" s="109"/>
      <c r="AS417" s="109"/>
    </row>
    <row r="418" spans="1:45" ht="12.6" customHeight="1" x14ac:dyDescent="0.3">
      <c r="A418" s="68" t="s">
        <v>1545</v>
      </c>
      <c r="B418" s="97" t="str">
        <f>" 경    비  :   "&amp;TEXT(I418,"#,##0"&amp;IF(I418&lt;&gt;INT(I418),".###",""))&amp;" / Q1 = "&amp;TEXT(C418,"#,##0.0")&amp;""</f>
        <v xml:space="preserve"> 경    비  :   6,169 / Q1 = 359.0</v>
      </c>
      <c r="C418" s="99">
        <f>E418+D418+F418</f>
        <v>359</v>
      </c>
      <c r="D418" s="99">
        <f>IF(H418=0,0,ROUNDDOWN(J418*H418,1))</f>
        <v>0</v>
      </c>
      <c r="E418" s="99">
        <f>IF(H418=0,0,ROUNDDOWN(K418*H418,1))</f>
        <v>0</v>
      </c>
      <c r="F418" s="99">
        <f>IF(H418=0,0,ROUNDDOWN(L418*H418,1))</f>
        <v>359</v>
      </c>
      <c r="G418" s="16" t="s">
        <v>1544</v>
      </c>
      <c r="H418" s="105">
        <f>AC418</f>
        <v>5.8207217694994179E-2</v>
      </c>
      <c r="I418" s="106">
        <f>K418+J418+L418</f>
        <v>6169</v>
      </c>
      <c r="L418" s="39">
        <f>중기목록표!H19</f>
        <v>6169</v>
      </c>
      <c r="M418" s="20" t="s">
        <v>1541</v>
      </c>
      <c r="N418" s="20" t="s">
        <v>1332</v>
      </c>
      <c r="X418" s="108" t="str">
        <f>중기목록표!B19&amp;" / "&amp;중기목록표!C19</f>
        <v xml:space="preserve">덤프트럭2.5ton(토사) / </v>
      </c>
      <c r="Y418" s="19" t="str">
        <f ca="1">HYPERLINK("#"&amp;중기목록표!J2&amp;"!A"&amp;ROW(중기목록표!A19),"중기   16 →")</f>
        <v>중기   16 →</v>
      </c>
      <c r="Z418" s="20" t="s">
        <v>1393</v>
      </c>
      <c r="AA418" s="112" t="str">
        <f>AJ412</f>
        <v>17.18</v>
      </c>
      <c r="AB418" s="20" t="s">
        <v>1326</v>
      </c>
      <c r="AC418" s="113">
        <f>1/AJ412</f>
        <v>5.8207217694994179E-2</v>
      </c>
      <c r="AD418" s="109"/>
      <c r="AE418" s="109"/>
      <c r="AF418" s="109"/>
      <c r="AG418" s="109"/>
      <c r="AH418" s="109"/>
      <c r="AI418" s="109"/>
      <c r="AJ418" s="109"/>
      <c r="AK418" s="109"/>
      <c r="AL418" s="109"/>
      <c r="AM418" s="109"/>
      <c r="AN418" s="109"/>
      <c r="AO418" s="109"/>
      <c r="AP418" s="109"/>
      <c r="AQ418" s="109"/>
      <c r="AR418" s="109"/>
      <c r="AS418" s="109"/>
    </row>
    <row r="419" spans="1:45" ht="12.6" customHeight="1" x14ac:dyDescent="0.3">
      <c r="A419" s="78"/>
      <c r="B419" s="78"/>
      <c r="C419" s="78"/>
      <c r="D419" s="78"/>
      <c r="E419" s="78"/>
      <c r="F419" s="78"/>
      <c r="G419" s="16" t="s">
        <v>1317</v>
      </c>
      <c r="Z419" s="109"/>
      <c r="AA419" s="109"/>
      <c r="AB419" s="109"/>
      <c r="AC419" s="109"/>
      <c r="AD419" s="109"/>
      <c r="AE419" s="109"/>
      <c r="AF419" s="109"/>
      <c r="AG419" s="109"/>
      <c r="AH419" s="109"/>
      <c r="AI419" s="109"/>
      <c r="AJ419" s="109"/>
      <c r="AK419" s="109"/>
      <c r="AL419" s="109"/>
      <c r="AM419" s="109"/>
      <c r="AN419" s="109"/>
      <c r="AO419" s="109"/>
      <c r="AP419" s="109"/>
      <c r="AQ419" s="109"/>
      <c r="AR419" s="109"/>
      <c r="AS419" s="109"/>
    </row>
    <row r="420" spans="1:45" ht="12.6" customHeight="1" x14ac:dyDescent="0.3">
      <c r="A420" s="68"/>
      <c r="B420" s="77" t="s">
        <v>1331</v>
      </c>
      <c r="C420" s="100">
        <f>E420+D420+F420</f>
        <v>3404.2999999999997</v>
      </c>
      <c r="D420" s="100">
        <f>SUMIF(N389:N419,M420,D389:D419)</f>
        <v>2749.1</v>
      </c>
      <c r="E420" s="100">
        <f>SUMIF(N389:N419,M420,E389:E419)</f>
        <v>296.2</v>
      </c>
      <c r="F420" s="100">
        <f>SUMIF(N389:N419,M420,F389:F419)</f>
        <v>359</v>
      </c>
      <c r="G420" s="16" t="s">
        <v>1415</v>
      </c>
      <c r="M420" s="20" t="s">
        <v>1332</v>
      </c>
      <c r="N420" s="20" t="s">
        <v>1341</v>
      </c>
      <c r="Z420" s="109"/>
      <c r="AA420" s="109"/>
      <c r="AB420" s="109"/>
      <c r="AC420" s="109"/>
      <c r="AD420" s="109"/>
      <c r="AE420" s="109"/>
      <c r="AF420" s="109"/>
      <c r="AG420" s="109"/>
      <c r="AH420" s="109"/>
      <c r="AI420" s="109"/>
      <c r="AJ420" s="109"/>
      <c r="AK420" s="109"/>
      <c r="AL420" s="109"/>
      <c r="AM420" s="109"/>
      <c r="AN420" s="109"/>
      <c r="AO420" s="109"/>
      <c r="AP420" s="109"/>
      <c r="AQ420" s="109"/>
      <c r="AR420" s="109"/>
      <c r="AS420" s="109"/>
    </row>
    <row r="421" spans="1:45" ht="12.6" customHeight="1" x14ac:dyDescent="0.3">
      <c r="A421" s="68"/>
      <c r="B421" s="77" t="s">
        <v>1340</v>
      </c>
      <c r="C421" s="101">
        <f>E421+D421+F421</f>
        <v>12702.7</v>
      </c>
      <c r="D421" s="101">
        <f>SUMIF(N357:N420,M421,D357:D420)</f>
        <v>7908.7999999999993</v>
      </c>
      <c r="E421" s="101">
        <f>SUMIF(N357:N420,M421,E357:E420)</f>
        <v>1963.7</v>
      </c>
      <c r="F421" s="101">
        <f>SUMIF(N357:N420,M421,F357:F420)</f>
        <v>2830.2</v>
      </c>
      <c r="G421" s="16" t="s">
        <v>1380</v>
      </c>
      <c r="M421" s="20" t="s">
        <v>1341</v>
      </c>
      <c r="N421" s="20" t="s">
        <v>1128</v>
      </c>
      <c r="Z421" s="109"/>
      <c r="AA421" s="109"/>
      <c r="AB421" s="109"/>
      <c r="AC421" s="109"/>
      <c r="AD421" s="109"/>
      <c r="AE421" s="109"/>
      <c r="AF421" s="109"/>
      <c r="AG421" s="109"/>
      <c r="AH421" s="109"/>
      <c r="AI421" s="109"/>
      <c r="AJ421" s="109"/>
      <c r="AK421" s="109"/>
      <c r="AL421" s="109"/>
      <c r="AM421" s="109"/>
      <c r="AN421" s="109"/>
      <c r="AO421" s="109"/>
      <c r="AP421" s="109"/>
      <c r="AQ421" s="109"/>
      <c r="AR421" s="109"/>
      <c r="AS421" s="109"/>
    </row>
    <row r="422" spans="1:45" ht="12.6" customHeight="1" x14ac:dyDescent="0.3">
      <c r="A422" s="78"/>
      <c r="B422" s="78"/>
      <c r="C422" s="98"/>
      <c r="D422" s="98"/>
      <c r="E422" s="98"/>
      <c r="F422" s="98"/>
      <c r="Z422" s="109"/>
      <c r="AA422" s="109"/>
      <c r="AB422" s="109"/>
      <c r="AC422" s="109"/>
      <c r="AD422" s="109"/>
      <c r="AE422" s="109"/>
      <c r="AF422" s="109"/>
      <c r="AG422" s="109"/>
      <c r="AH422" s="109"/>
      <c r="AI422" s="109"/>
      <c r="AJ422" s="109"/>
      <c r="AK422" s="109"/>
      <c r="AL422" s="109"/>
      <c r="AM422" s="109"/>
      <c r="AN422" s="109"/>
      <c r="AO422" s="109"/>
      <c r="AP422" s="109"/>
      <c r="AQ422" s="109"/>
      <c r="AR422" s="109"/>
      <c r="AS422" s="109"/>
    </row>
    <row r="423" spans="1:45" ht="12.6" customHeight="1" x14ac:dyDescent="0.3">
      <c r="A423" s="58"/>
      <c r="B423" s="58"/>
      <c r="C423" s="58"/>
      <c r="D423" s="58"/>
      <c r="E423" s="58"/>
      <c r="F423" s="58"/>
      <c r="Z423" s="109"/>
      <c r="AA423" s="109"/>
      <c r="AB423" s="109"/>
      <c r="AC423" s="109"/>
      <c r="AD423" s="109"/>
      <c r="AE423" s="109"/>
      <c r="AF423" s="109"/>
      <c r="AG423" s="109"/>
      <c r="AH423" s="109"/>
      <c r="AI423" s="109"/>
      <c r="AJ423" s="109"/>
      <c r="AK423" s="109"/>
      <c r="AL423" s="109"/>
      <c r="AM423" s="109"/>
      <c r="AN423" s="109"/>
      <c r="AO423" s="109"/>
      <c r="AP423" s="109"/>
      <c r="AQ423" s="109"/>
      <c r="AR423" s="109"/>
      <c r="AS423" s="109"/>
    </row>
    <row r="424" spans="1:45" ht="12.6" customHeight="1" x14ac:dyDescent="0.3">
      <c r="A424" s="159" t="s">
        <v>1401</v>
      </c>
      <c r="B424" s="152"/>
      <c r="C424" s="55">
        <f>E424+D424+F424</f>
        <v>12701</v>
      </c>
      <c r="D424" s="54">
        <f>ROUNDDOWN(SUMIF(N357:N421,M424,D357:D421),0)</f>
        <v>7908</v>
      </c>
      <c r="E424" s="63">
        <f>ROUNDDOWN(SUMIF(N357:N421,M424,E357:E421),0)</f>
        <v>1963</v>
      </c>
      <c r="F424" s="55">
        <f>ROUNDDOWN(SUMIF(N357:N421,M424,F357:F421),0)</f>
        <v>2830</v>
      </c>
      <c r="M424" s="20" t="s">
        <v>1128</v>
      </c>
      <c r="Z424" s="109"/>
      <c r="AA424" s="109"/>
      <c r="AB424" s="109"/>
      <c r="AC424" s="109"/>
      <c r="AD424" s="109"/>
      <c r="AE424" s="109"/>
      <c r="AF424" s="109"/>
      <c r="AG424" s="109"/>
      <c r="AH424" s="109"/>
      <c r="AI424" s="109"/>
      <c r="AJ424" s="109"/>
      <c r="AK424" s="109"/>
      <c r="AL424" s="109"/>
      <c r="AM424" s="109"/>
      <c r="AN424" s="109"/>
      <c r="AO424" s="109"/>
      <c r="AP424" s="109"/>
      <c r="AQ424" s="109"/>
      <c r="AR424" s="109"/>
      <c r="AS424" s="109"/>
    </row>
    <row r="425" spans="1:45" ht="12.6" customHeight="1" x14ac:dyDescent="0.3">
      <c r="A425" s="95" t="s">
        <v>50</v>
      </c>
      <c r="B425" s="96" t="s">
        <v>50</v>
      </c>
      <c r="C425" s="158">
        <f>C459</f>
        <v>0</v>
      </c>
      <c r="D425" s="158">
        <f>D459</f>
        <v>0</v>
      </c>
      <c r="E425" s="158">
        <f>E459</f>
        <v>0</v>
      </c>
      <c r="F425" s="158">
        <f>F459</f>
        <v>0</v>
      </c>
      <c r="G425" s="36" t="str">
        <f>HYPERLINK("#G"&amp;ROW(G428),"_x0005_`BDCOD|D01036_x0007_`POSS|"&amp;ROW(G427)&amp;"_x0007_`POSE|"&amp;ROW(G428)&amp;"_x0007_`")</f>
        <v>_x0005_`BDCOD|D01036_x0007_`POSS|427_x0007_`POSE|428_x0007_`</v>
      </c>
      <c r="Z425" s="109"/>
      <c r="AA425" s="109"/>
      <c r="AB425" s="109"/>
      <c r="AC425" s="109"/>
      <c r="AD425" s="109"/>
      <c r="AE425" s="109"/>
      <c r="AF425" s="109"/>
      <c r="AG425" s="109"/>
      <c r="AH425" s="109"/>
      <c r="AI425" s="109"/>
      <c r="AJ425" s="109"/>
      <c r="AK425" s="109"/>
      <c r="AL425" s="109"/>
      <c r="AM425" s="109"/>
      <c r="AN425" s="109"/>
      <c r="AO425" s="109"/>
      <c r="AP425" s="109"/>
      <c r="AQ425" s="109"/>
      <c r="AR425" s="109"/>
      <c r="AS425" s="109"/>
    </row>
    <row r="426" spans="1:45" ht="12.6" customHeight="1" x14ac:dyDescent="0.3">
      <c r="A426" s="84"/>
      <c r="B426" s="96" t="s">
        <v>195</v>
      </c>
      <c r="C426" s="141"/>
      <c r="D426" s="141"/>
      <c r="E426" s="141"/>
      <c r="F426" s="141"/>
      <c r="M426" s="20" t="s">
        <v>194</v>
      </c>
      <c r="Z426" s="109"/>
      <c r="AA426" s="109"/>
      <c r="AB426" s="109"/>
      <c r="AC426" s="109"/>
      <c r="AD426" s="109"/>
      <c r="AE426" s="109"/>
      <c r="AF426" s="109"/>
      <c r="AG426" s="109"/>
      <c r="AH426" s="109"/>
      <c r="AI426" s="109"/>
      <c r="AJ426" s="109"/>
      <c r="AK426" s="109"/>
      <c r="AL426" s="109"/>
      <c r="AM426" s="109"/>
      <c r="AN426" s="109"/>
      <c r="AO426" s="109"/>
      <c r="AP426" s="109"/>
      <c r="AQ426" s="109"/>
      <c r="AR426" s="109"/>
      <c r="AS426" s="109"/>
    </row>
    <row r="427" spans="1:45" ht="12.6" customHeight="1" x14ac:dyDescent="0.3">
      <c r="A427" s="78"/>
      <c r="B427" s="78"/>
      <c r="C427" s="98"/>
      <c r="D427" s="98"/>
      <c r="E427" s="98"/>
      <c r="F427" s="98"/>
      <c r="G427" s="16" t="s">
        <v>1317</v>
      </c>
      <c r="Z427" s="109"/>
      <c r="AA427" s="109"/>
      <c r="AB427" s="109"/>
      <c r="AC427" s="109"/>
      <c r="AD427" s="109"/>
      <c r="AE427" s="109"/>
      <c r="AF427" s="109"/>
      <c r="AG427" s="109"/>
      <c r="AH427" s="109"/>
      <c r="AI427" s="109"/>
      <c r="AJ427" s="109"/>
      <c r="AK427" s="109"/>
      <c r="AL427" s="109"/>
      <c r="AM427" s="109"/>
      <c r="AN427" s="109"/>
      <c r="AO427" s="109"/>
      <c r="AP427" s="109"/>
      <c r="AQ427" s="109"/>
      <c r="AR427" s="109"/>
      <c r="AS427" s="109"/>
    </row>
    <row r="428" spans="1:45" ht="12.6" customHeight="1" x14ac:dyDescent="0.3">
      <c r="A428" s="68"/>
      <c r="B428" s="77" t="s">
        <v>1547</v>
      </c>
      <c r="C428" s="78"/>
      <c r="D428" s="78"/>
      <c r="E428" s="78"/>
      <c r="F428" s="78"/>
      <c r="G428" s="16" t="s">
        <v>1546</v>
      </c>
      <c r="Z428" s="109"/>
      <c r="AA428" s="109"/>
      <c r="AB428" s="109"/>
      <c r="AC428" s="109"/>
      <c r="AD428" s="109"/>
      <c r="AE428" s="109"/>
      <c r="AF428" s="109"/>
      <c r="AG428" s="109"/>
      <c r="AH428" s="109"/>
      <c r="AI428" s="109"/>
      <c r="AJ428" s="109"/>
      <c r="AK428" s="109"/>
      <c r="AL428" s="109"/>
      <c r="AM428" s="109"/>
      <c r="AN428" s="109"/>
      <c r="AO428" s="109"/>
      <c r="AP428" s="109"/>
      <c r="AQ428" s="109"/>
      <c r="AR428" s="109"/>
      <c r="AS428" s="109"/>
    </row>
    <row r="429" spans="1:45" ht="12.6" customHeight="1" x14ac:dyDescent="0.3">
      <c r="A429" s="78"/>
      <c r="B429" s="78"/>
      <c r="C429" s="78"/>
      <c r="D429" s="78"/>
      <c r="E429" s="78"/>
      <c r="F429" s="78"/>
      <c r="Z429" s="109"/>
      <c r="AA429" s="109"/>
      <c r="AB429" s="109"/>
      <c r="AC429" s="109"/>
      <c r="AD429" s="109"/>
      <c r="AE429" s="109"/>
      <c r="AF429" s="109"/>
      <c r="AG429" s="109"/>
      <c r="AH429" s="109"/>
      <c r="AI429" s="109"/>
      <c r="AJ429" s="109"/>
      <c r="AK429" s="109"/>
      <c r="AL429" s="109"/>
      <c r="AM429" s="109"/>
      <c r="AN429" s="109"/>
      <c r="AO429" s="109"/>
      <c r="AP429" s="109"/>
      <c r="AQ429" s="109"/>
      <c r="AR429" s="109"/>
      <c r="AS429" s="109"/>
    </row>
    <row r="430" spans="1:45" ht="12.6" customHeight="1" x14ac:dyDescent="0.3">
      <c r="A430" s="78"/>
      <c r="B430" s="78"/>
      <c r="C430" s="78"/>
      <c r="D430" s="78"/>
      <c r="E430" s="78"/>
      <c r="F430" s="78"/>
      <c r="Z430" s="109"/>
      <c r="AA430" s="109"/>
      <c r="AB430" s="109"/>
      <c r="AC430" s="109"/>
      <c r="AD430" s="109"/>
      <c r="AE430" s="109"/>
      <c r="AF430" s="109"/>
      <c r="AG430" s="109"/>
      <c r="AH430" s="109"/>
      <c r="AI430" s="109"/>
      <c r="AJ430" s="109"/>
      <c r="AK430" s="109"/>
      <c r="AL430" s="109"/>
      <c r="AM430" s="109"/>
      <c r="AN430" s="109"/>
      <c r="AO430" s="109"/>
      <c r="AP430" s="109"/>
      <c r="AQ430" s="109"/>
      <c r="AR430" s="109"/>
      <c r="AS430" s="109"/>
    </row>
    <row r="431" spans="1:45" ht="12.6" customHeight="1" x14ac:dyDescent="0.3">
      <c r="A431" s="78"/>
      <c r="B431" s="78"/>
      <c r="C431" s="78"/>
      <c r="D431" s="78"/>
      <c r="E431" s="78"/>
      <c r="F431" s="78"/>
      <c r="Z431" s="109"/>
      <c r="AA431" s="109"/>
      <c r="AB431" s="109"/>
      <c r="AC431" s="109"/>
      <c r="AD431" s="109"/>
      <c r="AE431" s="109"/>
      <c r="AF431" s="109"/>
      <c r="AG431" s="109"/>
      <c r="AH431" s="109"/>
      <c r="AI431" s="109"/>
      <c r="AJ431" s="109"/>
      <c r="AK431" s="109"/>
      <c r="AL431" s="109"/>
      <c r="AM431" s="109"/>
      <c r="AN431" s="109"/>
      <c r="AO431" s="109"/>
      <c r="AP431" s="109"/>
      <c r="AQ431" s="109"/>
      <c r="AR431" s="109"/>
      <c r="AS431" s="109"/>
    </row>
    <row r="432" spans="1:45" ht="12.6" customHeight="1" x14ac:dyDescent="0.3">
      <c r="A432" s="78"/>
      <c r="B432" s="78"/>
      <c r="C432" s="78"/>
      <c r="D432" s="78"/>
      <c r="E432" s="78"/>
      <c r="F432" s="78"/>
      <c r="Z432" s="109"/>
      <c r="AA432" s="109"/>
      <c r="AB432" s="109"/>
      <c r="AC432" s="109"/>
      <c r="AD432" s="109"/>
      <c r="AE432" s="109"/>
      <c r="AF432" s="109"/>
      <c r="AG432" s="109"/>
      <c r="AH432" s="109"/>
      <c r="AI432" s="109"/>
      <c r="AJ432" s="109"/>
      <c r="AK432" s="109"/>
      <c r="AL432" s="109"/>
      <c r="AM432" s="109"/>
      <c r="AN432" s="109"/>
      <c r="AO432" s="109"/>
      <c r="AP432" s="109"/>
      <c r="AQ432" s="109"/>
      <c r="AR432" s="109"/>
      <c r="AS432" s="109"/>
    </row>
    <row r="433" spans="1:45" ht="12.6" customHeight="1" x14ac:dyDescent="0.3">
      <c r="A433" s="78"/>
      <c r="B433" s="78"/>
      <c r="C433" s="78"/>
      <c r="D433" s="78"/>
      <c r="E433" s="78"/>
      <c r="F433" s="78"/>
      <c r="Z433" s="109"/>
      <c r="AA433" s="109"/>
      <c r="AB433" s="109"/>
      <c r="AC433" s="109"/>
      <c r="AD433" s="109"/>
      <c r="AE433" s="109"/>
      <c r="AF433" s="109"/>
      <c r="AG433" s="109"/>
      <c r="AH433" s="109"/>
      <c r="AI433" s="109"/>
      <c r="AJ433" s="109"/>
      <c r="AK433" s="109"/>
      <c r="AL433" s="109"/>
      <c r="AM433" s="109"/>
      <c r="AN433" s="109"/>
      <c r="AO433" s="109"/>
      <c r="AP433" s="109"/>
      <c r="AQ433" s="109"/>
      <c r="AR433" s="109"/>
      <c r="AS433" s="109"/>
    </row>
    <row r="434" spans="1:45" ht="12.6" customHeight="1" x14ac:dyDescent="0.3">
      <c r="A434" s="78"/>
      <c r="B434" s="78"/>
      <c r="C434" s="78"/>
      <c r="D434" s="78"/>
      <c r="E434" s="78"/>
      <c r="F434" s="78"/>
      <c r="Z434" s="109"/>
      <c r="AA434" s="109"/>
      <c r="AB434" s="109"/>
      <c r="AC434" s="109"/>
      <c r="AD434" s="109"/>
      <c r="AE434" s="109"/>
      <c r="AF434" s="109"/>
      <c r="AG434" s="109"/>
      <c r="AH434" s="109"/>
      <c r="AI434" s="109"/>
      <c r="AJ434" s="109"/>
      <c r="AK434" s="109"/>
      <c r="AL434" s="109"/>
      <c r="AM434" s="109"/>
      <c r="AN434" s="109"/>
      <c r="AO434" s="109"/>
      <c r="AP434" s="109"/>
      <c r="AQ434" s="109"/>
      <c r="AR434" s="109"/>
      <c r="AS434" s="109"/>
    </row>
    <row r="435" spans="1:45" ht="12.6" customHeight="1" x14ac:dyDescent="0.3">
      <c r="A435" s="78"/>
      <c r="B435" s="78"/>
      <c r="C435" s="78"/>
      <c r="D435" s="78"/>
      <c r="E435" s="78"/>
      <c r="F435" s="78"/>
      <c r="Z435" s="109"/>
      <c r="AA435" s="109"/>
      <c r="AB435" s="109"/>
      <c r="AC435" s="109"/>
      <c r="AD435" s="109"/>
      <c r="AE435" s="109"/>
      <c r="AF435" s="109"/>
      <c r="AG435" s="109"/>
      <c r="AH435" s="109"/>
      <c r="AI435" s="109"/>
      <c r="AJ435" s="109"/>
      <c r="AK435" s="109"/>
      <c r="AL435" s="109"/>
      <c r="AM435" s="109"/>
      <c r="AN435" s="109"/>
      <c r="AO435" s="109"/>
      <c r="AP435" s="109"/>
      <c r="AQ435" s="109"/>
      <c r="AR435" s="109"/>
      <c r="AS435" s="109"/>
    </row>
    <row r="436" spans="1:45" ht="12.6" customHeight="1" x14ac:dyDescent="0.3">
      <c r="A436" s="78"/>
      <c r="B436" s="78"/>
      <c r="C436" s="78"/>
      <c r="D436" s="78"/>
      <c r="E436" s="78"/>
      <c r="F436" s="78"/>
      <c r="Z436" s="109"/>
      <c r="AA436" s="109"/>
      <c r="AB436" s="109"/>
      <c r="AC436" s="109"/>
      <c r="AD436" s="109"/>
      <c r="AE436" s="109"/>
      <c r="AF436" s="109"/>
      <c r="AG436" s="109"/>
      <c r="AH436" s="109"/>
      <c r="AI436" s="109"/>
      <c r="AJ436" s="109"/>
      <c r="AK436" s="109"/>
      <c r="AL436" s="109"/>
      <c r="AM436" s="109"/>
      <c r="AN436" s="109"/>
      <c r="AO436" s="109"/>
      <c r="AP436" s="109"/>
      <c r="AQ436" s="109"/>
      <c r="AR436" s="109"/>
      <c r="AS436" s="109"/>
    </row>
    <row r="437" spans="1:45" ht="12.6" customHeight="1" x14ac:dyDescent="0.3">
      <c r="A437" s="78"/>
      <c r="B437" s="78"/>
      <c r="C437" s="78"/>
      <c r="D437" s="78"/>
      <c r="E437" s="78"/>
      <c r="F437" s="78"/>
      <c r="Z437" s="109"/>
      <c r="AA437" s="109"/>
      <c r="AB437" s="109"/>
      <c r="AC437" s="109"/>
      <c r="AD437" s="109"/>
      <c r="AE437" s="109"/>
      <c r="AF437" s="109"/>
      <c r="AG437" s="109"/>
      <c r="AH437" s="109"/>
      <c r="AI437" s="109"/>
      <c r="AJ437" s="109"/>
      <c r="AK437" s="109"/>
      <c r="AL437" s="109"/>
      <c r="AM437" s="109"/>
      <c r="AN437" s="109"/>
      <c r="AO437" s="109"/>
      <c r="AP437" s="109"/>
      <c r="AQ437" s="109"/>
      <c r="AR437" s="109"/>
      <c r="AS437" s="109"/>
    </row>
    <row r="438" spans="1:45" ht="12.6" customHeight="1" x14ac:dyDescent="0.3">
      <c r="A438" s="78"/>
      <c r="B438" s="78"/>
      <c r="C438" s="78"/>
      <c r="D438" s="78"/>
      <c r="E438" s="78"/>
      <c r="F438" s="78"/>
      <c r="Z438" s="109"/>
      <c r="AA438" s="109"/>
      <c r="AB438" s="109"/>
      <c r="AC438" s="109"/>
      <c r="AD438" s="109"/>
      <c r="AE438" s="109"/>
      <c r="AF438" s="109"/>
      <c r="AG438" s="109"/>
      <c r="AH438" s="109"/>
      <c r="AI438" s="109"/>
      <c r="AJ438" s="109"/>
      <c r="AK438" s="109"/>
      <c r="AL438" s="109"/>
      <c r="AM438" s="109"/>
      <c r="AN438" s="109"/>
      <c r="AO438" s="109"/>
      <c r="AP438" s="109"/>
      <c r="AQ438" s="109"/>
      <c r="AR438" s="109"/>
      <c r="AS438" s="109"/>
    </row>
    <row r="439" spans="1:45" ht="12.6" customHeight="1" x14ac:dyDescent="0.3">
      <c r="A439" s="78"/>
      <c r="B439" s="78"/>
      <c r="C439" s="78"/>
      <c r="D439" s="78"/>
      <c r="E439" s="78"/>
      <c r="F439" s="78"/>
      <c r="Z439" s="109"/>
      <c r="AA439" s="109"/>
      <c r="AB439" s="109"/>
      <c r="AC439" s="109"/>
      <c r="AD439" s="109"/>
      <c r="AE439" s="109"/>
      <c r="AF439" s="109"/>
      <c r="AG439" s="109"/>
      <c r="AH439" s="109"/>
      <c r="AI439" s="109"/>
      <c r="AJ439" s="109"/>
      <c r="AK439" s="109"/>
      <c r="AL439" s="109"/>
      <c r="AM439" s="109"/>
      <c r="AN439" s="109"/>
      <c r="AO439" s="109"/>
      <c r="AP439" s="109"/>
      <c r="AQ439" s="109"/>
      <c r="AR439" s="109"/>
      <c r="AS439" s="109"/>
    </row>
    <row r="440" spans="1:45" ht="12.6" customHeight="1" x14ac:dyDescent="0.3">
      <c r="A440" s="78"/>
      <c r="B440" s="78"/>
      <c r="C440" s="78"/>
      <c r="D440" s="78"/>
      <c r="E440" s="78"/>
      <c r="F440" s="78"/>
      <c r="Z440" s="109"/>
      <c r="AA440" s="109"/>
      <c r="AB440" s="109"/>
      <c r="AC440" s="109"/>
      <c r="AD440" s="109"/>
      <c r="AE440" s="109"/>
      <c r="AF440" s="109"/>
      <c r="AG440" s="109"/>
      <c r="AH440" s="109"/>
      <c r="AI440" s="109"/>
      <c r="AJ440" s="109"/>
      <c r="AK440" s="109"/>
      <c r="AL440" s="109"/>
      <c r="AM440" s="109"/>
      <c r="AN440" s="109"/>
      <c r="AO440" s="109"/>
      <c r="AP440" s="109"/>
      <c r="AQ440" s="109"/>
      <c r="AR440" s="109"/>
      <c r="AS440" s="109"/>
    </row>
    <row r="441" spans="1:45" ht="12.6" customHeight="1" x14ac:dyDescent="0.3">
      <c r="A441" s="78"/>
      <c r="B441" s="78"/>
      <c r="C441" s="78"/>
      <c r="D441" s="78"/>
      <c r="E441" s="78"/>
      <c r="F441" s="78"/>
      <c r="Z441" s="109"/>
      <c r="AA441" s="109"/>
      <c r="AB441" s="109"/>
      <c r="AC441" s="109"/>
      <c r="AD441" s="109"/>
      <c r="AE441" s="109"/>
      <c r="AF441" s="109"/>
      <c r="AG441" s="109"/>
      <c r="AH441" s="109"/>
      <c r="AI441" s="109"/>
      <c r="AJ441" s="109"/>
      <c r="AK441" s="109"/>
      <c r="AL441" s="109"/>
      <c r="AM441" s="109"/>
      <c r="AN441" s="109"/>
      <c r="AO441" s="109"/>
      <c r="AP441" s="109"/>
      <c r="AQ441" s="109"/>
      <c r="AR441" s="109"/>
      <c r="AS441" s="109"/>
    </row>
    <row r="442" spans="1:45" ht="12.6" customHeight="1" x14ac:dyDescent="0.3">
      <c r="A442" s="78"/>
      <c r="B442" s="78"/>
      <c r="C442" s="78"/>
      <c r="D442" s="78"/>
      <c r="E442" s="78"/>
      <c r="F442" s="78"/>
      <c r="Z442" s="109"/>
      <c r="AA442" s="109"/>
      <c r="AB442" s="109"/>
      <c r="AC442" s="109"/>
      <c r="AD442" s="109"/>
      <c r="AE442" s="109"/>
      <c r="AF442" s="109"/>
      <c r="AG442" s="109"/>
      <c r="AH442" s="109"/>
      <c r="AI442" s="109"/>
      <c r="AJ442" s="109"/>
      <c r="AK442" s="109"/>
      <c r="AL442" s="109"/>
      <c r="AM442" s="109"/>
      <c r="AN442" s="109"/>
      <c r="AO442" s="109"/>
      <c r="AP442" s="109"/>
      <c r="AQ442" s="109"/>
      <c r="AR442" s="109"/>
      <c r="AS442" s="109"/>
    </row>
    <row r="443" spans="1:45" ht="12.6" customHeight="1" x14ac:dyDescent="0.3">
      <c r="A443" s="78"/>
      <c r="B443" s="78"/>
      <c r="C443" s="78"/>
      <c r="D443" s="78"/>
      <c r="E443" s="78"/>
      <c r="F443" s="78"/>
      <c r="Z443" s="109"/>
      <c r="AA443" s="109"/>
      <c r="AB443" s="109"/>
      <c r="AC443" s="109"/>
      <c r="AD443" s="109"/>
      <c r="AE443" s="109"/>
      <c r="AF443" s="109"/>
      <c r="AG443" s="109"/>
      <c r="AH443" s="109"/>
      <c r="AI443" s="109"/>
      <c r="AJ443" s="109"/>
      <c r="AK443" s="109"/>
      <c r="AL443" s="109"/>
      <c r="AM443" s="109"/>
      <c r="AN443" s="109"/>
      <c r="AO443" s="109"/>
      <c r="AP443" s="109"/>
      <c r="AQ443" s="109"/>
      <c r="AR443" s="109"/>
      <c r="AS443" s="109"/>
    </row>
    <row r="444" spans="1:45" ht="12.6" customHeight="1" x14ac:dyDescent="0.3">
      <c r="A444" s="78"/>
      <c r="B444" s="78"/>
      <c r="C444" s="78"/>
      <c r="D444" s="78"/>
      <c r="E444" s="78"/>
      <c r="F444" s="78"/>
      <c r="Z444" s="109"/>
      <c r="AA444" s="109"/>
      <c r="AB444" s="109"/>
      <c r="AC444" s="109"/>
      <c r="AD444" s="109"/>
      <c r="AE444" s="109"/>
      <c r="AF444" s="109"/>
      <c r="AG444" s="109"/>
      <c r="AH444" s="109"/>
      <c r="AI444" s="109"/>
      <c r="AJ444" s="109"/>
      <c r="AK444" s="109"/>
      <c r="AL444" s="109"/>
      <c r="AM444" s="109"/>
      <c r="AN444" s="109"/>
      <c r="AO444" s="109"/>
      <c r="AP444" s="109"/>
      <c r="AQ444" s="109"/>
      <c r="AR444" s="109"/>
      <c r="AS444" s="109"/>
    </row>
    <row r="445" spans="1:45" ht="12.6" customHeight="1" x14ac:dyDescent="0.3">
      <c r="A445" s="78"/>
      <c r="B445" s="78"/>
      <c r="C445" s="78"/>
      <c r="D445" s="78"/>
      <c r="E445" s="78"/>
      <c r="F445" s="78"/>
      <c r="Z445" s="109"/>
      <c r="AA445" s="109"/>
      <c r="AB445" s="109"/>
      <c r="AC445" s="109"/>
      <c r="AD445" s="109"/>
      <c r="AE445" s="109"/>
      <c r="AF445" s="109"/>
      <c r="AG445" s="109"/>
      <c r="AH445" s="109"/>
      <c r="AI445" s="109"/>
      <c r="AJ445" s="109"/>
      <c r="AK445" s="109"/>
      <c r="AL445" s="109"/>
      <c r="AM445" s="109"/>
      <c r="AN445" s="109"/>
      <c r="AO445" s="109"/>
      <c r="AP445" s="109"/>
      <c r="AQ445" s="109"/>
      <c r="AR445" s="109"/>
      <c r="AS445" s="109"/>
    </row>
    <row r="446" spans="1:45" ht="12.6" customHeight="1" x14ac:dyDescent="0.3">
      <c r="A446" s="78"/>
      <c r="B446" s="78"/>
      <c r="C446" s="78"/>
      <c r="D446" s="78"/>
      <c r="E446" s="78"/>
      <c r="F446" s="78"/>
      <c r="Z446" s="109"/>
      <c r="AA446" s="109"/>
      <c r="AB446" s="109"/>
      <c r="AC446" s="109"/>
      <c r="AD446" s="109"/>
      <c r="AE446" s="109"/>
      <c r="AF446" s="109"/>
      <c r="AG446" s="109"/>
      <c r="AH446" s="109"/>
      <c r="AI446" s="109"/>
      <c r="AJ446" s="109"/>
      <c r="AK446" s="109"/>
      <c r="AL446" s="109"/>
      <c r="AM446" s="109"/>
      <c r="AN446" s="109"/>
      <c r="AO446" s="109"/>
      <c r="AP446" s="109"/>
      <c r="AQ446" s="109"/>
      <c r="AR446" s="109"/>
      <c r="AS446" s="109"/>
    </row>
    <row r="447" spans="1:45" ht="12.6" customHeight="1" x14ac:dyDescent="0.3">
      <c r="A447" s="78"/>
      <c r="B447" s="78"/>
      <c r="C447" s="78"/>
      <c r="D447" s="78"/>
      <c r="E447" s="78"/>
      <c r="F447" s="78"/>
      <c r="Z447" s="109"/>
      <c r="AA447" s="109"/>
      <c r="AB447" s="109"/>
      <c r="AC447" s="109"/>
      <c r="AD447" s="109"/>
      <c r="AE447" s="109"/>
      <c r="AF447" s="109"/>
      <c r="AG447" s="109"/>
      <c r="AH447" s="109"/>
      <c r="AI447" s="109"/>
      <c r="AJ447" s="109"/>
      <c r="AK447" s="109"/>
      <c r="AL447" s="109"/>
      <c r="AM447" s="109"/>
      <c r="AN447" s="109"/>
      <c r="AO447" s="109"/>
      <c r="AP447" s="109"/>
      <c r="AQ447" s="109"/>
      <c r="AR447" s="109"/>
      <c r="AS447" s="109"/>
    </row>
    <row r="448" spans="1:45" ht="12.6" customHeight="1" x14ac:dyDescent="0.3">
      <c r="A448" s="78"/>
      <c r="B448" s="78"/>
      <c r="C448" s="78"/>
      <c r="D448" s="78"/>
      <c r="E448" s="78"/>
      <c r="F448" s="78"/>
      <c r="Z448" s="109"/>
      <c r="AA448" s="109"/>
      <c r="AB448" s="109"/>
      <c r="AC448" s="109"/>
      <c r="AD448" s="109"/>
      <c r="AE448" s="109"/>
      <c r="AF448" s="109"/>
      <c r="AG448" s="109"/>
      <c r="AH448" s="109"/>
      <c r="AI448" s="109"/>
      <c r="AJ448" s="109"/>
      <c r="AK448" s="109"/>
      <c r="AL448" s="109"/>
      <c r="AM448" s="109"/>
      <c r="AN448" s="109"/>
      <c r="AO448" s="109"/>
      <c r="AP448" s="109"/>
      <c r="AQ448" s="109"/>
      <c r="AR448" s="109"/>
      <c r="AS448" s="109"/>
    </row>
    <row r="449" spans="1:45" ht="12.6" customHeight="1" x14ac:dyDescent="0.3">
      <c r="A449" s="78"/>
      <c r="B449" s="78"/>
      <c r="C449" s="78"/>
      <c r="D449" s="78"/>
      <c r="E449" s="78"/>
      <c r="F449" s="78"/>
      <c r="Z449" s="109"/>
      <c r="AA449" s="109"/>
      <c r="AB449" s="109"/>
      <c r="AC449" s="109"/>
      <c r="AD449" s="109"/>
      <c r="AE449" s="109"/>
      <c r="AF449" s="109"/>
      <c r="AG449" s="109"/>
      <c r="AH449" s="109"/>
      <c r="AI449" s="109"/>
      <c r="AJ449" s="109"/>
      <c r="AK449" s="109"/>
      <c r="AL449" s="109"/>
      <c r="AM449" s="109"/>
      <c r="AN449" s="109"/>
      <c r="AO449" s="109"/>
      <c r="AP449" s="109"/>
      <c r="AQ449" s="109"/>
      <c r="AR449" s="109"/>
      <c r="AS449" s="109"/>
    </row>
    <row r="450" spans="1:45" ht="12.6" customHeight="1" x14ac:dyDescent="0.3">
      <c r="A450" s="78"/>
      <c r="B450" s="78"/>
      <c r="C450" s="78"/>
      <c r="D450" s="78"/>
      <c r="E450" s="78"/>
      <c r="F450" s="78"/>
      <c r="Z450" s="109"/>
      <c r="AA450" s="109"/>
      <c r="AB450" s="109"/>
      <c r="AC450" s="109"/>
      <c r="AD450" s="109"/>
      <c r="AE450" s="109"/>
      <c r="AF450" s="109"/>
      <c r="AG450" s="109"/>
      <c r="AH450" s="109"/>
      <c r="AI450" s="109"/>
      <c r="AJ450" s="109"/>
      <c r="AK450" s="109"/>
      <c r="AL450" s="109"/>
      <c r="AM450" s="109"/>
      <c r="AN450" s="109"/>
      <c r="AO450" s="109"/>
      <c r="AP450" s="109"/>
      <c r="AQ450" s="109"/>
      <c r="AR450" s="109"/>
      <c r="AS450" s="109"/>
    </row>
    <row r="451" spans="1:45" ht="12.6" customHeight="1" x14ac:dyDescent="0.3">
      <c r="A451" s="78"/>
      <c r="B451" s="78"/>
      <c r="C451" s="78"/>
      <c r="D451" s="78"/>
      <c r="E451" s="78"/>
      <c r="F451" s="78"/>
      <c r="Z451" s="109"/>
      <c r="AA451" s="109"/>
      <c r="AB451" s="109"/>
      <c r="AC451" s="109"/>
      <c r="AD451" s="109"/>
      <c r="AE451" s="109"/>
      <c r="AF451" s="109"/>
      <c r="AG451" s="109"/>
      <c r="AH451" s="109"/>
      <c r="AI451" s="109"/>
      <c r="AJ451" s="109"/>
      <c r="AK451" s="109"/>
      <c r="AL451" s="109"/>
      <c r="AM451" s="109"/>
      <c r="AN451" s="109"/>
      <c r="AO451" s="109"/>
      <c r="AP451" s="109"/>
      <c r="AQ451" s="109"/>
      <c r="AR451" s="109"/>
      <c r="AS451" s="109"/>
    </row>
    <row r="452" spans="1:45" ht="12.6" customHeight="1" x14ac:dyDescent="0.3">
      <c r="A452" s="78"/>
      <c r="B452" s="78"/>
      <c r="C452" s="78"/>
      <c r="D452" s="78"/>
      <c r="E452" s="78"/>
      <c r="F452" s="78"/>
      <c r="Z452" s="109"/>
      <c r="AA452" s="109"/>
      <c r="AB452" s="109"/>
      <c r="AC452" s="109"/>
      <c r="AD452" s="109"/>
      <c r="AE452" s="109"/>
      <c r="AF452" s="109"/>
      <c r="AG452" s="109"/>
      <c r="AH452" s="109"/>
      <c r="AI452" s="109"/>
      <c r="AJ452" s="109"/>
      <c r="AK452" s="109"/>
      <c r="AL452" s="109"/>
      <c r="AM452" s="109"/>
      <c r="AN452" s="109"/>
      <c r="AO452" s="109"/>
      <c r="AP452" s="109"/>
      <c r="AQ452" s="109"/>
      <c r="AR452" s="109"/>
      <c r="AS452" s="109"/>
    </row>
    <row r="453" spans="1:45" ht="12.6" customHeight="1" x14ac:dyDescent="0.3">
      <c r="A453" s="78"/>
      <c r="B453" s="78"/>
      <c r="C453" s="78"/>
      <c r="D453" s="78"/>
      <c r="E453" s="78"/>
      <c r="F453" s="78"/>
      <c r="Z453" s="109"/>
      <c r="AA453" s="109"/>
      <c r="AB453" s="109"/>
      <c r="AC453" s="109"/>
      <c r="AD453" s="109"/>
      <c r="AE453" s="109"/>
      <c r="AF453" s="109"/>
      <c r="AG453" s="109"/>
      <c r="AH453" s="109"/>
      <c r="AI453" s="109"/>
      <c r="AJ453" s="109"/>
      <c r="AK453" s="109"/>
      <c r="AL453" s="109"/>
      <c r="AM453" s="109"/>
      <c r="AN453" s="109"/>
      <c r="AO453" s="109"/>
      <c r="AP453" s="109"/>
      <c r="AQ453" s="109"/>
      <c r="AR453" s="109"/>
      <c r="AS453" s="109"/>
    </row>
    <row r="454" spans="1:45" ht="12.6" customHeight="1" x14ac:dyDescent="0.3">
      <c r="A454" s="78"/>
      <c r="B454" s="78"/>
      <c r="C454" s="78"/>
      <c r="D454" s="78"/>
      <c r="E454" s="78"/>
      <c r="F454" s="78"/>
      <c r="Z454" s="109"/>
      <c r="AA454" s="109"/>
      <c r="AB454" s="109"/>
      <c r="AC454" s="109"/>
      <c r="AD454" s="109"/>
      <c r="AE454" s="109"/>
      <c r="AF454" s="109"/>
      <c r="AG454" s="109"/>
      <c r="AH454" s="109"/>
      <c r="AI454" s="109"/>
      <c r="AJ454" s="109"/>
      <c r="AK454" s="109"/>
      <c r="AL454" s="109"/>
      <c r="AM454" s="109"/>
      <c r="AN454" s="109"/>
      <c r="AO454" s="109"/>
      <c r="AP454" s="109"/>
      <c r="AQ454" s="109"/>
      <c r="AR454" s="109"/>
      <c r="AS454" s="109"/>
    </row>
    <row r="455" spans="1:45" ht="12.6" customHeight="1" x14ac:dyDescent="0.3">
      <c r="A455" s="78"/>
      <c r="B455" s="78"/>
      <c r="C455" s="78"/>
      <c r="D455" s="78"/>
      <c r="E455" s="78"/>
      <c r="F455" s="78"/>
      <c r="Z455" s="109"/>
      <c r="AA455" s="109"/>
      <c r="AB455" s="109"/>
      <c r="AC455" s="109"/>
      <c r="AD455" s="109"/>
      <c r="AE455" s="109"/>
      <c r="AF455" s="109"/>
      <c r="AG455" s="109"/>
      <c r="AH455" s="109"/>
      <c r="AI455" s="109"/>
      <c r="AJ455" s="109"/>
      <c r="AK455" s="109"/>
      <c r="AL455" s="109"/>
      <c r="AM455" s="109"/>
      <c r="AN455" s="109"/>
      <c r="AO455" s="109"/>
      <c r="AP455" s="109"/>
      <c r="AQ455" s="109"/>
      <c r="AR455" s="109"/>
      <c r="AS455" s="109"/>
    </row>
    <row r="456" spans="1:45" ht="12.6" customHeight="1" x14ac:dyDescent="0.3">
      <c r="A456" s="78"/>
      <c r="B456" s="78"/>
      <c r="C456" s="78"/>
      <c r="D456" s="78"/>
      <c r="E456" s="78"/>
      <c r="F456" s="78"/>
      <c r="Z456" s="109"/>
      <c r="AA456" s="109"/>
      <c r="AB456" s="109"/>
      <c r="AC456" s="109"/>
      <c r="AD456" s="109"/>
      <c r="AE456" s="109"/>
      <c r="AF456" s="109"/>
      <c r="AG456" s="109"/>
      <c r="AH456" s="109"/>
      <c r="AI456" s="109"/>
      <c r="AJ456" s="109"/>
      <c r="AK456" s="109"/>
      <c r="AL456" s="109"/>
      <c r="AM456" s="109"/>
      <c r="AN456" s="109"/>
      <c r="AO456" s="109"/>
      <c r="AP456" s="109"/>
      <c r="AQ456" s="109"/>
      <c r="AR456" s="109"/>
      <c r="AS456" s="109"/>
    </row>
    <row r="457" spans="1:45" ht="12.6" customHeight="1" x14ac:dyDescent="0.3">
      <c r="A457" s="78"/>
      <c r="B457" s="78"/>
      <c r="C457" s="78"/>
      <c r="D457" s="78"/>
      <c r="E457" s="78"/>
      <c r="F457" s="78"/>
      <c r="Z457" s="109"/>
      <c r="AA457" s="109"/>
      <c r="AB457" s="109"/>
      <c r="AC457" s="109"/>
      <c r="AD457" s="109"/>
      <c r="AE457" s="109"/>
      <c r="AF457" s="109"/>
      <c r="AG457" s="109"/>
      <c r="AH457" s="109"/>
      <c r="AI457" s="109"/>
      <c r="AJ457" s="109"/>
      <c r="AK457" s="109"/>
      <c r="AL457" s="109"/>
      <c r="AM457" s="109"/>
      <c r="AN457" s="109"/>
      <c r="AO457" s="109"/>
      <c r="AP457" s="109"/>
      <c r="AQ457" s="109"/>
      <c r="AR457" s="109"/>
      <c r="AS457" s="109"/>
    </row>
    <row r="458" spans="1:45" ht="12.6" customHeight="1" x14ac:dyDescent="0.3">
      <c r="A458" s="58"/>
      <c r="B458" s="58"/>
      <c r="C458" s="58"/>
      <c r="D458" s="58"/>
      <c r="E458" s="58"/>
      <c r="F458" s="58"/>
      <c r="Z458" s="109"/>
      <c r="AA458" s="109"/>
      <c r="AB458" s="109"/>
      <c r="AC458" s="109"/>
      <c r="AD458" s="109"/>
      <c r="AE458" s="109"/>
      <c r="AF458" s="109"/>
      <c r="AG458" s="109"/>
      <c r="AH458" s="109"/>
      <c r="AI458" s="109"/>
      <c r="AJ458" s="109"/>
      <c r="AK458" s="109"/>
      <c r="AL458" s="109"/>
      <c r="AM458" s="109"/>
      <c r="AN458" s="109"/>
      <c r="AO458" s="109"/>
      <c r="AP458" s="109"/>
      <c r="AQ458" s="109"/>
      <c r="AR458" s="109"/>
      <c r="AS458" s="109"/>
    </row>
    <row r="459" spans="1:45" ht="12.6" customHeight="1" x14ac:dyDescent="0.3">
      <c r="A459" s="159" t="s">
        <v>1401</v>
      </c>
      <c r="B459" s="152"/>
      <c r="C459" s="88">
        <f>E459+D459+F459</f>
        <v>0</v>
      </c>
      <c r="D459" s="91">
        <f>ROUNDDOWN(SUMIF(N427:N428,M459,D427:D428),1)</f>
        <v>0</v>
      </c>
      <c r="E459" s="92">
        <f>ROUNDDOWN(SUMIF(N427:N428,M459,E427:E428),1)</f>
        <v>0</v>
      </c>
      <c r="F459" s="88">
        <f>ROUNDDOWN(SUMIF(N427:N428,M459,F427:F428),1)</f>
        <v>0</v>
      </c>
      <c r="M459" s="20" t="s">
        <v>1128</v>
      </c>
      <c r="Z459" s="109"/>
      <c r="AA459" s="109"/>
      <c r="AB459" s="109"/>
      <c r="AC459" s="109"/>
      <c r="AD459" s="109"/>
      <c r="AE459" s="109"/>
      <c r="AF459" s="109"/>
      <c r="AG459" s="109"/>
      <c r="AH459" s="109"/>
      <c r="AI459" s="109"/>
      <c r="AJ459" s="109"/>
      <c r="AK459" s="109"/>
      <c r="AL459" s="109"/>
      <c r="AM459" s="109"/>
      <c r="AN459" s="109"/>
      <c r="AO459" s="109"/>
      <c r="AP459" s="109"/>
      <c r="AQ459" s="109"/>
      <c r="AR459" s="109"/>
      <c r="AS459" s="109"/>
    </row>
    <row r="460" spans="1:45" ht="12.6" customHeight="1" x14ac:dyDescent="0.3">
      <c r="A460" s="95" t="s">
        <v>54</v>
      </c>
      <c r="B460" s="96" t="s">
        <v>54</v>
      </c>
      <c r="C460" s="158">
        <f>C494</f>
        <v>1290</v>
      </c>
      <c r="D460" s="158">
        <f>D494</f>
        <v>716</v>
      </c>
      <c r="E460" s="158">
        <f>E494</f>
        <v>231</v>
      </c>
      <c r="F460" s="158">
        <f>F494</f>
        <v>343</v>
      </c>
      <c r="G460" s="36" t="str">
        <f>HYPERLINK("#G"&amp;ROW(G481),"_x0005_`BDCOD|D01038_x0007_`POSS|"&amp;ROW(G462)&amp;"_x0007_`POSE|"&amp;ROW(G481)&amp;"_x0007_`")</f>
        <v>_x0005_`BDCOD|D01038_x0007_`POSS|462_x0007_`POSE|481_x0007_`</v>
      </c>
      <c r="Z460" s="109"/>
      <c r="AA460" s="109"/>
      <c r="AB460" s="109"/>
      <c r="AC460" s="109"/>
      <c r="AD460" s="109"/>
      <c r="AE460" s="109"/>
      <c r="AF460" s="109"/>
      <c r="AG460" s="109"/>
      <c r="AH460" s="109"/>
      <c r="AI460" s="109"/>
      <c r="AJ460" s="109"/>
      <c r="AK460" s="109"/>
      <c r="AL460" s="109"/>
      <c r="AM460" s="109"/>
      <c r="AN460" s="109"/>
      <c r="AO460" s="109"/>
      <c r="AP460" s="109"/>
      <c r="AQ460" s="109"/>
      <c r="AR460" s="109"/>
      <c r="AS460" s="109"/>
    </row>
    <row r="461" spans="1:45" ht="12.6" customHeight="1" x14ac:dyDescent="0.3">
      <c r="A461" s="84"/>
      <c r="B461" s="96" t="s">
        <v>199</v>
      </c>
      <c r="C461" s="141"/>
      <c r="D461" s="141"/>
      <c r="E461" s="141"/>
      <c r="F461" s="141"/>
      <c r="M461" s="20" t="s">
        <v>198</v>
      </c>
      <c r="Z461" s="109"/>
      <c r="AA461" s="109"/>
      <c r="AB461" s="109"/>
      <c r="AC461" s="109"/>
      <c r="AD461" s="109"/>
      <c r="AE461" s="109"/>
      <c r="AF461" s="109"/>
      <c r="AG461" s="109"/>
      <c r="AH461" s="109"/>
      <c r="AI461" s="109"/>
      <c r="AJ461" s="109"/>
      <c r="AK461" s="109"/>
      <c r="AL461" s="109"/>
      <c r="AM461" s="109"/>
      <c r="AN461" s="109"/>
      <c r="AO461" s="109"/>
      <c r="AP461" s="109"/>
      <c r="AQ461" s="109"/>
      <c r="AR461" s="109"/>
      <c r="AS461" s="109"/>
    </row>
    <row r="462" spans="1:45" ht="12.6" customHeight="1" x14ac:dyDescent="0.3">
      <c r="A462" s="78"/>
      <c r="B462" s="78"/>
      <c r="C462" s="98"/>
      <c r="D462" s="98"/>
      <c r="E462" s="98"/>
      <c r="F462" s="98"/>
      <c r="G462" s="16" t="s">
        <v>1317</v>
      </c>
      <c r="Z462" s="109"/>
      <c r="AA462" s="109"/>
      <c r="AB462" s="109"/>
      <c r="AC462" s="109"/>
      <c r="AD462" s="109"/>
      <c r="AE462" s="109"/>
      <c r="AF462" s="109"/>
      <c r="AG462" s="109"/>
      <c r="AH462" s="109"/>
      <c r="AI462" s="109"/>
      <c r="AJ462" s="109"/>
      <c r="AK462" s="109"/>
      <c r="AL462" s="109"/>
      <c r="AM462" s="109"/>
      <c r="AN462" s="109"/>
      <c r="AO462" s="109"/>
      <c r="AP462" s="109"/>
      <c r="AQ462" s="109"/>
      <c r="AR462" s="109"/>
      <c r="AS462" s="109"/>
    </row>
    <row r="463" spans="1:45" ht="12.6" customHeight="1" x14ac:dyDescent="0.3">
      <c r="A463" s="68"/>
      <c r="B463" s="77" t="s">
        <v>1549</v>
      </c>
      <c r="C463" s="78"/>
      <c r="D463" s="78"/>
      <c r="E463" s="78"/>
      <c r="F463" s="78"/>
      <c r="G463" s="16" t="s">
        <v>1548</v>
      </c>
      <c r="Z463" s="109"/>
      <c r="AA463" s="109"/>
      <c r="AB463" s="109"/>
      <c r="AC463" s="109"/>
      <c r="AD463" s="109"/>
      <c r="AE463" s="109"/>
      <c r="AF463" s="109"/>
      <c r="AG463" s="109"/>
      <c r="AH463" s="109"/>
      <c r="AI463" s="109"/>
      <c r="AJ463" s="109"/>
      <c r="AK463" s="109"/>
      <c r="AL463" s="109"/>
      <c r="AM463" s="109"/>
      <c r="AN463" s="109"/>
      <c r="AO463" s="109"/>
      <c r="AP463" s="109"/>
      <c r="AQ463" s="109"/>
      <c r="AR463" s="109"/>
      <c r="AS463" s="109"/>
    </row>
    <row r="464" spans="1:45" ht="12.6" customHeight="1" x14ac:dyDescent="0.3">
      <c r="A464" s="78"/>
      <c r="B464" s="78"/>
      <c r="C464" s="78"/>
      <c r="D464" s="78"/>
      <c r="E464" s="78"/>
      <c r="F464" s="78"/>
      <c r="G464" s="16" t="s">
        <v>1317</v>
      </c>
      <c r="Z464" s="109"/>
      <c r="AA464" s="109"/>
      <c r="AB464" s="109"/>
      <c r="AC464" s="109"/>
      <c r="AD464" s="109"/>
      <c r="AE464" s="109"/>
      <c r="AF464" s="109"/>
      <c r="AG464" s="109"/>
      <c r="AH464" s="109"/>
      <c r="AI464" s="109"/>
      <c r="AJ464" s="109"/>
      <c r="AK464" s="109"/>
      <c r="AL464" s="109"/>
      <c r="AM464" s="109"/>
      <c r="AN464" s="109"/>
      <c r="AO464" s="109"/>
      <c r="AP464" s="109"/>
      <c r="AQ464" s="109"/>
      <c r="AR464" s="109"/>
      <c r="AS464" s="109"/>
    </row>
    <row r="465" spans="1:45" ht="12.6" customHeight="1" x14ac:dyDescent="0.3">
      <c r="A465" s="68"/>
      <c r="B465" s="77" t="s">
        <v>1551</v>
      </c>
      <c r="C465" s="78"/>
      <c r="D465" s="78"/>
      <c r="E465" s="78"/>
      <c r="F465" s="78"/>
      <c r="G465" s="16" t="s">
        <v>1550</v>
      </c>
      <c r="Z465" s="109"/>
      <c r="AA465" s="109"/>
      <c r="AB465" s="109"/>
      <c r="AC465" s="109"/>
      <c r="AD465" s="109"/>
      <c r="AE465" s="109"/>
      <c r="AF465" s="109"/>
      <c r="AG465" s="109"/>
      <c r="AH465" s="109"/>
      <c r="AI465" s="109"/>
      <c r="AJ465" s="109"/>
      <c r="AK465" s="109"/>
      <c r="AL465" s="109"/>
      <c r="AM465" s="109"/>
      <c r="AN465" s="109"/>
      <c r="AO465" s="109"/>
      <c r="AP465" s="109"/>
      <c r="AQ465" s="109"/>
      <c r="AR465" s="109"/>
      <c r="AS465" s="109"/>
    </row>
    <row r="466" spans="1:45" ht="12.6" customHeight="1" x14ac:dyDescent="0.3">
      <c r="A466" s="78"/>
      <c r="B466" s="78"/>
      <c r="C466" s="78"/>
      <c r="D466" s="78"/>
      <c r="E466" s="78"/>
      <c r="F466" s="78"/>
      <c r="G466" s="16" t="s">
        <v>1317</v>
      </c>
      <c r="Z466" s="109"/>
      <c r="AA466" s="109"/>
      <c r="AB466" s="109"/>
      <c r="AC466" s="109"/>
      <c r="AD466" s="109"/>
      <c r="AE466" s="109"/>
      <c r="AF466" s="109"/>
      <c r="AG466" s="109"/>
      <c r="AH466" s="109"/>
      <c r="AI466" s="109"/>
      <c r="AJ466" s="109"/>
      <c r="AK466" s="109"/>
      <c r="AL466" s="109"/>
      <c r="AM466" s="109"/>
      <c r="AN466" s="109"/>
      <c r="AO466" s="109"/>
      <c r="AP466" s="109"/>
      <c r="AQ466" s="109"/>
      <c r="AR466" s="109"/>
      <c r="AS466" s="109"/>
    </row>
    <row r="467" spans="1:45" ht="12.6" customHeight="1" x14ac:dyDescent="0.3">
      <c r="A467" s="78"/>
      <c r="B467" s="78"/>
      <c r="C467" s="78"/>
      <c r="D467" s="78"/>
      <c r="E467" s="78"/>
      <c r="F467" s="78"/>
      <c r="G467" s="16" t="s">
        <v>1317</v>
      </c>
      <c r="Z467" s="109"/>
      <c r="AA467" s="109"/>
      <c r="AB467" s="109"/>
      <c r="AC467" s="109"/>
      <c r="AD467" s="109"/>
      <c r="AE467" s="109"/>
      <c r="AF467" s="109"/>
      <c r="AG467" s="109"/>
      <c r="AH467" s="109"/>
      <c r="AI467" s="109"/>
      <c r="AJ467" s="109"/>
      <c r="AK467" s="109"/>
      <c r="AL467" s="109"/>
      <c r="AM467" s="109"/>
      <c r="AN467" s="109"/>
      <c r="AO467" s="109"/>
      <c r="AP467" s="109"/>
      <c r="AQ467" s="109"/>
      <c r="AR467" s="109"/>
      <c r="AS467" s="109"/>
    </row>
    <row r="468" spans="1:45" ht="12.6" customHeight="1" x14ac:dyDescent="0.3">
      <c r="A468" s="68"/>
      <c r="B468" s="77" t="s">
        <v>1553</v>
      </c>
      <c r="C468" s="78"/>
      <c r="D468" s="78"/>
      <c r="E468" s="78"/>
      <c r="F468" s="78"/>
      <c r="G468" s="16" t="s">
        <v>1552</v>
      </c>
      <c r="Z468" s="109"/>
      <c r="AA468" s="109"/>
      <c r="AB468" s="109"/>
      <c r="AC468" s="109"/>
      <c r="AD468" s="109"/>
      <c r="AE468" s="109"/>
      <c r="AF468" s="109"/>
      <c r="AG468" s="109"/>
      <c r="AH468" s="109"/>
      <c r="AI468" s="109"/>
      <c r="AJ468" s="109"/>
      <c r="AK468" s="109"/>
      <c r="AL468" s="109"/>
      <c r="AM468" s="109"/>
      <c r="AN468" s="109"/>
      <c r="AO468" s="109"/>
      <c r="AP468" s="109"/>
      <c r="AQ468" s="109"/>
      <c r="AR468" s="109"/>
      <c r="AS468" s="109"/>
    </row>
    <row r="469" spans="1:45" ht="12.6" customHeight="1" x14ac:dyDescent="0.3">
      <c r="A469" s="78"/>
      <c r="B469" s="78"/>
      <c r="C469" s="78"/>
      <c r="D469" s="78"/>
      <c r="E469" s="78"/>
      <c r="F469" s="78"/>
      <c r="G469" s="16" t="s">
        <v>1317</v>
      </c>
      <c r="Z469" s="109"/>
      <c r="AA469" s="109"/>
      <c r="AB469" s="109"/>
      <c r="AC469" s="109"/>
      <c r="AD469" s="109"/>
      <c r="AE469" s="109"/>
      <c r="AF469" s="109"/>
      <c r="AG469" s="109"/>
      <c r="AH469" s="109"/>
      <c r="AI469" s="109"/>
      <c r="AJ469" s="109"/>
      <c r="AK469" s="109"/>
      <c r="AL469" s="109"/>
      <c r="AM469" s="109"/>
      <c r="AN469" s="109"/>
      <c r="AO469" s="109"/>
      <c r="AP469" s="109"/>
      <c r="AQ469" s="109"/>
      <c r="AR469" s="109"/>
      <c r="AS469" s="109"/>
    </row>
    <row r="470" spans="1:45" ht="12.6" customHeight="1" x14ac:dyDescent="0.3">
      <c r="A470" s="78"/>
      <c r="B470" s="78"/>
      <c r="C470" s="78"/>
      <c r="D470" s="78"/>
      <c r="E470" s="78"/>
      <c r="F470" s="78"/>
      <c r="G470" s="16" t="s">
        <v>1317</v>
      </c>
      <c r="Z470" s="109"/>
      <c r="AA470" s="109"/>
      <c r="AB470" s="109"/>
      <c r="AC470" s="109"/>
      <c r="AD470" s="109"/>
      <c r="AE470" s="109"/>
      <c r="AF470" s="109"/>
      <c r="AG470" s="109"/>
      <c r="AH470" s="109"/>
      <c r="AI470" s="109"/>
      <c r="AJ470" s="109"/>
      <c r="AK470" s="109"/>
      <c r="AL470" s="109"/>
      <c r="AM470" s="109"/>
      <c r="AN470" s="109"/>
      <c r="AO470" s="109"/>
      <c r="AP470" s="109"/>
      <c r="AQ470" s="109"/>
      <c r="AR470" s="109"/>
      <c r="AS470" s="109"/>
    </row>
    <row r="471" spans="1:45" ht="12.6" customHeight="1" x14ac:dyDescent="0.3">
      <c r="A471" s="68"/>
      <c r="B471" s="97" t="str">
        <f>"Q (시간당 작업량)   = "&amp;Z471&amp;"   m2/hr "</f>
        <v xml:space="preserve">Q (시간당 작업량)   = 77.7   m2/hr </v>
      </c>
      <c r="C471" s="78"/>
      <c r="D471" s="78"/>
      <c r="E471" s="78"/>
      <c r="F471" s="78"/>
      <c r="G471" s="16" t="s">
        <v>1554</v>
      </c>
      <c r="Z471" s="110">
        <v>77.7</v>
      </c>
      <c r="AA471" s="20" t="s">
        <v>1326</v>
      </c>
      <c r="AB471" s="112">
        <f>Z471</f>
        <v>77.7</v>
      </c>
      <c r="AC471" s="109"/>
      <c r="AD471" s="109"/>
      <c r="AE471" s="109"/>
      <c r="AF471" s="109"/>
      <c r="AG471" s="109"/>
      <c r="AH471" s="109"/>
      <c r="AI471" s="109"/>
      <c r="AJ471" s="109"/>
      <c r="AK471" s="109"/>
      <c r="AL471" s="109"/>
      <c r="AM471" s="109"/>
      <c r="AN471" s="109"/>
      <c r="AO471" s="109"/>
      <c r="AP471" s="109"/>
      <c r="AQ471" s="109"/>
      <c r="AR471" s="109"/>
      <c r="AS471" s="109"/>
    </row>
    <row r="472" spans="1:45" ht="12.6" customHeight="1" x14ac:dyDescent="0.3">
      <c r="A472" s="78"/>
      <c r="B472" s="78"/>
      <c r="C472" s="78"/>
      <c r="D472" s="78"/>
      <c r="E472" s="78"/>
      <c r="F472" s="78"/>
      <c r="G472" s="16" t="s">
        <v>1317</v>
      </c>
      <c r="Z472" s="109"/>
      <c r="AA472" s="109"/>
      <c r="AB472" s="109"/>
      <c r="AC472" s="109"/>
      <c r="AD472" s="109"/>
      <c r="AE472" s="109"/>
      <c r="AF472" s="109"/>
      <c r="AG472" s="109"/>
      <c r="AH472" s="109"/>
      <c r="AI472" s="109"/>
      <c r="AJ472" s="109"/>
      <c r="AK472" s="109"/>
      <c r="AL472" s="109"/>
      <c r="AM472" s="109"/>
      <c r="AN472" s="109"/>
      <c r="AO472" s="109"/>
      <c r="AP472" s="109"/>
      <c r="AQ472" s="109"/>
      <c r="AR472" s="109"/>
      <c r="AS472" s="109"/>
    </row>
    <row r="473" spans="1:45" ht="12.6" customHeight="1" x14ac:dyDescent="0.3">
      <c r="A473" s="78"/>
      <c r="B473" s="78"/>
      <c r="C473" s="78"/>
      <c r="D473" s="78"/>
      <c r="E473" s="78"/>
      <c r="F473" s="78"/>
      <c r="G473" s="16" t="s">
        <v>1317</v>
      </c>
      <c r="Z473" s="109"/>
      <c r="AA473" s="109"/>
      <c r="AB473" s="109"/>
      <c r="AC473" s="109"/>
      <c r="AD473" s="109"/>
      <c r="AE473" s="109"/>
      <c r="AF473" s="109"/>
      <c r="AG473" s="109"/>
      <c r="AH473" s="109"/>
      <c r="AI473" s="109"/>
      <c r="AJ473" s="109"/>
      <c r="AK473" s="109"/>
      <c r="AL473" s="109"/>
      <c r="AM473" s="109"/>
      <c r="AN473" s="109"/>
      <c r="AO473" s="109"/>
      <c r="AP473" s="109"/>
      <c r="AQ473" s="109"/>
      <c r="AR473" s="109"/>
      <c r="AS473" s="109"/>
    </row>
    <row r="474" spans="1:45" ht="12.6" customHeight="1" x14ac:dyDescent="0.3">
      <c r="A474" s="68" t="s">
        <v>1556</v>
      </c>
      <c r="B474" s="97" t="str">
        <f>" 노 무 비  : "&amp;TEXT(I474,"#,##0"&amp;IF(I474&lt;&gt;INT(I474),".###",""))&amp;" / Q  = "&amp;TEXT(C474,"#,##0.0")&amp;""</f>
        <v xml:space="preserve"> 노 무 비  : 55,700 / Q  = 716.8</v>
      </c>
      <c r="C474" s="99">
        <f>E474+D474+F474</f>
        <v>716.8</v>
      </c>
      <c r="D474" s="99">
        <f>IF(H474=0,0,ROUNDDOWN(J474*H474,1))</f>
        <v>716.8</v>
      </c>
      <c r="E474" s="99">
        <f>IF(H474=0,0,ROUNDDOWN(K474*H474,1))</f>
        <v>0</v>
      </c>
      <c r="F474" s="99">
        <f>IF(H474=0,0,ROUNDDOWN(L474*H474,1))</f>
        <v>0</v>
      </c>
      <c r="G474" s="16" t="s">
        <v>1555</v>
      </c>
      <c r="H474" s="105">
        <f>AC474</f>
        <v>1.2870012870012869E-2</v>
      </c>
      <c r="I474" s="106">
        <f>K474+J474+L474</f>
        <v>55700</v>
      </c>
      <c r="J474" s="39">
        <f>중기목록표!F25</f>
        <v>55700</v>
      </c>
      <c r="M474" s="20" t="s">
        <v>1557</v>
      </c>
      <c r="N474" s="20" t="s">
        <v>1332</v>
      </c>
      <c r="X474" s="108" t="str">
        <f>중기목록표!B25&amp;" / "&amp;중기목록표!C25</f>
        <v>굴삭기+진동콤팩터 / 0.7m3</v>
      </c>
      <c r="Y474" s="19" t="str">
        <f ca="1">HYPERLINK("#"&amp;중기목록표!J2&amp;"!A"&amp;ROW(중기목록표!A25),"중기   22 →")</f>
        <v>중기   22 →</v>
      </c>
      <c r="Z474" s="20" t="s">
        <v>1393</v>
      </c>
      <c r="AA474" s="112">
        <f>AB471</f>
        <v>77.7</v>
      </c>
      <c r="AB474" s="20" t="s">
        <v>1326</v>
      </c>
      <c r="AC474" s="113">
        <f>1/AB471</f>
        <v>1.2870012870012869E-2</v>
      </c>
      <c r="AD474" s="109"/>
      <c r="AE474" s="109"/>
      <c r="AF474" s="109"/>
      <c r="AG474" s="109"/>
      <c r="AH474" s="109"/>
      <c r="AI474" s="109"/>
      <c r="AJ474" s="109"/>
      <c r="AK474" s="109"/>
      <c r="AL474" s="109"/>
      <c r="AM474" s="109"/>
      <c r="AN474" s="109"/>
      <c r="AO474" s="109"/>
      <c r="AP474" s="109"/>
      <c r="AQ474" s="109"/>
      <c r="AR474" s="109"/>
      <c r="AS474" s="109"/>
    </row>
    <row r="475" spans="1:45" ht="12.6" customHeight="1" x14ac:dyDescent="0.3">
      <c r="A475" s="78"/>
      <c r="B475" s="78"/>
      <c r="C475" s="78"/>
      <c r="D475" s="78"/>
      <c r="E475" s="78"/>
      <c r="F475" s="78"/>
      <c r="G475" s="16" t="s">
        <v>1317</v>
      </c>
      <c r="Z475" s="109"/>
      <c r="AA475" s="109"/>
      <c r="AB475" s="109"/>
      <c r="AC475" s="109"/>
      <c r="AD475" s="109"/>
      <c r="AE475" s="109"/>
      <c r="AF475" s="109"/>
      <c r="AG475" s="109"/>
      <c r="AH475" s="109"/>
      <c r="AI475" s="109"/>
      <c r="AJ475" s="109"/>
      <c r="AK475" s="109"/>
      <c r="AL475" s="109"/>
      <c r="AM475" s="109"/>
      <c r="AN475" s="109"/>
      <c r="AO475" s="109"/>
      <c r="AP475" s="109"/>
      <c r="AQ475" s="109"/>
      <c r="AR475" s="109"/>
      <c r="AS475" s="109"/>
    </row>
    <row r="476" spans="1:45" ht="12.6" customHeight="1" x14ac:dyDescent="0.3">
      <c r="A476" s="68" t="s">
        <v>1559</v>
      </c>
      <c r="B476" s="97" t="str">
        <f>" 재 료 비  : "&amp;TEXT(I476,"#,##0"&amp;IF(I476&lt;&gt;INT(I476),".###",""))&amp;" / Q  = "&amp;TEXT(C476,"#,##0.0")&amp;""</f>
        <v xml:space="preserve"> 재 료 비  : 18,001 / Q  = 231.6</v>
      </c>
      <c r="C476" s="99">
        <f>E476+D476+F476</f>
        <v>231.6</v>
      </c>
      <c r="D476" s="99">
        <f>IF(H476=0,0,ROUNDDOWN(J476*H476,1))</f>
        <v>0</v>
      </c>
      <c r="E476" s="99">
        <f>IF(H476=0,0,ROUNDDOWN(K476*H476,1))</f>
        <v>231.6</v>
      </c>
      <c r="F476" s="99">
        <f>IF(H476=0,0,ROUNDDOWN(L476*H476,1))</f>
        <v>0</v>
      </c>
      <c r="G476" s="16" t="s">
        <v>1558</v>
      </c>
      <c r="H476" s="105">
        <f>AC476</f>
        <v>1.2870012870012869E-2</v>
      </c>
      <c r="I476" s="106">
        <f>K476+J476+L476</f>
        <v>18001</v>
      </c>
      <c r="K476" s="39">
        <f>중기목록표!G25</f>
        <v>18001</v>
      </c>
      <c r="M476" s="20" t="s">
        <v>1557</v>
      </c>
      <c r="N476" s="20" t="s">
        <v>1332</v>
      </c>
      <c r="X476" s="108" t="str">
        <f>중기목록표!B25&amp;" / "&amp;중기목록표!C25</f>
        <v>굴삭기+진동콤팩터 / 0.7m3</v>
      </c>
      <c r="Y476" s="19" t="str">
        <f ca="1">HYPERLINK("#"&amp;중기목록표!J2&amp;"!A"&amp;ROW(중기목록표!A25),"중기   22 →")</f>
        <v>중기   22 →</v>
      </c>
      <c r="Z476" s="20" t="s">
        <v>1393</v>
      </c>
      <c r="AA476" s="112">
        <f>AB471</f>
        <v>77.7</v>
      </c>
      <c r="AB476" s="20" t="s">
        <v>1326</v>
      </c>
      <c r="AC476" s="113">
        <f>1/AB471</f>
        <v>1.2870012870012869E-2</v>
      </c>
      <c r="AD476" s="109"/>
      <c r="AE476" s="109"/>
      <c r="AF476" s="109"/>
      <c r="AG476" s="109"/>
      <c r="AH476" s="109"/>
      <c r="AI476" s="109"/>
      <c r="AJ476" s="109"/>
      <c r="AK476" s="109"/>
      <c r="AL476" s="109"/>
      <c r="AM476" s="109"/>
      <c r="AN476" s="109"/>
      <c r="AO476" s="109"/>
      <c r="AP476" s="109"/>
      <c r="AQ476" s="109"/>
      <c r="AR476" s="109"/>
      <c r="AS476" s="109"/>
    </row>
    <row r="477" spans="1:45" ht="12.6" customHeight="1" x14ac:dyDescent="0.3">
      <c r="A477" s="78"/>
      <c r="B477" s="78"/>
      <c r="C477" s="78"/>
      <c r="D477" s="78"/>
      <c r="E477" s="78"/>
      <c r="F477" s="78"/>
      <c r="G477" s="16" t="s">
        <v>1317</v>
      </c>
      <c r="Z477" s="109"/>
      <c r="AA477" s="109"/>
      <c r="AB477" s="109"/>
      <c r="AC477" s="109"/>
      <c r="AD477" s="109"/>
      <c r="AE477" s="109"/>
      <c r="AF477" s="109"/>
      <c r="AG477" s="109"/>
      <c r="AH477" s="109"/>
      <c r="AI477" s="109"/>
      <c r="AJ477" s="109"/>
      <c r="AK477" s="109"/>
      <c r="AL477" s="109"/>
      <c r="AM477" s="109"/>
      <c r="AN477" s="109"/>
      <c r="AO477" s="109"/>
      <c r="AP477" s="109"/>
      <c r="AQ477" s="109"/>
      <c r="AR477" s="109"/>
      <c r="AS477" s="109"/>
    </row>
    <row r="478" spans="1:45" ht="12.6" customHeight="1" x14ac:dyDescent="0.3">
      <c r="A478" s="68" t="s">
        <v>1561</v>
      </c>
      <c r="B478" s="97" t="str">
        <f>" 경    비  : "&amp;TEXT(I478,"#,##0"&amp;IF(I478&lt;&gt;INT(I478),".###",""))&amp;" / Q  = "&amp;TEXT(C478,"#,##0.0")&amp;""</f>
        <v xml:space="preserve"> 경    비  : 26,654 / Q  = 343.0</v>
      </c>
      <c r="C478" s="99">
        <f>E478+D478+F478</f>
        <v>343</v>
      </c>
      <c r="D478" s="99">
        <f>IF(H478=0,0,ROUNDDOWN(J478*H478,1))</f>
        <v>0</v>
      </c>
      <c r="E478" s="99">
        <f>IF(H478=0,0,ROUNDDOWN(K478*H478,1))</f>
        <v>0</v>
      </c>
      <c r="F478" s="99">
        <f>IF(H478=0,0,ROUNDDOWN(L478*H478,1))</f>
        <v>343</v>
      </c>
      <c r="G478" s="16" t="s">
        <v>1560</v>
      </c>
      <c r="H478" s="105">
        <f>AC478</f>
        <v>1.2870012870012869E-2</v>
      </c>
      <c r="I478" s="106">
        <f>K478+J478+L478</f>
        <v>26654</v>
      </c>
      <c r="L478" s="39">
        <f>중기목록표!H25</f>
        <v>26654</v>
      </c>
      <c r="M478" s="20" t="s">
        <v>1557</v>
      </c>
      <c r="N478" s="20" t="s">
        <v>1332</v>
      </c>
      <c r="X478" s="108" t="str">
        <f>중기목록표!B25&amp;" / "&amp;중기목록표!C25</f>
        <v>굴삭기+진동콤팩터 / 0.7m3</v>
      </c>
      <c r="Y478" s="19" t="str">
        <f ca="1">HYPERLINK("#"&amp;중기목록표!J2&amp;"!A"&amp;ROW(중기목록표!A25),"중기   22 →")</f>
        <v>중기   22 →</v>
      </c>
      <c r="Z478" s="20" t="s">
        <v>1393</v>
      </c>
      <c r="AA478" s="112">
        <f>AB471</f>
        <v>77.7</v>
      </c>
      <c r="AB478" s="20" t="s">
        <v>1326</v>
      </c>
      <c r="AC478" s="113">
        <f>1/AB471</f>
        <v>1.2870012870012869E-2</v>
      </c>
      <c r="AD478" s="109"/>
      <c r="AE478" s="109"/>
      <c r="AF478" s="109"/>
      <c r="AG478" s="109"/>
      <c r="AH478" s="109"/>
      <c r="AI478" s="109"/>
      <c r="AJ478" s="109"/>
      <c r="AK478" s="109"/>
      <c r="AL478" s="109"/>
      <c r="AM478" s="109"/>
      <c r="AN478" s="109"/>
      <c r="AO478" s="109"/>
      <c r="AP478" s="109"/>
      <c r="AQ478" s="109"/>
      <c r="AR478" s="109"/>
      <c r="AS478" s="109"/>
    </row>
    <row r="479" spans="1:45" ht="12.6" customHeight="1" x14ac:dyDescent="0.3">
      <c r="A479" s="78"/>
      <c r="B479" s="78"/>
      <c r="C479" s="78"/>
      <c r="D479" s="78"/>
      <c r="E479" s="78"/>
      <c r="F479" s="78"/>
      <c r="G479" s="16" t="s">
        <v>1317</v>
      </c>
      <c r="Z479" s="109"/>
      <c r="AA479" s="109"/>
      <c r="AB479" s="109"/>
      <c r="AC479" s="109"/>
      <c r="AD479" s="109"/>
      <c r="AE479" s="109"/>
      <c r="AF479" s="109"/>
      <c r="AG479" s="109"/>
      <c r="AH479" s="109"/>
      <c r="AI479" s="109"/>
      <c r="AJ479" s="109"/>
      <c r="AK479" s="109"/>
      <c r="AL479" s="109"/>
      <c r="AM479" s="109"/>
      <c r="AN479" s="109"/>
      <c r="AO479" s="109"/>
      <c r="AP479" s="109"/>
      <c r="AQ479" s="109"/>
      <c r="AR479" s="109"/>
      <c r="AS479" s="109"/>
    </row>
    <row r="480" spans="1:45" ht="12.6" customHeight="1" x14ac:dyDescent="0.3">
      <c r="A480" s="78"/>
      <c r="B480" s="78"/>
      <c r="C480" s="78"/>
      <c r="D480" s="78"/>
      <c r="E480" s="78"/>
      <c r="F480" s="78"/>
      <c r="G480" s="16" t="s">
        <v>1317</v>
      </c>
      <c r="Z480" s="109"/>
      <c r="AA480" s="109"/>
      <c r="AB480" s="109"/>
      <c r="AC480" s="109"/>
      <c r="AD480" s="109"/>
      <c r="AE480" s="109"/>
      <c r="AF480" s="109"/>
      <c r="AG480" s="109"/>
      <c r="AH480" s="109"/>
      <c r="AI480" s="109"/>
      <c r="AJ480" s="109"/>
      <c r="AK480" s="109"/>
      <c r="AL480" s="109"/>
      <c r="AM480" s="109"/>
      <c r="AN480" s="109"/>
      <c r="AO480" s="109"/>
      <c r="AP480" s="109"/>
      <c r="AQ480" s="109"/>
      <c r="AR480" s="109"/>
      <c r="AS480" s="109"/>
    </row>
    <row r="481" spans="1:45" ht="12.6" customHeight="1" x14ac:dyDescent="0.3">
      <c r="A481" s="68"/>
      <c r="B481" s="77" t="s">
        <v>1331</v>
      </c>
      <c r="C481" s="100">
        <f>E481+D481+F481</f>
        <v>1291.4000000000001</v>
      </c>
      <c r="D481" s="100">
        <f>SUMIF(N462:N480,M481,D462:D480)</f>
        <v>716.8</v>
      </c>
      <c r="E481" s="100">
        <f>SUMIF(N462:N480,M481,E462:E480)</f>
        <v>231.6</v>
      </c>
      <c r="F481" s="100">
        <f>SUMIF(N462:N480,M481,F462:F480)</f>
        <v>343</v>
      </c>
      <c r="G481" s="16" t="s">
        <v>1415</v>
      </c>
      <c r="M481" s="20" t="s">
        <v>1332</v>
      </c>
      <c r="N481" s="20" t="s">
        <v>1128</v>
      </c>
      <c r="Z481" s="109"/>
      <c r="AA481" s="109"/>
      <c r="AB481" s="109"/>
      <c r="AC481" s="109"/>
      <c r="AD481" s="109"/>
      <c r="AE481" s="109"/>
      <c r="AF481" s="109"/>
      <c r="AG481" s="109"/>
      <c r="AH481" s="109"/>
      <c r="AI481" s="109"/>
      <c r="AJ481" s="109"/>
      <c r="AK481" s="109"/>
      <c r="AL481" s="109"/>
      <c r="AM481" s="109"/>
      <c r="AN481" s="109"/>
      <c r="AO481" s="109"/>
      <c r="AP481" s="109"/>
      <c r="AQ481" s="109"/>
      <c r="AR481" s="109"/>
      <c r="AS481" s="109"/>
    </row>
    <row r="482" spans="1:45" ht="12.6" customHeight="1" x14ac:dyDescent="0.3">
      <c r="A482" s="78"/>
      <c r="B482" s="78"/>
      <c r="C482" s="98"/>
      <c r="D482" s="98"/>
      <c r="E482" s="98"/>
      <c r="F482" s="98"/>
      <c r="Z482" s="109"/>
      <c r="AA482" s="109"/>
      <c r="AB482" s="109"/>
      <c r="AC482" s="109"/>
      <c r="AD482" s="109"/>
      <c r="AE482" s="109"/>
      <c r="AF482" s="109"/>
      <c r="AG482" s="109"/>
      <c r="AH482" s="109"/>
      <c r="AI482" s="109"/>
      <c r="AJ482" s="109"/>
      <c r="AK482" s="109"/>
      <c r="AL482" s="109"/>
      <c r="AM482" s="109"/>
      <c r="AN482" s="109"/>
      <c r="AO482" s="109"/>
      <c r="AP482" s="109"/>
      <c r="AQ482" s="109"/>
      <c r="AR482" s="109"/>
      <c r="AS482" s="109"/>
    </row>
    <row r="483" spans="1:45" ht="12.6" customHeight="1" x14ac:dyDescent="0.3">
      <c r="A483" s="78"/>
      <c r="B483" s="78"/>
      <c r="C483" s="78"/>
      <c r="D483" s="78"/>
      <c r="E483" s="78"/>
      <c r="F483" s="78"/>
      <c r="Z483" s="109"/>
      <c r="AA483" s="109"/>
      <c r="AB483" s="109"/>
      <c r="AC483" s="109"/>
      <c r="AD483" s="109"/>
      <c r="AE483" s="109"/>
      <c r="AF483" s="109"/>
      <c r="AG483" s="109"/>
      <c r="AH483" s="109"/>
      <c r="AI483" s="109"/>
      <c r="AJ483" s="109"/>
      <c r="AK483" s="109"/>
      <c r="AL483" s="109"/>
      <c r="AM483" s="109"/>
      <c r="AN483" s="109"/>
      <c r="AO483" s="109"/>
      <c r="AP483" s="109"/>
      <c r="AQ483" s="109"/>
      <c r="AR483" s="109"/>
      <c r="AS483" s="109"/>
    </row>
    <row r="484" spans="1:45" ht="12.6" customHeight="1" x14ac:dyDescent="0.3">
      <c r="A484" s="78"/>
      <c r="B484" s="78"/>
      <c r="C484" s="78"/>
      <c r="D484" s="78"/>
      <c r="E484" s="78"/>
      <c r="F484" s="78"/>
      <c r="Z484" s="109"/>
      <c r="AA484" s="109"/>
      <c r="AB484" s="109"/>
      <c r="AC484" s="109"/>
      <c r="AD484" s="109"/>
      <c r="AE484" s="109"/>
      <c r="AF484" s="109"/>
      <c r="AG484" s="109"/>
      <c r="AH484" s="109"/>
      <c r="AI484" s="109"/>
      <c r="AJ484" s="109"/>
      <c r="AK484" s="109"/>
      <c r="AL484" s="109"/>
      <c r="AM484" s="109"/>
      <c r="AN484" s="109"/>
      <c r="AO484" s="109"/>
      <c r="AP484" s="109"/>
      <c r="AQ484" s="109"/>
      <c r="AR484" s="109"/>
      <c r="AS484" s="109"/>
    </row>
    <row r="485" spans="1:45" ht="12.6" customHeight="1" x14ac:dyDescent="0.3">
      <c r="A485" s="78"/>
      <c r="B485" s="78"/>
      <c r="C485" s="78"/>
      <c r="D485" s="78"/>
      <c r="E485" s="78"/>
      <c r="F485" s="78"/>
      <c r="Z485" s="109"/>
      <c r="AA485" s="109"/>
      <c r="AB485" s="109"/>
      <c r="AC485" s="109"/>
      <c r="AD485" s="109"/>
      <c r="AE485" s="109"/>
      <c r="AF485" s="109"/>
      <c r="AG485" s="109"/>
      <c r="AH485" s="109"/>
      <c r="AI485" s="109"/>
      <c r="AJ485" s="109"/>
      <c r="AK485" s="109"/>
      <c r="AL485" s="109"/>
      <c r="AM485" s="109"/>
      <c r="AN485" s="109"/>
      <c r="AO485" s="109"/>
      <c r="AP485" s="109"/>
      <c r="AQ485" s="109"/>
      <c r="AR485" s="109"/>
      <c r="AS485" s="109"/>
    </row>
    <row r="486" spans="1:45" ht="12.6" customHeight="1" x14ac:dyDescent="0.3">
      <c r="A486" s="78"/>
      <c r="B486" s="78"/>
      <c r="C486" s="78"/>
      <c r="D486" s="78"/>
      <c r="E486" s="78"/>
      <c r="F486" s="78"/>
      <c r="Z486" s="109"/>
      <c r="AA486" s="109"/>
      <c r="AB486" s="109"/>
      <c r="AC486" s="109"/>
      <c r="AD486" s="109"/>
      <c r="AE486" s="109"/>
      <c r="AF486" s="109"/>
      <c r="AG486" s="109"/>
      <c r="AH486" s="109"/>
      <c r="AI486" s="109"/>
      <c r="AJ486" s="109"/>
      <c r="AK486" s="109"/>
      <c r="AL486" s="109"/>
      <c r="AM486" s="109"/>
      <c r="AN486" s="109"/>
      <c r="AO486" s="109"/>
      <c r="AP486" s="109"/>
      <c r="AQ486" s="109"/>
      <c r="AR486" s="109"/>
      <c r="AS486" s="109"/>
    </row>
    <row r="487" spans="1:45" ht="12.6" customHeight="1" x14ac:dyDescent="0.3">
      <c r="A487" s="78"/>
      <c r="B487" s="78"/>
      <c r="C487" s="78"/>
      <c r="D487" s="78"/>
      <c r="E487" s="78"/>
      <c r="F487" s="78"/>
      <c r="Z487" s="109"/>
      <c r="AA487" s="109"/>
      <c r="AB487" s="109"/>
      <c r="AC487" s="109"/>
      <c r="AD487" s="109"/>
      <c r="AE487" s="109"/>
      <c r="AF487" s="109"/>
      <c r="AG487" s="109"/>
      <c r="AH487" s="109"/>
      <c r="AI487" s="109"/>
      <c r="AJ487" s="109"/>
      <c r="AK487" s="109"/>
      <c r="AL487" s="109"/>
      <c r="AM487" s="109"/>
      <c r="AN487" s="109"/>
      <c r="AO487" s="109"/>
      <c r="AP487" s="109"/>
      <c r="AQ487" s="109"/>
      <c r="AR487" s="109"/>
      <c r="AS487" s="109"/>
    </row>
    <row r="488" spans="1:45" ht="12.6" customHeight="1" x14ac:dyDescent="0.3">
      <c r="A488" s="78"/>
      <c r="B488" s="78"/>
      <c r="C488" s="78"/>
      <c r="D488" s="78"/>
      <c r="E488" s="78"/>
      <c r="F488" s="78"/>
      <c r="Z488" s="109"/>
      <c r="AA488" s="109"/>
      <c r="AB488" s="109"/>
      <c r="AC488" s="109"/>
      <c r="AD488" s="109"/>
      <c r="AE488" s="109"/>
      <c r="AF488" s="109"/>
      <c r="AG488" s="109"/>
      <c r="AH488" s="109"/>
      <c r="AI488" s="109"/>
      <c r="AJ488" s="109"/>
      <c r="AK488" s="109"/>
      <c r="AL488" s="109"/>
      <c r="AM488" s="109"/>
      <c r="AN488" s="109"/>
      <c r="AO488" s="109"/>
      <c r="AP488" s="109"/>
      <c r="AQ488" s="109"/>
      <c r="AR488" s="109"/>
      <c r="AS488" s="109"/>
    </row>
    <row r="489" spans="1:45" ht="12.6" customHeight="1" x14ac:dyDescent="0.3">
      <c r="A489" s="78"/>
      <c r="B489" s="78"/>
      <c r="C489" s="78"/>
      <c r="D489" s="78"/>
      <c r="E489" s="78"/>
      <c r="F489" s="78"/>
      <c r="Z489" s="109"/>
      <c r="AA489" s="109"/>
      <c r="AB489" s="109"/>
      <c r="AC489" s="109"/>
      <c r="AD489" s="109"/>
      <c r="AE489" s="109"/>
      <c r="AF489" s="109"/>
      <c r="AG489" s="109"/>
      <c r="AH489" s="109"/>
      <c r="AI489" s="109"/>
      <c r="AJ489" s="109"/>
      <c r="AK489" s="109"/>
      <c r="AL489" s="109"/>
      <c r="AM489" s="109"/>
      <c r="AN489" s="109"/>
      <c r="AO489" s="109"/>
      <c r="AP489" s="109"/>
      <c r="AQ489" s="109"/>
      <c r="AR489" s="109"/>
      <c r="AS489" s="109"/>
    </row>
    <row r="490" spans="1:45" ht="12.6" customHeight="1" x14ac:dyDescent="0.3">
      <c r="A490" s="78"/>
      <c r="B490" s="78"/>
      <c r="C490" s="78"/>
      <c r="D490" s="78"/>
      <c r="E490" s="78"/>
      <c r="F490" s="78"/>
      <c r="Z490" s="109"/>
      <c r="AA490" s="109"/>
      <c r="AB490" s="109"/>
      <c r="AC490" s="109"/>
      <c r="AD490" s="109"/>
      <c r="AE490" s="109"/>
      <c r="AF490" s="109"/>
      <c r="AG490" s="109"/>
      <c r="AH490" s="109"/>
      <c r="AI490" s="109"/>
      <c r="AJ490" s="109"/>
      <c r="AK490" s="109"/>
      <c r="AL490" s="109"/>
      <c r="AM490" s="109"/>
      <c r="AN490" s="109"/>
      <c r="AO490" s="109"/>
      <c r="AP490" s="109"/>
      <c r="AQ490" s="109"/>
      <c r="AR490" s="109"/>
      <c r="AS490" s="109"/>
    </row>
    <row r="491" spans="1:45" ht="12.6" customHeight="1" x14ac:dyDescent="0.3">
      <c r="A491" s="78"/>
      <c r="B491" s="78"/>
      <c r="C491" s="78"/>
      <c r="D491" s="78"/>
      <c r="E491" s="78"/>
      <c r="F491" s="78"/>
      <c r="Z491" s="109"/>
      <c r="AA491" s="109"/>
      <c r="AB491" s="109"/>
      <c r="AC491" s="109"/>
      <c r="AD491" s="109"/>
      <c r="AE491" s="109"/>
      <c r="AF491" s="109"/>
      <c r="AG491" s="109"/>
      <c r="AH491" s="109"/>
      <c r="AI491" s="109"/>
      <c r="AJ491" s="109"/>
      <c r="AK491" s="109"/>
      <c r="AL491" s="109"/>
      <c r="AM491" s="109"/>
      <c r="AN491" s="109"/>
      <c r="AO491" s="109"/>
      <c r="AP491" s="109"/>
      <c r="AQ491" s="109"/>
      <c r="AR491" s="109"/>
      <c r="AS491" s="109"/>
    </row>
    <row r="492" spans="1:45" ht="12.6" customHeight="1" x14ac:dyDescent="0.3">
      <c r="A492" s="78"/>
      <c r="B492" s="78"/>
      <c r="C492" s="78"/>
      <c r="D492" s="78"/>
      <c r="E492" s="78"/>
      <c r="F492" s="78"/>
      <c r="Z492" s="109"/>
      <c r="AA492" s="109"/>
      <c r="AB492" s="109"/>
      <c r="AC492" s="109"/>
      <c r="AD492" s="109"/>
      <c r="AE492" s="109"/>
      <c r="AF492" s="109"/>
      <c r="AG492" s="109"/>
      <c r="AH492" s="109"/>
      <c r="AI492" s="109"/>
      <c r="AJ492" s="109"/>
      <c r="AK492" s="109"/>
      <c r="AL492" s="109"/>
      <c r="AM492" s="109"/>
      <c r="AN492" s="109"/>
      <c r="AO492" s="109"/>
      <c r="AP492" s="109"/>
      <c r="AQ492" s="109"/>
      <c r="AR492" s="109"/>
      <c r="AS492" s="109"/>
    </row>
    <row r="493" spans="1:45" ht="12.6" customHeight="1" x14ac:dyDescent="0.3">
      <c r="A493" s="58"/>
      <c r="B493" s="58"/>
      <c r="C493" s="58"/>
      <c r="D493" s="58"/>
      <c r="E493" s="58"/>
      <c r="F493" s="58"/>
      <c r="Z493" s="109"/>
      <c r="AA493" s="109"/>
      <c r="AB493" s="109"/>
      <c r="AC493" s="109"/>
      <c r="AD493" s="109"/>
      <c r="AE493" s="109"/>
      <c r="AF493" s="109"/>
      <c r="AG493" s="109"/>
      <c r="AH493" s="109"/>
      <c r="AI493" s="109"/>
      <c r="AJ493" s="109"/>
      <c r="AK493" s="109"/>
      <c r="AL493" s="109"/>
      <c r="AM493" s="109"/>
      <c r="AN493" s="109"/>
      <c r="AO493" s="109"/>
      <c r="AP493" s="109"/>
      <c r="AQ493" s="109"/>
      <c r="AR493" s="109"/>
      <c r="AS493" s="109"/>
    </row>
    <row r="494" spans="1:45" ht="12.6" customHeight="1" x14ac:dyDescent="0.3">
      <c r="A494" s="159" t="s">
        <v>1401</v>
      </c>
      <c r="B494" s="152"/>
      <c r="C494" s="55">
        <f>E494+D494+F494</f>
        <v>1290</v>
      </c>
      <c r="D494" s="54">
        <f>ROUNDDOWN(SUMIF(N462:N481,M494,D462:D481),0)</f>
        <v>716</v>
      </c>
      <c r="E494" s="63">
        <f>ROUNDDOWN(SUMIF(N462:N481,M494,E462:E481),0)</f>
        <v>231</v>
      </c>
      <c r="F494" s="55">
        <f>ROUNDDOWN(SUMIF(N462:N481,M494,F462:F481),0)</f>
        <v>343</v>
      </c>
      <c r="M494" s="20" t="s">
        <v>1128</v>
      </c>
      <c r="Z494" s="109"/>
      <c r="AA494" s="109"/>
      <c r="AB494" s="109"/>
      <c r="AC494" s="109"/>
      <c r="AD494" s="109"/>
      <c r="AE494" s="109"/>
      <c r="AF494" s="109"/>
      <c r="AG494" s="109"/>
      <c r="AH494" s="109"/>
      <c r="AI494" s="109"/>
      <c r="AJ494" s="109"/>
      <c r="AK494" s="109"/>
      <c r="AL494" s="109"/>
      <c r="AM494" s="109"/>
      <c r="AN494" s="109"/>
      <c r="AO494" s="109"/>
      <c r="AP494" s="109"/>
      <c r="AQ494" s="109"/>
      <c r="AR494" s="109"/>
      <c r="AS494" s="109"/>
    </row>
    <row r="495" spans="1:45" ht="12.6" customHeight="1" x14ac:dyDescent="0.3">
      <c r="A495" s="95" t="s">
        <v>58</v>
      </c>
      <c r="B495" s="96" t="s">
        <v>58</v>
      </c>
      <c r="C495" s="158">
        <f>C529</f>
        <v>24816</v>
      </c>
      <c r="D495" s="158">
        <f>D529</f>
        <v>18084</v>
      </c>
      <c r="E495" s="158">
        <f>E529</f>
        <v>2498</v>
      </c>
      <c r="F495" s="158">
        <f>F529</f>
        <v>4234</v>
      </c>
      <c r="G495" s="36" t="str">
        <f>HYPERLINK("#G"&amp;ROW(G522),"_x0005_`BDCOD|D01124_x0007_`POSS|"&amp;ROW(G497)&amp;"_x0007_`POSE|"&amp;ROW(G522)&amp;"_x0007_`")</f>
        <v>_x0005_`BDCOD|D01124_x0007_`POSS|497_x0007_`POSE|522_x0007_`</v>
      </c>
      <c r="Z495" s="109"/>
      <c r="AA495" s="109"/>
      <c r="AB495" s="109"/>
      <c r="AC495" s="109"/>
      <c r="AD495" s="109"/>
      <c r="AE495" s="109"/>
      <c r="AF495" s="109"/>
      <c r="AG495" s="109"/>
      <c r="AH495" s="109"/>
      <c r="AI495" s="109"/>
      <c r="AJ495" s="109"/>
      <c r="AK495" s="109"/>
      <c r="AL495" s="109"/>
      <c r="AM495" s="109"/>
      <c r="AN495" s="109"/>
      <c r="AO495" s="109"/>
      <c r="AP495" s="109"/>
      <c r="AQ495" s="109"/>
      <c r="AR495" s="109"/>
      <c r="AS495" s="109"/>
    </row>
    <row r="496" spans="1:45" ht="12.6" customHeight="1" x14ac:dyDescent="0.3">
      <c r="A496" s="84"/>
      <c r="B496" s="96" t="s">
        <v>203</v>
      </c>
      <c r="C496" s="141"/>
      <c r="D496" s="141"/>
      <c r="E496" s="141"/>
      <c r="F496" s="141"/>
      <c r="M496" s="20" t="s">
        <v>202</v>
      </c>
      <c r="Z496" s="109"/>
      <c r="AA496" s="109"/>
      <c r="AB496" s="109"/>
      <c r="AC496" s="109"/>
      <c r="AD496" s="109"/>
      <c r="AE496" s="109"/>
      <c r="AF496" s="109"/>
      <c r="AG496" s="109"/>
      <c r="AH496" s="109"/>
      <c r="AI496" s="109"/>
      <c r="AJ496" s="109"/>
      <c r="AK496" s="109"/>
      <c r="AL496" s="109"/>
      <c r="AM496" s="109"/>
      <c r="AN496" s="109"/>
      <c r="AO496" s="109"/>
      <c r="AP496" s="109"/>
      <c r="AQ496" s="109"/>
      <c r="AR496" s="109"/>
      <c r="AS496" s="109"/>
    </row>
    <row r="497" spans="1:45" ht="12.6" customHeight="1" x14ac:dyDescent="0.3">
      <c r="A497" s="68"/>
      <c r="B497" s="77" t="s">
        <v>1563</v>
      </c>
      <c r="C497" s="98"/>
      <c r="D497" s="98"/>
      <c r="E497" s="98"/>
      <c r="F497" s="98"/>
      <c r="G497" s="16" t="s">
        <v>1562</v>
      </c>
      <c r="Z497" s="109"/>
      <c r="AA497" s="109"/>
      <c r="AB497" s="109"/>
      <c r="AC497" s="109"/>
      <c r="AD497" s="109"/>
      <c r="AE497" s="109"/>
      <c r="AF497" s="109"/>
      <c r="AG497" s="109"/>
      <c r="AH497" s="109"/>
      <c r="AI497" s="109"/>
      <c r="AJ497" s="109"/>
      <c r="AK497" s="109"/>
      <c r="AL497" s="109"/>
      <c r="AM497" s="109"/>
      <c r="AN497" s="109"/>
      <c r="AO497" s="109"/>
      <c r="AP497" s="109"/>
      <c r="AQ497" s="109"/>
      <c r="AR497" s="109"/>
      <c r="AS497" s="109"/>
    </row>
    <row r="498" spans="1:45" ht="12.6" customHeight="1" x14ac:dyDescent="0.3">
      <c r="A498" s="78"/>
      <c r="B498" s="78"/>
      <c r="C498" s="78"/>
      <c r="D498" s="78"/>
      <c r="E498" s="78"/>
      <c r="F498" s="78"/>
      <c r="G498" s="16" t="s">
        <v>1433</v>
      </c>
      <c r="Z498" s="109"/>
      <c r="AA498" s="109"/>
      <c r="AB498" s="109"/>
      <c r="AC498" s="109"/>
      <c r="AD498" s="109"/>
      <c r="AE498" s="109"/>
      <c r="AF498" s="109"/>
      <c r="AG498" s="109"/>
      <c r="AH498" s="109"/>
      <c r="AI498" s="109"/>
      <c r="AJ498" s="109"/>
      <c r="AK498" s="109"/>
      <c r="AL498" s="109"/>
      <c r="AM498" s="109"/>
      <c r="AN498" s="109"/>
      <c r="AO498" s="109"/>
      <c r="AP498" s="109"/>
      <c r="AQ498" s="109"/>
      <c r="AR498" s="109"/>
      <c r="AS498" s="109"/>
    </row>
    <row r="499" spans="1:45" ht="12.6" customHeight="1" x14ac:dyDescent="0.3">
      <c r="A499" s="68"/>
      <c r="B499" s="77" t="s">
        <v>1501</v>
      </c>
      <c r="C499" s="78"/>
      <c r="D499" s="78"/>
      <c r="E499" s="78"/>
      <c r="F499" s="78"/>
      <c r="G499" s="16" t="s">
        <v>1500</v>
      </c>
      <c r="Z499" s="109"/>
      <c r="AA499" s="109"/>
      <c r="AB499" s="109"/>
      <c r="AC499" s="109"/>
      <c r="AD499" s="109"/>
      <c r="AE499" s="109"/>
      <c r="AF499" s="109"/>
      <c r="AG499" s="109"/>
      <c r="AH499" s="109"/>
      <c r="AI499" s="109"/>
      <c r="AJ499" s="109"/>
      <c r="AK499" s="109"/>
      <c r="AL499" s="109"/>
      <c r="AM499" s="109"/>
      <c r="AN499" s="109"/>
      <c r="AO499" s="109"/>
      <c r="AP499" s="109"/>
      <c r="AQ499" s="109"/>
      <c r="AR499" s="109"/>
      <c r="AS499" s="109"/>
    </row>
    <row r="500" spans="1:45" ht="12.6" customHeight="1" x14ac:dyDescent="0.3">
      <c r="A500" s="78"/>
      <c r="B500" s="78"/>
      <c r="C500" s="78"/>
      <c r="D500" s="78"/>
      <c r="E500" s="78"/>
      <c r="F500" s="78"/>
      <c r="G500" s="16" t="s">
        <v>1317</v>
      </c>
      <c r="Z500" s="109"/>
      <c r="AA500" s="109"/>
      <c r="AB500" s="109"/>
      <c r="AC500" s="109"/>
      <c r="AD500" s="109"/>
      <c r="AE500" s="109"/>
      <c r="AF500" s="109"/>
      <c r="AG500" s="109"/>
      <c r="AH500" s="109"/>
      <c r="AI500" s="109"/>
      <c r="AJ500" s="109"/>
      <c r="AK500" s="109"/>
      <c r="AL500" s="109"/>
      <c r="AM500" s="109"/>
      <c r="AN500" s="109"/>
      <c r="AO500" s="109"/>
      <c r="AP500" s="109"/>
      <c r="AQ500" s="109"/>
      <c r="AR500" s="109"/>
      <c r="AS500" s="109"/>
    </row>
    <row r="501" spans="1:45" ht="12.6" customHeight="1" x14ac:dyDescent="0.3">
      <c r="A501" s="68"/>
      <c r="B501" s="77" t="s">
        <v>1565</v>
      </c>
      <c r="C501" s="78"/>
      <c r="D501" s="78"/>
      <c r="E501" s="78"/>
      <c r="F501" s="78"/>
      <c r="G501" s="16" t="s">
        <v>1564</v>
      </c>
      <c r="Z501" s="109"/>
      <c r="AA501" s="109"/>
      <c r="AB501" s="109"/>
      <c r="AC501" s="109"/>
      <c r="AD501" s="109"/>
      <c r="AE501" s="109"/>
      <c r="AF501" s="109"/>
      <c r="AG501" s="109"/>
      <c r="AH501" s="109"/>
      <c r="AI501" s="109"/>
      <c r="AJ501" s="109"/>
      <c r="AK501" s="109"/>
      <c r="AL501" s="109"/>
      <c r="AM501" s="109"/>
      <c r="AN501" s="109"/>
      <c r="AO501" s="109"/>
      <c r="AP501" s="109"/>
      <c r="AQ501" s="109"/>
      <c r="AR501" s="109"/>
      <c r="AS501" s="109"/>
    </row>
    <row r="502" spans="1:45" ht="12.6" customHeight="1" x14ac:dyDescent="0.3">
      <c r="A502" s="78"/>
      <c r="B502" s="78"/>
      <c r="C502" s="78"/>
      <c r="D502" s="78"/>
      <c r="E502" s="78"/>
      <c r="F502" s="78"/>
      <c r="G502" s="16" t="s">
        <v>1317</v>
      </c>
      <c r="Z502" s="109"/>
      <c r="AA502" s="109"/>
      <c r="AB502" s="109"/>
      <c r="AC502" s="109"/>
      <c r="AD502" s="109"/>
      <c r="AE502" s="109"/>
      <c r="AF502" s="109"/>
      <c r="AG502" s="109"/>
      <c r="AH502" s="109"/>
      <c r="AI502" s="109"/>
      <c r="AJ502" s="109"/>
      <c r="AK502" s="109"/>
      <c r="AL502" s="109"/>
      <c r="AM502" s="109"/>
      <c r="AN502" s="109"/>
      <c r="AO502" s="109"/>
      <c r="AP502" s="109"/>
      <c r="AQ502" s="109"/>
      <c r="AR502" s="109"/>
      <c r="AS502" s="109"/>
    </row>
    <row r="503" spans="1:45" ht="12.6" customHeight="1" x14ac:dyDescent="0.3">
      <c r="A503" s="78"/>
      <c r="B503" s="78"/>
      <c r="C503" s="78"/>
      <c r="D503" s="78"/>
      <c r="E503" s="78"/>
      <c r="F503" s="78"/>
      <c r="G503" s="16" t="s">
        <v>1317</v>
      </c>
      <c r="Z503" s="109"/>
      <c r="AA503" s="109"/>
      <c r="AB503" s="109"/>
      <c r="AC503" s="109"/>
      <c r="AD503" s="109"/>
      <c r="AE503" s="109"/>
      <c r="AF503" s="109"/>
      <c r="AG503" s="109"/>
      <c r="AH503" s="109"/>
      <c r="AI503" s="109"/>
      <c r="AJ503" s="109"/>
      <c r="AK503" s="109"/>
      <c r="AL503" s="109"/>
      <c r="AM503" s="109"/>
      <c r="AN503" s="109"/>
      <c r="AO503" s="109"/>
      <c r="AP503" s="109"/>
      <c r="AQ503" s="109"/>
      <c r="AR503" s="109"/>
      <c r="AS503" s="109"/>
    </row>
    <row r="504" spans="1:45" ht="12.6" customHeight="1" x14ac:dyDescent="0.3">
      <c r="A504" s="68"/>
      <c r="B504" s="77" t="s">
        <v>1509</v>
      </c>
      <c r="C504" s="78"/>
      <c r="D504" s="78"/>
      <c r="E504" s="78"/>
      <c r="F504" s="78"/>
      <c r="G504" s="16" t="s">
        <v>1508</v>
      </c>
      <c r="Z504" s="109"/>
      <c r="AA504" s="109"/>
      <c r="AB504" s="109"/>
      <c r="AC504" s="109"/>
      <c r="AD504" s="109"/>
      <c r="AE504" s="109"/>
      <c r="AF504" s="109"/>
      <c r="AG504" s="109"/>
      <c r="AH504" s="109"/>
      <c r="AI504" s="109"/>
      <c r="AJ504" s="109"/>
      <c r="AK504" s="109"/>
      <c r="AL504" s="109"/>
      <c r="AM504" s="109"/>
      <c r="AN504" s="109"/>
      <c r="AO504" s="109"/>
      <c r="AP504" s="109"/>
      <c r="AQ504" s="109"/>
      <c r="AR504" s="109"/>
      <c r="AS504" s="109"/>
    </row>
    <row r="505" spans="1:45" ht="12.6" customHeight="1" x14ac:dyDescent="0.3">
      <c r="A505" s="78"/>
      <c r="B505" s="78"/>
      <c r="C505" s="78"/>
      <c r="D505" s="78"/>
      <c r="E505" s="78"/>
      <c r="F505" s="78"/>
      <c r="G505" s="16" t="s">
        <v>1317</v>
      </c>
      <c r="Z505" s="109"/>
      <c r="AA505" s="109"/>
      <c r="AB505" s="109"/>
      <c r="AC505" s="109"/>
      <c r="AD505" s="109"/>
      <c r="AE505" s="109"/>
      <c r="AF505" s="109"/>
      <c r="AG505" s="109"/>
      <c r="AH505" s="109"/>
      <c r="AI505" s="109"/>
      <c r="AJ505" s="109"/>
      <c r="AK505" s="109"/>
      <c r="AL505" s="109"/>
      <c r="AM505" s="109"/>
      <c r="AN505" s="109"/>
      <c r="AO505" s="109"/>
      <c r="AP505" s="109"/>
      <c r="AQ505" s="109"/>
      <c r="AR505" s="109"/>
      <c r="AS505" s="109"/>
    </row>
    <row r="506" spans="1:45" ht="12.6" customHeight="1" x14ac:dyDescent="0.3">
      <c r="A506" s="68"/>
      <c r="B506" s="77" t="s">
        <v>1567</v>
      </c>
      <c r="C506" s="78"/>
      <c r="D506" s="78"/>
      <c r="E506" s="78"/>
      <c r="F506" s="78"/>
      <c r="G506" s="16" t="s">
        <v>1566</v>
      </c>
      <c r="Z506" s="109"/>
      <c r="AA506" s="109"/>
      <c r="AB506" s="109"/>
      <c r="AC506" s="109"/>
      <c r="AD506" s="109"/>
      <c r="AE506" s="109"/>
      <c r="AF506" s="109"/>
      <c r="AG506" s="109"/>
      <c r="AH506" s="109"/>
      <c r="AI506" s="109"/>
      <c r="AJ506" s="109"/>
      <c r="AK506" s="109"/>
      <c r="AL506" s="109"/>
      <c r="AM506" s="109"/>
      <c r="AN506" s="109"/>
      <c r="AO506" s="109"/>
      <c r="AP506" s="109"/>
      <c r="AQ506" s="109"/>
      <c r="AR506" s="109"/>
      <c r="AS506" s="109"/>
    </row>
    <row r="507" spans="1:45" ht="12.6" customHeight="1" x14ac:dyDescent="0.3">
      <c r="A507" s="78"/>
      <c r="B507" s="78"/>
      <c r="C507" s="78"/>
      <c r="D507" s="78"/>
      <c r="E507" s="78"/>
      <c r="F507" s="78"/>
      <c r="G507" s="16" t="s">
        <v>1317</v>
      </c>
      <c r="Z507" s="109"/>
      <c r="AA507" s="109"/>
      <c r="AB507" s="109"/>
      <c r="AC507" s="109"/>
      <c r="AD507" s="109"/>
      <c r="AE507" s="109"/>
      <c r="AF507" s="109"/>
      <c r="AG507" s="109"/>
      <c r="AH507" s="109"/>
      <c r="AI507" s="109"/>
      <c r="AJ507" s="109"/>
      <c r="AK507" s="109"/>
      <c r="AL507" s="109"/>
      <c r="AM507" s="109"/>
      <c r="AN507" s="109"/>
      <c r="AO507" s="109"/>
      <c r="AP507" s="109"/>
      <c r="AQ507" s="109"/>
      <c r="AR507" s="109"/>
      <c r="AS507" s="109"/>
    </row>
    <row r="508" spans="1:45" ht="12.6" customHeight="1" x14ac:dyDescent="0.3">
      <c r="A508" s="68"/>
      <c r="B508" s="97" t="str">
        <f>" q (버킷용량(m3))  = "&amp;Z508&amp;" , f (체적환산계수)  = "&amp;AD508&amp;"/"&amp;AF508&amp;""</f>
        <v xml:space="preserve"> q (버킷용량(m3))  = 0.2 , f (체적환산계수)  = 1/1.125</v>
      </c>
      <c r="C508" s="78"/>
      <c r="D508" s="78"/>
      <c r="E508" s="78"/>
      <c r="F508" s="78"/>
      <c r="G508" s="16" t="s">
        <v>1568</v>
      </c>
      <c r="Z508" s="110">
        <v>0.2</v>
      </c>
      <c r="AA508" s="20" t="s">
        <v>1326</v>
      </c>
      <c r="AB508" s="112">
        <f>Z508</f>
        <v>0.2</v>
      </c>
      <c r="AC508" s="20" t="s">
        <v>1385</v>
      </c>
      <c r="AD508" s="111">
        <v>1</v>
      </c>
      <c r="AE508" s="20" t="s">
        <v>1387</v>
      </c>
      <c r="AF508" s="110">
        <v>1.125</v>
      </c>
      <c r="AG508" s="20" t="s">
        <v>1326</v>
      </c>
      <c r="AH508" s="112">
        <f>ROUND(AD508/AF508,13)</f>
        <v>0.88888888888890005</v>
      </c>
      <c r="AI508" s="20" t="s">
        <v>1385</v>
      </c>
      <c r="AJ508" s="109"/>
      <c r="AK508" s="109"/>
      <c r="AL508" s="109"/>
      <c r="AM508" s="109"/>
      <c r="AN508" s="109"/>
      <c r="AO508" s="109"/>
      <c r="AP508" s="109"/>
      <c r="AQ508" s="109"/>
      <c r="AR508" s="109"/>
      <c r="AS508" s="109"/>
    </row>
    <row r="509" spans="1:45" ht="12.6" customHeight="1" x14ac:dyDescent="0.3">
      <c r="A509" s="78"/>
      <c r="B509" s="78"/>
      <c r="C509" s="78"/>
      <c r="D509" s="78"/>
      <c r="E509" s="78"/>
      <c r="F509" s="78"/>
      <c r="G509" s="16" t="s">
        <v>1317</v>
      </c>
      <c r="Z509" s="109"/>
      <c r="AA509" s="109"/>
      <c r="AB509" s="109"/>
      <c r="AC509" s="109"/>
      <c r="AD509" s="109"/>
      <c r="AE509" s="109"/>
      <c r="AF509" s="109"/>
      <c r="AG509" s="109"/>
      <c r="AH509" s="109"/>
      <c r="AI509" s="109"/>
      <c r="AJ509" s="109"/>
      <c r="AK509" s="109"/>
      <c r="AL509" s="109"/>
      <c r="AM509" s="109"/>
      <c r="AN509" s="109"/>
      <c r="AO509" s="109"/>
      <c r="AP509" s="109"/>
      <c r="AQ509" s="109"/>
      <c r="AR509" s="109"/>
      <c r="AS509" s="109"/>
    </row>
    <row r="510" spans="1:45" ht="12.6" customHeight="1" x14ac:dyDescent="0.3">
      <c r="A510" s="68"/>
      <c r="B510" s="97" t="str">
        <f>" K (버킷계수)  = "&amp;Z510&amp;""</f>
        <v xml:space="preserve"> K (버킷계수)  = 0.55</v>
      </c>
      <c r="C510" s="78"/>
      <c r="D510" s="78"/>
      <c r="E510" s="78"/>
      <c r="F510" s="78"/>
      <c r="G510" s="16" t="s">
        <v>1513</v>
      </c>
      <c r="Z510" s="110">
        <v>0.55000000000000004</v>
      </c>
      <c r="AA510" s="20" t="s">
        <v>1326</v>
      </c>
      <c r="AB510" s="112">
        <f>Z510</f>
        <v>0.55000000000000004</v>
      </c>
      <c r="AC510" s="109"/>
      <c r="AD510" s="109"/>
      <c r="AE510" s="109"/>
      <c r="AF510" s="109"/>
      <c r="AG510" s="109"/>
      <c r="AH510" s="109"/>
      <c r="AI510" s="109"/>
      <c r="AJ510" s="109"/>
      <c r="AK510" s="109"/>
      <c r="AL510" s="109"/>
      <c r="AM510" s="109"/>
      <c r="AN510" s="109"/>
      <c r="AO510" s="109"/>
      <c r="AP510" s="109"/>
      <c r="AQ510" s="109"/>
      <c r="AR510" s="109"/>
      <c r="AS510" s="109"/>
    </row>
    <row r="511" spans="1:45" ht="12.6" customHeight="1" x14ac:dyDescent="0.3">
      <c r="A511" s="78"/>
      <c r="B511" s="78"/>
      <c r="C511" s="78"/>
      <c r="D511" s="78"/>
      <c r="E511" s="78"/>
      <c r="F511" s="78"/>
      <c r="G511" s="16" t="s">
        <v>1317</v>
      </c>
      <c r="Z511" s="109"/>
      <c r="AA511" s="109"/>
      <c r="AB511" s="109"/>
      <c r="AC511" s="109"/>
      <c r="AD511" s="109"/>
      <c r="AE511" s="109"/>
      <c r="AF511" s="109"/>
      <c r="AG511" s="109"/>
      <c r="AH511" s="109"/>
      <c r="AI511" s="109"/>
      <c r="AJ511" s="109"/>
      <c r="AK511" s="109"/>
      <c r="AL511" s="109"/>
      <c r="AM511" s="109"/>
      <c r="AN511" s="109"/>
      <c r="AO511" s="109"/>
      <c r="AP511" s="109"/>
      <c r="AQ511" s="109"/>
      <c r="AR511" s="109"/>
      <c r="AS511" s="109"/>
    </row>
    <row r="512" spans="1:45" ht="12.6" customHeight="1" x14ac:dyDescent="0.3">
      <c r="A512" s="68"/>
      <c r="B512" s="97" t="str">
        <f>" Cm (사이클 시간(초))  = "&amp;Z512&amp;" sec (135˚) , E (작업효율)  = "&amp;AD512&amp;""</f>
        <v xml:space="preserve"> Cm (사이클 시간(초))  = 20 sec (135˚) , E (작업효율)  = 0.35</v>
      </c>
      <c r="C512" s="78"/>
      <c r="D512" s="78"/>
      <c r="E512" s="78"/>
      <c r="F512" s="78"/>
      <c r="G512" s="16" t="s">
        <v>1569</v>
      </c>
      <c r="Z512" s="111">
        <v>20</v>
      </c>
      <c r="AA512" s="20" t="s">
        <v>1326</v>
      </c>
      <c r="AB512" s="112">
        <f>Z512</f>
        <v>20</v>
      </c>
      <c r="AC512" s="20" t="s">
        <v>1385</v>
      </c>
      <c r="AD512" s="110">
        <v>0.35</v>
      </c>
      <c r="AE512" s="20" t="s">
        <v>1326</v>
      </c>
      <c r="AF512" s="112">
        <f>AD512</f>
        <v>0.35</v>
      </c>
      <c r="AG512" s="20" t="s">
        <v>1385</v>
      </c>
      <c r="AH512" s="109"/>
      <c r="AI512" s="109"/>
      <c r="AJ512" s="109"/>
      <c r="AK512" s="109"/>
      <c r="AL512" s="109"/>
      <c r="AM512" s="109"/>
      <c r="AN512" s="109"/>
      <c r="AO512" s="109"/>
      <c r="AP512" s="109"/>
      <c r="AQ512" s="109"/>
      <c r="AR512" s="109"/>
      <c r="AS512" s="109"/>
    </row>
    <row r="513" spans="1:45" ht="12.6" customHeight="1" x14ac:dyDescent="0.3">
      <c r="A513" s="78"/>
      <c r="B513" s="78"/>
      <c r="C513" s="78"/>
      <c r="D513" s="78"/>
      <c r="E513" s="78"/>
      <c r="F513" s="78"/>
      <c r="G513" s="16" t="s">
        <v>1317</v>
      </c>
      <c r="Z513" s="109"/>
      <c r="AA513" s="109"/>
      <c r="AB513" s="109"/>
      <c r="AC513" s="109"/>
      <c r="AD513" s="109"/>
      <c r="AE513" s="109"/>
      <c r="AF513" s="109"/>
      <c r="AG513" s="109"/>
      <c r="AH513" s="109"/>
      <c r="AI513" s="109"/>
      <c r="AJ513" s="109"/>
      <c r="AK513" s="109"/>
      <c r="AL513" s="109"/>
      <c r="AM513" s="109"/>
      <c r="AN513" s="109"/>
      <c r="AO513" s="109"/>
      <c r="AP513" s="109"/>
      <c r="AQ513" s="109"/>
      <c r="AR513" s="109"/>
      <c r="AS513" s="109"/>
    </row>
    <row r="514" spans="1:45" ht="12.6" customHeight="1" x14ac:dyDescent="0.3">
      <c r="A514" s="68"/>
      <c r="B514" s="97" t="str">
        <f>" Q (시간당작업량)  = "&amp;Z514&amp;"*q*K*f*E/Cm = "&amp;AL514&amp;" m3/hr "</f>
        <v xml:space="preserve"> Q (시간당작업량)  = 3600*q*K*f*E/Cm = 6.16 m3/hr </v>
      </c>
      <c r="C514" s="78"/>
      <c r="D514" s="78"/>
      <c r="E514" s="78"/>
      <c r="F514" s="78"/>
      <c r="G514" s="16" t="s">
        <v>1516</v>
      </c>
      <c r="Z514" s="111">
        <v>3600</v>
      </c>
      <c r="AA514" s="20" t="s">
        <v>1390</v>
      </c>
      <c r="AB514" s="112">
        <f>AB508</f>
        <v>0.2</v>
      </c>
      <c r="AC514" s="20" t="s">
        <v>1390</v>
      </c>
      <c r="AD514" s="112">
        <f>AB510</f>
        <v>0.55000000000000004</v>
      </c>
      <c r="AE514" s="20" t="s">
        <v>1390</v>
      </c>
      <c r="AF514" s="112">
        <f>AH508</f>
        <v>0.88888888888890005</v>
      </c>
      <c r="AG514" s="20" t="s">
        <v>1390</v>
      </c>
      <c r="AH514" s="112">
        <f>AF512</f>
        <v>0.35</v>
      </c>
      <c r="AI514" s="20" t="s">
        <v>1387</v>
      </c>
      <c r="AJ514" s="112">
        <f>AB512</f>
        <v>20</v>
      </c>
      <c r="AK514" s="20" t="s">
        <v>1326</v>
      </c>
      <c r="AL514" s="112" t="str">
        <f>TEXT(ROUND(Z514*AB508*AB510*AH508*AF512/AB512,2),"0.00")</f>
        <v>6.16</v>
      </c>
      <c r="AM514" s="109"/>
      <c r="AN514" s="109"/>
      <c r="AO514" s="109"/>
      <c r="AP514" s="109"/>
      <c r="AQ514" s="109"/>
      <c r="AR514" s="109"/>
      <c r="AS514" s="109"/>
    </row>
    <row r="515" spans="1:45" ht="12.6" customHeight="1" x14ac:dyDescent="0.3">
      <c r="A515" s="78"/>
      <c r="B515" s="78"/>
      <c r="C515" s="78"/>
      <c r="D515" s="78"/>
      <c r="E515" s="78"/>
      <c r="F515" s="78"/>
      <c r="G515" s="16" t="s">
        <v>1317</v>
      </c>
      <c r="Z515" s="109"/>
      <c r="AA515" s="109"/>
      <c r="AB515" s="109"/>
      <c r="AC515" s="109"/>
      <c r="AD515" s="109"/>
      <c r="AE515" s="109"/>
      <c r="AF515" s="109"/>
      <c r="AG515" s="109"/>
      <c r="AH515" s="109"/>
      <c r="AI515" s="109"/>
      <c r="AJ515" s="109"/>
      <c r="AK515" s="109"/>
      <c r="AL515" s="109"/>
      <c r="AM515" s="109"/>
      <c r="AN515" s="109"/>
      <c r="AO515" s="109"/>
      <c r="AP515" s="109"/>
      <c r="AQ515" s="109"/>
      <c r="AR515" s="109"/>
      <c r="AS515" s="109"/>
    </row>
    <row r="516" spans="1:45" ht="12.6" customHeight="1" x14ac:dyDescent="0.3">
      <c r="A516" s="68" t="s">
        <v>1492</v>
      </c>
      <c r="B516" s="97" t="str">
        <f>" 노 무 비  : "&amp;TEXT(I516,"#,##0"&amp;IF(I516&lt;&gt;INT(I516),".###",""))&amp;" / Q * "&amp;AC516&amp;" = "&amp;TEXT(C516,"#,##0.0")&amp;""</f>
        <v xml:space="preserve"> 노 무 비  : 55,700 / Q * 2 = 18,084.4</v>
      </c>
      <c r="C516" s="99">
        <f>E516+D516+F516</f>
        <v>18084.400000000001</v>
      </c>
      <c r="D516" s="99">
        <f>IF(H516=0,0,ROUNDDOWN(J516*H516,1))</f>
        <v>18084.400000000001</v>
      </c>
      <c r="E516" s="99">
        <f>IF(H516=0,0,ROUNDDOWN(K516*H516,1))</f>
        <v>0</v>
      </c>
      <c r="F516" s="99">
        <f>IF(H516=0,0,ROUNDDOWN(L516*H516,1))</f>
        <v>0</v>
      </c>
      <c r="G516" s="16" t="s">
        <v>1570</v>
      </c>
      <c r="H516" s="105">
        <f>AE516</f>
        <v>0.32467532467532467</v>
      </c>
      <c r="I516" s="106">
        <f>K516+J516+L516</f>
        <v>55700</v>
      </c>
      <c r="J516" s="39">
        <f>중기목록표!F5</f>
        <v>55700</v>
      </c>
      <c r="M516" s="20" t="s">
        <v>1493</v>
      </c>
      <c r="N516" s="20" t="s">
        <v>1332</v>
      </c>
      <c r="X516" s="108" t="str">
        <f>중기목록표!B5&amp;" / "&amp;중기목록표!C5</f>
        <v xml:space="preserve">굴삭기(0.2m3) / </v>
      </c>
      <c r="Y516" s="19" t="str">
        <f ca="1">HYPERLINK("#"&amp;중기목록표!J2&amp;"!A"&amp;ROW(중기목록표!A5),"중기    2 →")</f>
        <v>중기    2 →</v>
      </c>
      <c r="Z516" s="20" t="s">
        <v>1393</v>
      </c>
      <c r="AA516" s="112" t="str">
        <f>AL514</f>
        <v>6.16</v>
      </c>
      <c r="AB516" s="20" t="s">
        <v>1390</v>
      </c>
      <c r="AC516" s="111">
        <v>2</v>
      </c>
      <c r="AD516" s="20" t="s">
        <v>1326</v>
      </c>
      <c r="AE516" s="113">
        <f>1/AL514*AC516</f>
        <v>0.32467532467532467</v>
      </c>
      <c r="AF516" s="109"/>
      <c r="AG516" s="109"/>
      <c r="AH516" s="109"/>
      <c r="AI516" s="109"/>
      <c r="AJ516" s="109"/>
      <c r="AK516" s="109"/>
      <c r="AL516" s="109"/>
      <c r="AM516" s="109"/>
      <c r="AN516" s="109"/>
      <c r="AO516" s="109"/>
      <c r="AP516" s="109"/>
      <c r="AQ516" s="109"/>
      <c r="AR516" s="109"/>
      <c r="AS516" s="109"/>
    </row>
    <row r="517" spans="1:45" ht="12.6" customHeight="1" x14ac:dyDescent="0.3">
      <c r="A517" s="78"/>
      <c r="B517" s="78"/>
      <c r="C517" s="78"/>
      <c r="D517" s="78"/>
      <c r="E517" s="78"/>
      <c r="F517" s="78"/>
      <c r="G517" s="16" t="s">
        <v>1317</v>
      </c>
      <c r="Z517" s="109"/>
      <c r="AA517" s="109"/>
      <c r="AB517" s="109"/>
      <c r="AC517" s="109"/>
      <c r="AD517" s="109"/>
      <c r="AE517" s="109"/>
      <c r="AF517" s="109"/>
      <c r="AG517" s="109"/>
      <c r="AH517" s="109"/>
      <c r="AI517" s="109"/>
      <c r="AJ517" s="109"/>
      <c r="AK517" s="109"/>
      <c r="AL517" s="109"/>
      <c r="AM517" s="109"/>
      <c r="AN517" s="109"/>
      <c r="AO517" s="109"/>
      <c r="AP517" s="109"/>
      <c r="AQ517" s="109"/>
      <c r="AR517" s="109"/>
      <c r="AS517" s="109"/>
    </row>
    <row r="518" spans="1:45" ht="12.6" customHeight="1" x14ac:dyDescent="0.3">
      <c r="A518" s="68" t="s">
        <v>1495</v>
      </c>
      <c r="B518" s="97" t="str">
        <f>" 재 료 비  : "&amp;TEXT(I518,"#,##0"&amp;IF(I518&lt;&gt;INT(I518),".###",""))&amp;" / Q * "&amp;AC518&amp;" = "&amp;TEXT(C518,"#,##0.0")&amp;""</f>
        <v xml:space="preserve"> 재 료 비  : 7,695 / Q * 2 = 2,498.3</v>
      </c>
      <c r="C518" s="99">
        <f>E518+D518+F518</f>
        <v>2498.3000000000002</v>
      </c>
      <c r="D518" s="99">
        <f>IF(H518=0,0,ROUNDDOWN(J518*H518,1))</f>
        <v>0</v>
      </c>
      <c r="E518" s="99">
        <f>IF(H518=0,0,ROUNDDOWN(K518*H518,1))</f>
        <v>2498.3000000000002</v>
      </c>
      <c r="F518" s="99">
        <f>IF(H518=0,0,ROUNDDOWN(L518*H518,1))</f>
        <v>0</v>
      </c>
      <c r="G518" s="16" t="s">
        <v>1571</v>
      </c>
      <c r="H518" s="105">
        <f>AE518</f>
        <v>0.32467532467532467</v>
      </c>
      <c r="I518" s="106">
        <f>K518+J518+L518</f>
        <v>7695</v>
      </c>
      <c r="K518" s="39">
        <f>중기목록표!G5</f>
        <v>7695</v>
      </c>
      <c r="M518" s="20" t="s">
        <v>1493</v>
      </c>
      <c r="N518" s="20" t="s">
        <v>1332</v>
      </c>
      <c r="X518" s="108" t="str">
        <f>중기목록표!B5&amp;" / "&amp;중기목록표!C5</f>
        <v xml:space="preserve">굴삭기(0.2m3) / </v>
      </c>
      <c r="Y518" s="19" t="str">
        <f ca="1">HYPERLINK("#"&amp;중기목록표!J2&amp;"!A"&amp;ROW(중기목록표!A5),"중기    2 →")</f>
        <v>중기    2 →</v>
      </c>
      <c r="Z518" s="20" t="s">
        <v>1393</v>
      </c>
      <c r="AA518" s="112" t="str">
        <f>AL514</f>
        <v>6.16</v>
      </c>
      <c r="AB518" s="20" t="s">
        <v>1390</v>
      </c>
      <c r="AC518" s="111">
        <v>2</v>
      </c>
      <c r="AD518" s="20" t="s">
        <v>1326</v>
      </c>
      <c r="AE518" s="113">
        <f>1/AL514*AC518</f>
        <v>0.32467532467532467</v>
      </c>
      <c r="AF518" s="109"/>
      <c r="AG518" s="109"/>
      <c r="AH518" s="109"/>
      <c r="AI518" s="109"/>
      <c r="AJ518" s="109"/>
      <c r="AK518" s="109"/>
      <c r="AL518" s="109"/>
      <c r="AM518" s="109"/>
      <c r="AN518" s="109"/>
      <c r="AO518" s="109"/>
      <c r="AP518" s="109"/>
      <c r="AQ518" s="109"/>
      <c r="AR518" s="109"/>
      <c r="AS518" s="109"/>
    </row>
    <row r="519" spans="1:45" ht="12.6" customHeight="1" x14ac:dyDescent="0.3">
      <c r="A519" s="78"/>
      <c r="B519" s="78"/>
      <c r="C519" s="78"/>
      <c r="D519" s="78"/>
      <c r="E519" s="78"/>
      <c r="F519" s="78"/>
      <c r="G519" s="16" t="s">
        <v>1317</v>
      </c>
      <c r="Z519" s="109"/>
      <c r="AA519" s="109"/>
      <c r="AB519" s="109"/>
      <c r="AC519" s="109"/>
      <c r="AD519" s="109"/>
      <c r="AE519" s="109"/>
      <c r="AF519" s="109"/>
      <c r="AG519" s="109"/>
      <c r="AH519" s="109"/>
      <c r="AI519" s="109"/>
      <c r="AJ519" s="109"/>
      <c r="AK519" s="109"/>
      <c r="AL519" s="109"/>
      <c r="AM519" s="109"/>
      <c r="AN519" s="109"/>
      <c r="AO519" s="109"/>
      <c r="AP519" s="109"/>
      <c r="AQ519" s="109"/>
      <c r="AR519" s="109"/>
      <c r="AS519" s="109"/>
    </row>
    <row r="520" spans="1:45" ht="12.6" customHeight="1" x14ac:dyDescent="0.3">
      <c r="A520" s="68" t="s">
        <v>1497</v>
      </c>
      <c r="B520" s="97" t="str">
        <f>" 경    비  : "&amp;TEXT(I520,"#,##0"&amp;IF(I520&lt;&gt;INT(I520),".###",""))&amp;" / Q * "&amp;AC520&amp;" = "&amp;TEXT(C520,"#,##0.0")&amp;""</f>
        <v xml:space="preserve"> 경    비  : 13,041 / Q * 2 = 4,234.0</v>
      </c>
      <c r="C520" s="99">
        <f>E520+D520+F520</f>
        <v>4234</v>
      </c>
      <c r="D520" s="99">
        <f>IF(H520=0,0,ROUNDDOWN(J520*H520,1))</f>
        <v>0</v>
      </c>
      <c r="E520" s="99">
        <f>IF(H520=0,0,ROUNDDOWN(K520*H520,1))</f>
        <v>0</v>
      </c>
      <c r="F520" s="99">
        <f>IF(H520=0,0,ROUNDDOWN(L520*H520,1))</f>
        <v>4234</v>
      </c>
      <c r="G520" s="16" t="s">
        <v>1572</v>
      </c>
      <c r="H520" s="105">
        <f>AE520</f>
        <v>0.32467532467532467</v>
      </c>
      <c r="I520" s="106">
        <f>K520+J520+L520</f>
        <v>13041</v>
      </c>
      <c r="L520" s="39">
        <f>중기목록표!H5</f>
        <v>13041</v>
      </c>
      <c r="M520" s="20" t="s">
        <v>1493</v>
      </c>
      <c r="N520" s="20" t="s">
        <v>1332</v>
      </c>
      <c r="X520" s="108" t="str">
        <f>중기목록표!B5&amp;" / "&amp;중기목록표!C5</f>
        <v xml:space="preserve">굴삭기(0.2m3) / </v>
      </c>
      <c r="Y520" s="19" t="str">
        <f ca="1">HYPERLINK("#"&amp;중기목록표!J2&amp;"!A"&amp;ROW(중기목록표!A5),"중기    2 →")</f>
        <v>중기    2 →</v>
      </c>
      <c r="Z520" s="20" t="s">
        <v>1393</v>
      </c>
      <c r="AA520" s="112" t="str">
        <f>AL514</f>
        <v>6.16</v>
      </c>
      <c r="AB520" s="20" t="s">
        <v>1390</v>
      </c>
      <c r="AC520" s="111">
        <v>2</v>
      </c>
      <c r="AD520" s="20" t="s">
        <v>1326</v>
      </c>
      <c r="AE520" s="113">
        <f>1/AL514*AC520</f>
        <v>0.32467532467532467</v>
      </c>
      <c r="AF520" s="109"/>
      <c r="AG520" s="109"/>
      <c r="AH520" s="109"/>
      <c r="AI520" s="109"/>
      <c r="AJ520" s="109"/>
      <c r="AK520" s="109"/>
      <c r="AL520" s="109"/>
      <c r="AM520" s="109"/>
      <c r="AN520" s="109"/>
      <c r="AO520" s="109"/>
      <c r="AP520" s="109"/>
      <c r="AQ520" s="109"/>
      <c r="AR520" s="109"/>
      <c r="AS520" s="109"/>
    </row>
    <row r="521" spans="1:45" ht="12.6" customHeight="1" x14ac:dyDescent="0.3">
      <c r="A521" s="78"/>
      <c r="B521" s="78"/>
      <c r="C521" s="78"/>
      <c r="D521" s="78"/>
      <c r="E521" s="78"/>
      <c r="F521" s="78"/>
      <c r="G521" s="16" t="s">
        <v>1317</v>
      </c>
      <c r="Z521" s="109"/>
      <c r="AA521" s="109"/>
      <c r="AB521" s="109"/>
      <c r="AC521" s="109"/>
      <c r="AD521" s="109"/>
      <c r="AE521" s="109"/>
      <c r="AF521" s="109"/>
      <c r="AG521" s="109"/>
      <c r="AH521" s="109"/>
      <c r="AI521" s="109"/>
      <c r="AJ521" s="109"/>
      <c r="AK521" s="109"/>
      <c r="AL521" s="109"/>
      <c r="AM521" s="109"/>
      <c r="AN521" s="109"/>
      <c r="AO521" s="109"/>
      <c r="AP521" s="109"/>
      <c r="AQ521" s="109"/>
      <c r="AR521" s="109"/>
      <c r="AS521" s="109"/>
    </row>
    <row r="522" spans="1:45" ht="12.6" customHeight="1" x14ac:dyDescent="0.3">
      <c r="A522" s="68"/>
      <c r="B522" s="77" t="s">
        <v>1331</v>
      </c>
      <c r="C522" s="100">
        <f>E522+D522+F522</f>
        <v>24816.7</v>
      </c>
      <c r="D522" s="100">
        <f>SUMIF(N497:N521,M522,D497:D521)</f>
        <v>18084.400000000001</v>
      </c>
      <c r="E522" s="100">
        <f>SUMIF(N497:N521,M522,E497:E521)</f>
        <v>2498.3000000000002</v>
      </c>
      <c r="F522" s="100">
        <f>SUMIF(N497:N521,M522,F497:F521)</f>
        <v>4234</v>
      </c>
      <c r="G522" s="16" t="s">
        <v>1415</v>
      </c>
      <c r="M522" s="20" t="s">
        <v>1332</v>
      </c>
      <c r="N522" s="20" t="s">
        <v>1128</v>
      </c>
      <c r="Z522" s="109"/>
      <c r="AA522" s="109"/>
      <c r="AB522" s="109"/>
      <c r="AC522" s="109"/>
      <c r="AD522" s="109"/>
      <c r="AE522" s="109"/>
      <c r="AF522" s="109"/>
      <c r="AG522" s="109"/>
      <c r="AH522" s="109"/>
      <c r="AI522" s="109"/>
      <c r="AJ522" s="109"/>
      <c r="AK522" s="109"/>
      <c r="AL522" s="109"/>
      <c r="AM522" s="109"/>
      <c r="AN522" s="109"/>
      <c r="AO522" s="109"/>
      <c r="AP522" s="109"/>
      <c r="AQ522" s="109"/>
      <c r="AR522" s="109"/>
      <c r="AS522" s="109"/>
    </row>
    <row r="523" spans="1:45" ht="12.6" customHeight="1" x14ac:dyDescent="0.3">
      <c r="A523" s="78"/>
      <c r="B523" s="78"/>
      <c r="C523" s="98"/>
      <c r="D523" s="98"/>
      <c r="E523" s="98"/>
      <c r="F523" s="98"/>
      <c r="Z523" s="109"/>
      <c r="AA523" s="109"/>
      <c r="AB523" s="109"/>
      <c r="AC523" s="109"/>
      <c r="AD523" s="109"/>
      <c r="AE523" s="109"/>
      <c r="AF523" s="109"/>
      <c r="AG523" s="109"/>
      <c r="AH523" s="109"/>
      <c r="AI523" s="109"/>
      <c r="AJ523" s="109"/>
      <c r="AK523" s="109"/>
      <c r="AL523" s="109"/>
      <c r="AM523" s="109"/>
      <c r="AN523" s="109"/>
      <c r="AO523" s="109"/>
      <c r="AP523" s="109"/>
      <c r="AQ523" s="109"/>
      <c r="AR523" s="109"/>
      <c r="AS523" s="109"/>
    </row>
    <row r="524" spans="1:45" ht="12.6" customHeight="1" x14ac:dyDescent="0.3">
      <c r="A524" s="78"/>
      <c r="B524" s="78"/>
      <c r="C524" s="78"/>
      <c r="D524" s="78"/>
      <c r="E524" s="78"/>
      <c r="F524" s="78"/>
      <c r="Z524" s="109"/>
      <c r="AA524" s="109"/>
      <c r="AB524" s="109"/>
      <c r="AC524" s="109"/>
      <c r="AD524" s="109"/>
      <c r="AE524" s="109"/>
      <c r="AF524" s="109"/>
      <c r="AG524" s="109"/>
      <c r="AH524" s="109"/>
      <c r="AI524" s="109"/>
      <c r="AJ524" s="109"/>
      <c r="AK524" s="109"/>
      <c r="AL524" s="109"/>
      <c r="AM524" s="109"/>
      <c r="AN524" s="109"/>
      <c r="AO524" s="109"/>
      <c r="AP524" s="109"/>
      <c r="AQ524" s="109"/>
      <c r="AR524" s="109"/>
      <c r="AS524" s="109"/>
    </row>
    <row r="525" spans="1:45" ht="12.6" customHeight="1" x14ac:dyDescent="0.3">
      <c r="A525" s="78"/>
      <c r="B525" s="78"/>
      <c r="C525" s="78"/>
      <c r="D525" s="78"/>
      <c r="E525" s="78"/>
      <c r="F525" s="78"/>
      <c r="Z525" s="109"/>
      <c r="AA525" s="109"/>
      <c r="AB525" s="109"/>
      <c r="AC525" s="109"/>
      <c r="AD525" s="109"/>
      <c r="AE525" s="109"/>
      <c r="AF525" s="109"/>
      <c r="AG525" s="109"/>
      <c r="AH525" s="109"/>
      <c r="AI525" s="109"/>
      <c r="AJ525" s="109"/>
      <c r="AK525" s="109"/>
      <c r="AL525" s="109"/>
      <c r="AM525" s="109"/>
      <c r="AN525" s="109"/>
      <c r="AO525" s="109"/>
      <c r="AP525" s="109"/>
      <c r="AQ525" s="109"/>
      <c r="AR525" s="109"/>
      <c r="AS525" s="109"/>
    </row>
    <row r="526" spans="1:45" ht="12.6" customHeight="1" x14ac:dyDescent="0.3">
      <c r="A526" s="78"/>
      <c r="B526" s="78"/>
      <c r="C526" s="78"/>
      <c r="D526" s="78"/>
      <c r="E526" s="78"/>
      <c r="F526" s="78"/>
      <c r="Z526" s="109"/>
      <c r="AA526" s="109"/>
      <c r="AB526" s="109"/>
      <c r="AC526" s="109"/>
      <c r="AD526" s="109"/>
      <c r="AE526" s="109"/>
      <c r="AF526" s="109"/>
      <c r="AG526" s="109"/>
      <c r="AH526" s="109"/>
      <c r="AI526" s="109"/>
      <c r="AJ526" s="109"/>
      <c r="AK526" s="109"/>
      <c r="AL526" s="109"/>
      <c r="AM526" s="109"/>
      <c r="AN526" s="109"/>
      <c r="AO526" s="109"/>
      <c r="AP526" s="109"/>
      <c r="AQ526" s="109"/>
      <c r="AR526" s="109"/>
      <c r="AS526" s="109"/>
    </row>
    <row r="527" spans="1:45" ht="12.6" customHeight="1" x14ac:dyDescent="0.3">
      <c r="A527" s="78"/>
      <c r="B527" s="78"/>
      <c r="C527" s="78"/>
      <c r="D527" s="78"/>
      <c r="E527" s="78"/>
      <c r="F527" s="78"/>
      <c r="Z527" s="109"/>
      <c r="AA527" s="109"/>
      <c r="AB527" s="109"/>
      <c r="AC527" s="109"/>
      <c r="AD527" s="109"/>
      <c r="AE527" s="109"/>
      <c r="AF527" s="109"/>
      <c r="AG527" s="109"/>
      <c r="AH527" s="109"/>
      <c r="AI527" s="109"/>
      <c r="AJ527" s="109"/>
      <c r="AK527" s="109"/>
      <c r="AL527" s="109"/>
      <c r="AM527" s="109"/>
      <c r="AN527" s="109"/>
      <c r="AO527" s="109"/>
      <c r="AP527" s="109"/>
      <c r="AQ527" s="109"/>
      <c r="AR527" s="109"/>
      <c r="AS527" s="109"/>
    </row>
    <row r="528" spans="1:45" ht="12.6" customHeight="1" x14ac:dyDescent="0.3">
      <c r="A528" s="58"/>
      <c r="B528" s="58"/>
      <c r="C528" s="58"/>
      <c r="D528" s="58"/>
      <c r="E528" s="58"/>
      <c r="F528" s="58"/>
      <c r="Z528" s="109"/>
      <c r="AA528" s="109"/>
      <c r="AB528" s="109"/>
      <c r="AC528" s="109"/>
      <c r="AD528" s="109"/>
      <c r="AE528" s="109"/>
      <c r="AF528" s="109"/>
      <c r="AG528" s="109"/>
      <c r="AH528" s="109"/>
      <c r="AI528" s="109"/>
      <c r="AJ528" s="109"/>
      <c r="AK528" s="109"/>
      <c r="AL528" s="109"/>
      <c r="AM528" s="109"/>
      <c r="AN528" s="109"/>
      <c r="AO528" s="109"/>
      <c r="AP528" s="109"/>
      <c r="AQ528" s="109"/>
      <c r="AR528" s="109"/>
      <c r="AS528" s="109"/>
    </row>
    <row r="529" spans="1:45" ht="12.6" customHeight="1" x14ac:dyDescent="0.3">
      <c r="A529" s="159" t="s">
        <v>1401</v>
      </c>
      <c r="B529" s="152"/>
      <c r="C529" s="55">
        <f>E529+D529+F529</f>
        <v>24816</v>
      </c>
      <c r="D529" s="54">
        <f>ROUNDDOWN(SUMIF(N497:N522,M529,D497:D522),0)</f>
        <v>18084</v>
      </c>
      <c r="E529" s="63">
        <f>ROUNDDOWN(SUMIF(N497:N522,M529,E497:E522),0)</f>
        <v>2498</v>
      </c>
      <c r="F529" s="55">
        <f>ROUNDDOWN(SUMIF(N497:N522,M529,F497:F522),0)</f>
        <v>4234</v>
      </c>
      <c r="M529" s="20" t="s">
        <v>1128</v>
      </c>
      <c r="Z529" s="109"/>
      <c r="AA529" s="109"/>
      <c r="AB529" s="109"/>
      <c r="AC529" s="109"/>
      <c r="AD529" s="109"/>
      <c r="AE529" s="109"/>
      <c r="AF529" s="109"/>
      <c r="AG529" s="109"/>
      <c r="AH529" s="109"/>
      <c r="AI529" s="109"/>
      <c r="AJ529" s="109"/>
      <c r="AK529" s="109"/>
      <c r="AL529" s="109"/>
      <c r="AM529" s="109"/>
      <c r="AN529" s="109"/>
      <c r="AO529" s="109"/>
      <c r="AP529" s="109"/>
      <c r="AQ529" s="109"/>
      <c r="AR529" s="109"/>
      <c r="AS529" s="109"/>
    </row>
    <row r="530" spans="1:45" ht="12.6" customHeight="1" x14ac:dyDescent="0.3">
      <c r="A530" s="95" t="s">
        <v>62</v>
      </c>
      <c r="B530" s="96" t="s">
        <v>62</v>
      </c>
      <c r="C530" s="158">
        <f>C634</f>
        <v>30398</v>
      </c>
      <c r="D530" s="158">
        <f>D634</f>
        <v>18289</v>
      </c>
      <c r="E530" s="158">
        <f>E634</f>
        <v>5101</v>
      </c>
      <c r="F530" s="158">
        <f>F634</f>
        <v>7008</v>
      </c>
      <c r="G530" s="36" t="str">
        <f>HYPERLINK("#G"&amp;ROW(G622),"_x0005_`BDCOD|D01129_x0007_`POSS|"&amp;ROW(G532)&amp;"_x0007_`POSE|"&amp;ROW(G622)&amp;"_x0007_`")</f>
        <v>_x0005_`BDCOD|D01129_x0007_`POSS|532_x0007_`POSE|622_x0007_`</v>
      </c>
      <c r="Z530" s="109"/>
      <c r="AA530" s="109"/>
      <c r="AB530" s="109"/>
      <c r="AC530" s="109"/>
      <c r="AD530" s="109"/>
      <c r="AE530" s="109"/>
      <c r="AF530" s="109"/>
      <c r="AG530" s="109"/>
      <c r="AH530" s="109"/>
      <c r="AI530" s="109"/>
      <c r="AJ530" s="109"/>
      <c r="AK530" s="109"/>
      <c r="AL530" s="109"/>
      <c r="AM530" s="109"/>
      <c r="AN530" s="109"/>
      <c r="AO530" s="109"/>
      <c r="AP530" s="109"/>
      <c r="AQ530" s="109"/>
      <c r="AR530" s="109"/>
      <c r="AS530" s="109"/>
    </row>
    <row r="531" spans="1:45" ht="12.6" customHeight="1" x14ac:dyDescent="0.3">
      <c r="A531" s="84"/>
      <c r="B531" s="96" t="s">
        <v>206</v>
      </c>
      <c r="C531" s="141"/>
      <c r="D531" s="141"/>
      <c r="E531" s="141"/>
      <c r="F531" s="141"/>
      <c r="M531" s="20" t="s">
        <v>205</v>
      </c>
      <c r="Z531" s="109"/>
      <c r="AA531" s="109"/>
      <c r="AB531" s="109"/>
      <c r="AC531" s="109"/>
      <c r="AD531" s="109"/>
      <c r="AE531" s="109"/>
      <c r="AF531" s="109"/>
      <c r="AG531" s="109"/>
      <c r="AH531" s="109"/>
      <c r="AI531" s="109"/>
      <c r="AJ531" s="109"/>
      <c r="AK531" s="109"/>
      <c r="AL531" s="109"/>
      <c r="AM531" s="109"/>
      <c r="AN531" s="109"/>
      <c r="AO531" s="109"/>
      <c r="AP531" s="109"/>
      <c r="AQ531" s="109"/>
      <c r="AR531" s="109"/>
      <c r="AS531" s="109"/>
    </row>
    <row r="532" spans="1:45" ht="12.6" customHeight="1" x14ac:dyDescent="0.3">
      <c r="A532" s="68"/>
      <c r="B532" s="77" t="s">
        <v>1574</v>
      </c>
      <c r="C532" s="98"/>
      <c r="D532" s="98"/>
      <c r="E532" s="98"/>
      <c r="F532" s="98"/>
      <c r="G532" s="16" t="s">
        <v>1573</v>
      </c>
      <c r="Z532" s="109"/>
      <c r="AA532" s="109"/>
      <c r="AB532" s="109"/>
      <c r="AC532" s="109"/>
      <c r="AD532" s="109"/>
      <c r="AE532" s="109"/>
      <c r="AF532" s="109"/>
      <c r="AG532" s="109"/>
      <c r="AH532" s="109"/>
      <c r="AI532" s="109"/>
      <c r="AJ532" s="109"/>
      <c r="AK532" s="109"/>
      <c r="AL532" s="109"/>
      <c r="AM532" s="109"/>
      <c r="AN532" s="109"/>
      <c r="AO532" s="109"/>
      <c r="AP532" s="109"/>
      <c r="AQ532" s="109"/>
      <c r="AR532" s="109"/>
      <c r="AS532" s="109"/>
    </row>
    <row r="533" spans="1:45" ht="12.6" customHeight="1" x14ac:dyDescent="0.3">
      <c r="A533" s="78"/>
      <c r="B533" s="78"/>
      <c r="C533" s="78"/>
      <c r="D533" s="78"/>
      <c r="E533" s="78"/>
      <c r="F533" s="78"/>
      <c r="G533" s="16" t="s">
        <v>1317</v>
      </c>
      <c r="Z533" s="109"/>
      <c r="AA533" s="109"/>
      <c r="AB533" s="109"/>
      <c r="AC533" s="109"/>
      <c r="AD533" s="109"/>
      <c r="AE533" s="109"/>
      <c r="AF533" s="109"/>
      <c r="AG533" s="109"/>
      <c r="AH533" s="109"/>
      <c r="AI533" s="109"/>
      <c r="AJ533" s="109"/>
      <c r="AK533" s="109"/>
      <c r="AL533" s="109"/>
      <c r="AM533" s="109"/>
      <c r="AN533" s="109"/>
      <c r="AO533" s="109"/>
      <c r="AP533" s="109"/>
      <c r="AQ533" s="109"/>
      <c r="AR533" s="109"/>
      <c r="AS533" s="109"/>
    </row>
    <row r="534" spans="1:45" ht="12.6" customHeight="1" x14ac:dyDescent="0.3">
      <c r="A534" s="68"/>
      <c r="B534" s="77" t="s">
        <v>1576</v>
      </c>
      <c r="C534" s="78"/>
      <c r="D534" s="78"/>
      <c r="E534" s="78"/>
      <c r="F534" s="78"/>
      <c r="G534" s="16" t="s">
        <v>1575</v>
      </c>
      <c r="Z534" s="109"/>
      <c r="AA534" s="109"/>
      <c r="AB534" s="109"/>
      <c r="AC534" s="109"/>
      <c r="AD534" s="109"/>
      <c r="AE534" s="109"/>
      <c r="AF534" s="109"/>
      <c r="AG534" s="109"/>
      <c r="AH534" s="109"/>
      <c r="AI534" s="109"/>
      <c r="AJ534" s="109"/>
      <c r="AK534" s="109"/>
      <c r="AL534" s="109"/>
      <c r="AM534" s="109"/>
      <c r="AN534" s="109"/>
      <c r="AO534" s="109"/>
      <c r="AP534" s="109"/>
      <c r="AQ534" s="109"/>
      <c r="AR534" s="109"/>
      <c r="AS534" s="109"/>
    </row>
    <row r="535" spans="1:45" ht="12.6" customHeight="1" x14ac:dyDescent="0.3">
      <c r="A535" s="78"/>
      <c r="B535" s="78"/>
      <c r="C535" s="78"/>
      <c r="D535" s="78"/>
      <c r="E535" s="78"/>
      <c r="F535" s="78"/>
      <c r="G535" s="16" t="s">
        <v>1317</v>
      </c>
      <c r="Z535" s="109"/>
      <c r="AA535" s="109"/>
      <c r="AB535" s="109"/>
      <c r="AC535" s="109"/>
      <c r="AD535" s="109"/>
      <c r="AE535" s="109"/>
      <c r="AF535" s="109"/>
      <c r="AG535" s="109"/>
      <c r="AH535" s="109"/>
      <c r="AI535" s="109"/>
      <c r="AJ535" s="109"/>
      <c r="AK535" s="109"/>
      <c r="AL535" s="109"/>
      <c r="AM535" s="109"/>
      <c r="AN535" s="109"/>
      <c r="AO535" s="109"/>
      <c r="AP535" s="109"/>
      <c r="AQ535" s="109"/>
      <c r="AR535" s="109"/>
      <c r="AS535" s="109"/>
    </row>
    <row r="536" spans="1:45" ht="12.6" customHeight="1" x14ac:dyDescent="0.3">
      <c r="A536" s="68"/>
      <c r="B536" s="77" t="s">
        <v>1578</v>
      </c>
      <c r="C536" s="78"/>
      <c r="D536" s="78"/>
      <c r="E536" s="78"/>
      <c r="F536" s="78"/>
      <c r="G536" s="16" t="s">
        <v>1577</v>
      </c>
      <c r="Z536" s="109"/>
      <c r="AA536" s="109"/>
      <c r="AB536" s="109"/>
      <c r="AC536" s="109"/>
      <c r="AD536" s="109"/>
      <c r="AE536" s="109"/>
      <c r="AF536" s="109"/>
      <c r="AG536" s="109"/>
      <c r="AH536" s="109"/>
      <c r="AI536" s="109"/>
      <c r="AJ536" s="109"/>
      <c r="AK536" s="109"/>
      <c r="AL536" s="109"/>
      <c r="AM536" s="109"/>
      <c r="AN536" s="109"/>
      <c r="AO536" s="109"/>
      <c r="AP536" s="109"/>
      <c r="AQ536" s="109"/>
      <c r="AR536" s="109"/>
      <c r="AS536" s="109"/>
    </row>
    <row r="537" spans="1:45" ht="12.6" customHeight="1" x14ac:dyDescent="0.3">
      <c r="A537" s="78"/>
      <c r="B537" s="78"/>
      <c r="C537" s="78"/>
      <c r="D537" s="78"/>
      <c r="E537" s="78"/>
      <c r="F537" s="78"/>
      <c r="G537" s="16" t="s">
        <v>1317</v>
      </c>
      <c r="Z537" s="109"/>
      <c r="AA537" s="109"/>
      <c r="AB537" s="109"/>
      <c r="AC537" s="109"/>
      <c r="AD537" s="109"/>
      <c r="AE537" s="109"/>
      <c r="AF537" s="109"/>
      <c r="AG537" s="109"/>
      <c r="AH537" s="109"/>
      <c r="AI537" s="109"/>
      <c r="AJ537" s="109"/>
      <c r="AK537" s="109"/>
      <c r="AL537" s="109"/>
      <c r="AM537" s="109"/>
      <c r="AN537" s="109"/>
      <c r="AO537" s="109"/>
      <c r="AP537" s="109"/>
      <c r="AQ537" s="109"/>
      <c r="AR537" s="109"/>
      <c r="AS537" s="109"/>
    </row>
    <row r="538" spans="1:45" ht="12.6" customHeight="1" x14ac:dyDescent="0.3">
      <c r="A538" s="68"/>
      <c r="B538" s="77" t="s">
        <v>1580</v>
      </c>
      <c r="C538" s="78"/>
      <c r="D538" s="78"/>
      <c r="E538" s="78"/>
      <c r="F538" s="78"/>
      <c r="G538" s="16" t="s">
        <v>1579</v>
      </c>
      <c r="Z538" s="109"/>
      <c r="AA538" s="109"/>
      <c r="AB538" s="109"/>
      <c r="AC538" s="109"/>
      <c r="AD538" s="109"/>
      <c r="AE538" s="109"/>
      <c r="AF538" s="109"/>
      <c r="AG538" s="109"/>
      <c r="AH538" s="109"/>
      <c r="AI538" s="109"/>
      <c r="AJ538" s="109"/>
      <c r="AK538" s="109"/>
      <c r="AL538" s="109"/>
      <c r="AM538" s="109"/>
      <c r="AN538" s="109"/>
      <c r="AO538" s="109"/>
      <c r="AP538" s="109"/>
      <c r="AQ538" s="109"/>
      <c r="AR538" s="109"/>
      <c r="AS538" s="109"/>
    </row>
    <row r="539" spans="1:45" ht="12.6" customHeight="1" x14ac:dyDescent="0.3">
      <c r="A539" s="78"/>
      <c r="B539" s="78"/>
      <c r="C539" s="78"/>
      <c r="D539" s="78"/>
      <c r="E539" s="78"/>
      <c r="F539" s="78"/>
      <c r="G539" s="16" t="s">
        <v>1317</v>
      </c>
      <c r="Z539" s="109"/>
      <c r="AA539" s="109"/>
      <c r="AB539" s="109"/>
      <c r="AC539" s="109"/>
      <c r="AD539" s="109"/>
      <c r="AE539" s="109"/>
      <c r="AF539" s="109"/>
      <c r="AG539" s="109"/>
      <c r="AH539" s="109"/>
      <c r="AI539" s="109"/>
      <c r="AJ539" s="109"/>
      <c r="AK539" s="109"/>
      <c r="AL539" s="109"/>
      <c r="AM539" s="109"/>
      <c r="AN539" s="109"/>
      <c r="AO539" s="109"/>
      <c r="AP539" s="109"/>
      <c r="AQ539" s="109"/>
      <c r="AR539" s="109"/>
      <c r="AS539" s="109"/>
    </row>
    <row r="540" spans="1:45" ht="12.6" customHeight="1" x14ac:dyDescent="0.3">
      <c r="A540" s="78"/>
      <c r="B540" s="78"/>
      <c r="C540" s="78"/>
      <c r="D540" s="78"/>
      <c r="E540" s="78"/>
      <c r="F540" s="78"/>
      <c r="G540" s="16" t="s">
        <v>1317</v>
      </c>
      <c r="Z540" s="109"/>
      <c r="AA540" s="109"/>
      <c r="AB540" s="109"/>
      <c r="AC540" s="109"/>
      <c r="AD540" s="109"/>
      <c r="AE540" s="109"/>
      <c r="AF540" s="109"/>
      <c r="AG540" s="109"/>
      <c r="AH540" s="109"/>
      <c r="AI540" s="109"/>
      <c r="AJ540" s="109"/>
      <c r="AK540" s="109"/>
      <c r="AL540" s="109"/>
      <c r="AM540" s="109"/>
      <c r="AN540" s="109"/>
      <c r="AO540" s="109"/>
      <c r="AP540" s="109"/>
      <c r="AQ540" s="109"/>
      <c r="AR540" s="109"/>
      <c r="AS540" s="109"/>
    </row>
    <row r="541" spans="1:45" ht="12.6" customHeight="1" x14ac:dyDescent="0.3">
      <c r="A541" s="78"/>
      <c r="B541" s="78"/>
      <c r="C541" s="78"/>
      <c r="D541" s="78"/>
      <c r="E541" s="78"/>
      <c r="F541" s="78"/>
      <c r="G541" s="16" t="s">
        <v>1317</v>
      </c>
      <c r="Z541" s="109"/>
      <c r="AA541" s="109"/>
      <c r="AB541" s="109"/>
      <c r="AC541" s="109"/>
      <c r="AD541" s="109"/>
      <c r="AE541" s="109"/>
      <c r="AF541" s="109"/>
      <c r="AG541" s="109"/>
      <c r="AH541" s="109"/>
      <c r="AI541" s="109"/>
      <c r="AJ541" s="109"/>
      <c r="AK541" s="109"/>
      <c r="AL541" s="109"/>
      <c r="AM541" s="109"/>
      <c r="AN541" s="109"/>
      <c r="AO541" s="109"/>
      <c r="AP541" s="109"/>
      <c r="AQ541" s="109"/>
      <c r="AR541" s="109"/>
      <c r="AS541" s="109"/>
    </row>
    <row r="542" spans="1:45" ht="12.6" customHeight="1" x14ac:dyDescent="0.3">
      <c r="A542" s="68"/>
      <c r="B542" s="77" t="s">
        <v>1582</v>
      </c>
      <c r="C542" s="78"/>
      <c r="D542" s="78"/>
      <c r="E542" s="78"/>
      <c r="F542" s="78"/>
      <c r="G542" s="16" t="s">
        <v>1581</v>
      </c>
      <c r="Z542" s="109"/>
      <c r="AA542" s="109"/>
      <c r="AB542" s="109"/>
      <c r="AC542" s="109"/>
      <c r="AD542" s="109"/>
      <c r="AE542" s="109"/>
      <c r="AF542" s="109"/>
      <c r="AG542" s="109"/>
      <c r="AH542" s="109"/>
      <c r="AI542" s="109"/>
      <c r="AJ542" s="109"/>
      <c r="AK542" s="109"/>
      <c r="AL542" s="109"/>
      <c r="AM542" s="109"/>
      <c r="AN542" s="109"/>
      <c r="AO542" s="109"/>
      <c r="AP542" s="109"/>
      <c r="AQ542" s="109"/>
      <c r="AR542" s="109"/>
      <c r="AS542" s="109"/>
    </row>
    <row r="543" spans="1:45" ht="12.6" customHeight="1" x14ac:dyDescent="0.3">
      <c r="A543" s="78"/>
      <c r="B543" s="78"/>
      <c r="C543" s="78"/>
      <c r="D543" s="78"/>
      <c r="E543" s="78"/>
      <c r="F543" s="78"/>
      <c r="G543" s="16" t="s">
        <v>1317</v>
      </c>
      <c r="Z543" s="109"/>
      <c r="AA543" s="109"/>
      <c r="AB543" s="109"/>
      <c r="AC543" s="109"/>
      <c r="AD543" s="109"/>
      <c r="AE543" s="109"/>
      <c r="AF543" s="109"/>
      <c r="AG543" s="109"/>
      <c r="AH543" s="109"/>
      <c r="AI543" s="109"/>
      <c r="AJ543" s="109"/>
      <c r="AK543" s="109"/>
      <c r="AL543" s="109"/>
      <c r="AM543" s="109"/>
      <c r="AN543" s="109"/>
      <c r="AO543" s="109"/>
      <c r="AP543" s="109"/>
      <c r="AQ543" s="109"/>
      <c r="AR543" s="109"/>
      <c r="AS543" s="109"/>
    </row>
    <row r="544" spans="1:45" ht="12.6" customHeight="1" x14ac:dyDescent="0.3">
      <c r="A544" s="68"/>
      <c r="B544" s="77" t="s">
        <v>1584</v>
      </c>
      <c r="C544" s="78"/>
      <c r="D544" s="78"/>
      <c r="E544" s="78"/>
      <c r="F544" s="78"/>
      <c r="G544" s="16" t="s">
        <v>1583</v>
      </c>
      <c r="Z544" s="109"/>
      <c r="AA544" s="109"/>
      <c r="AB544" s="109"/>
      <c r="AC544" s="109"/>
      <c r="AD544" s="109"/>
      <c r="AE544" s="109"/>
      <c r="AF544" s="109"/>
      <c r="AG544" s="109"/>
      <c r="AH544" s="109"/>
      <c r="AI544" s="109"/>
      <c r="AJ544" s="109"/>
      <c r="AK544" s="109"/>
      <c r="AL544" s="109"/>
      <c r="AM544" s="109"/>
      <c r="AN544" s="109"/>
      <c r="AO544" s="109"/>
      <c r="AP544" s="109"/>
      <c r="AQ544" s="109"/>
      <c r="AR544" s="109"/>
      <c r="AS544" s="109"/>
    </row>
    <row r="545" spans="1:45" ht="12.6" customHeight="1" x14ac:dyDescent="0.3">
      <c r="A545" s="78"/>
      <c r="B545" s="78"/>
      <c r="C545" s="78"/>
      <c r="D545" s="78"/>
      <c r="E545" s="78"/>
      <c r="F545" s="78"/>
      <c r="G545" s="16" t="s">
        <v>1317</v>
      </c>
      <c r="Z545" s="109"/>
      <c r="AA545" s="109"/>
      <c r="AB545" s="109"/>
      <c r="AC545" s="109"/>
      <c r="AD545" s="109"/>
      <c r="AE545" s="109"/>
      <c r="AF545" s="109"/>
      <c r="AG545" s="109"/>
      <c r="AH545" s="109"/>
      <c r="AI545" s="109"/>
      <c r="AJ545" s="109"/>
      <c r="AK545" s="109"/>
      <c r="AL545" s="109"/>
      <c r="AM545" s="109"/>
      <c r="AN545" s="109"/>
      <c r="AO545" s="109"/>
      <c r="AP545" s="109"/>
      <c r="AQ545" s="109"/>
      <c r="AR545" s="109"/>
      <c r="AS545" s="109"/>
    </row>
    <row r="546" spans="1:45" ht="12.6" customHeight="1" x14ac:dyDescent="0.3">
      <c r="A546" s="68"/>
      <c r="B546" s="97" t="str">
        <f>" q (버킷용량)  = "&amp;Z546&amp;"/"&amp;AB546&amp;" = "&amp;AD546&amp;" m2  , f (체적환산계수)  = "&amp;AF546&amp;"  ,"</f>
        <v xml:space="preserve"> q (버킷용량)  = 2/11 = 0.18 m2  , f (체적환산계수)  = 1  ,</v>
      </c>
      <c r="C546" s="78"/>
      <c r="D546" s="78"/>
      <c r="E546" s="78"/>
      <c r="F546" s="78"/>
      <c r="G546" s="16" t="s">
        <v>1585</v>
      </c>
      <c r="Z546" s="111">
        <v>2</v>
      </c>
      <c r="AA546" s="20" t="s">
        <v>1387</v>
      </c>
      <c r="AB546" s="111">
        <v>11</v>
      </c>
      <c r="AC546" s="20" t="s">
        <v>1326</v>
      </c>
      <c r="AD546" s="112" t="str">
        <f>TEXT(ROUND(Z546/AB546,2),"0.00")</f>
        <v>0.18</v>
      </c>
      <c r="AE546" s="20" t="s">
        <v>1385</v>
      </c>
      <c r="AF546" s="111">
        <v>1</v>
      </c>
      <c r="AG546" s="20" t="s">
        <v>1326</v>
      </c>
      <c r="AH546" s="112">
        <f>AF546</f>
        <v>1</v>
      </c>
      <c r="AI546" s="20" t="s">
        <v>1385</v>
      </c>
      <c r="AJ546" s="20" t="s">
        <v>1385</v>
      </c>
      <c r="AK546" s="109"/>
      <c r="AL546" s="109"/>
      <c r="AM546" s="109"/>
      <c r="AN546" s="109"/>
      <c r="AO546" s="109"/>
      <c r="AP546" s="109"/>
      <c r="AQ546" s="109"/>
      <c r="AR546" s="109"/>
      <c r="AS546" s="109"/>
    </row>
    <row r="547" spans="1:45" ht="12.6" customHeight="1" x14ac:dyDescent="0.3">
      <c r="A547" s="78"/>
      <c r="B547" s="78"/>
      <c r="C547" s="78"/>
      <c r="D547" s="78"/>
      <c r="E547" s="78"/>
      <c r="F547" s="78"/>
      <c r="G547" s="16" t="s">
        <v>1317</v>
      </c>
      <c r="Z547" s="109"/>
      <c r="AA547" s="109"/>
      <c r="AB547" s="109"/>
      <c r="AC547" s="109"/>
      <c r="AD547" s="109"/>
      <c r="AE547" s="109"/>
      <c r="AF547" s="109"/>
      <c r="AG547" s="109"/>
      <c r="AH547" s="109"/>
      <c r="AI547" s="109"/>
      <c r="AJ547" s="109"/>
      <c r="AK547" s="109"/>
      <c r="AL547" s="109"/>
      <c r="AM547" s="109"/>
      <c r="AN547" s="109"/>
      <c r="AO547" s="109"/>
      <c r="AP547" s="109"/>
      <c r="AQ547" s="109"/>
      <c r="AR547" s="109"/>
      <c r="AS547" s="109"/>
    </row>
    <row r="548" spans="1:45" ht="12.6" customHeight="1" x14ac:dyDescent="0.3">
      <c r="A548" s="68"/>
      <c r="B548" s="97" t="str">
        <f>" K (버킷계수)  = "&amp;Z548&amp;""</f>
        <v xml:space="preserve"> K (버킷계수)  = 0.55</v>
      </c>
      <c r="C548" s="78"/>
      <c r="D548" s="78"/>
      <c r="E548" s="78"/>
      <c r="F548" s="78"/>
      <c r="G548" s="16" t="s">
        <v>1513</v>
      </c>
      <c r="Z548" s="110">
        <v>0.55000000000000004</v>
      </c>
      <c r="AA548" s="20" t="s">
        <v>1326</v>
      </c>
      <c r="AB548" s="112">
        <f>Z548</f>
        <v>0.55000000000000004</v>
      </c>
      <c r="AC548" s="109"/>
      <c r="AD548" s="109"/>
      <c r="AE548" s="109"/>
      <c r="AF548" s="109"/>
      <c r="AG548" s="109"/>
      <c r="AH548" s="109"/>
      <c r="AI548" s="109"/>
      <c r="AJ548" s="109"/>
      <c r="AK548" s="109"/>
      <c r="AL548" s="109"/>
      <c r="AM548" s="109"/>
      <c r="AN548" s="109"/>
      <c r="AO548" s="109"/>
      <c r="AP548" s="109"/>
      <c r="AQ548" s="109"/>
      <c r="AR548" s="109"/>
      <c r="AS548" s="109"/>
    </row>
    <row r="549" spans="1:45" ht="12.6" customHeight="1" x14ac:dyDescent="0.3">
      <c r="A549" s="78"/>
      <c r="B549" s="78"/>
      <c r="C549" s="78"/>
      <c r="D549" s="78"/>
      <c r="E549" s="78"/>
      <c r="F549" s="78"/>
      <c r="G549" s="16" t="s">
        <v>1317</v>
      </c>
      <c r="Z549" s="109"/>
      <c r="AA549" s="109"/>
      <c r="AB549" s="109"/>
      <c r="AC549" s="109"/>
      <c r="AD549" s="109"/>
      <c r="AE549" s="109"/>
      <c r="AF549" s="109"/>
      <c r="AG549" s="109"/>
      <c r="AH549" s="109"/>
      <c r="AI549" s="109"/>
      <c r="AJ549" s="109"/>
      <c r="AK549" s="109"/>
      <c r="AL549" s="109"/>
      <c r="AM549" s="109"/>
      <c r="AN549" s="109"/>
      <c r="AO549" s="109"/>
      <c r="AP549" s="109"/>
      <c r="AQ549" s="109"/>
      <c r="AR549" s="109"/>
      <c r="AS549" s="109"/>
    </row>
    <row r="550" spans="1:45" ht="12.6" customHeight="1" x14ac:dyDescent="0.3">
      <c r="A550" s="68"/>
      <c r="B550" s="97" t="str">
        <f>" Cm (1회ㅣ 사이클시간(초))  = "&amp;Z550&amp;" sec (135˚) , E (작업효율)  = "&amp;AD550&amp;""</f>
        <v xml:space="preserve"> Cm (1회ㅣ 사이클시간(초))  = 20 sec (135˚) , E (작업효율)  = 0.45</v>
      </c>
      <c r="C550" s="78"/>
      <c r="D550" s="78"/>
      <c r="E550" s="78"/>
      <c r="F550" s="78"/>
      <c r="G550" s="16" t="s">
        <v>1586</v>
      </c>
      <c r="Z550" s="111">
        <v>20</v>
      </c>
      <c r="AA550" s="20" t="s">
        <v>1326</v>
      </c>
      <c r="AB550" s="112">
        <f>Z550</f>
        <v>20</v>
      </c>
      <c r="AC550" s="20" t="s">
        <v>1385</v>
      </c>
      <c r="AD550" s="110">
        <v>0.45</v>
      </c>
      <c r="AE550" s="20" t="s">
        <v>1326</v>
      </c>
      <c r="AF550" s="112">
        <f>AD550</f>
        <v>0.45</v>
      </c>
      <c r="AG550" s="20" t="s">
        <v>1385</v>
      </c>
      <c r="AH550" s="109"/>
      <c r="AI550" s="109"/>
      <c r="AJ550" s="109"/>
      <c r="AK550" s="109"/>
      <c r="AL550" s="109"/>
      <c r="AM550" s="109"/>
      <c r="AN550" s="109"/>
      <c r="AO550" s="109"/>
      <c r="AP550" s="109"/>
      <c r="AQ550" s="109"/>
      <c r="AR550" s="109"/>
      <c r="AS550" s="109"/>
    </row>
    <row r="551" spans="1:45" ht="12.6" customHeight="1" x14ac:dyDescent="0.3">
      <c r="A551" s="78"/>
      <c r="B551" s="78"/>
      <c r="C551" s="78"/>
      <c r="D551" s="78"/>
      <c r="E551" s="78"/>
      <c r="F551" s="78"/>
      <c r="G551" s="16" t="s">
        <v>1317</v>
      </c>
      <c r="Z551" s="109"/>
      <c r="AA551" s="109"/>
      <c r="AB551" s="109"/>
      <c r="AC551" s="109"/>
      <c r="AD551" s="109"/>
      <c r="AE551" s="109"/>
      <c r="AF551" s="109"/>
      <c r="AG551" s="109"/>
      <c r="AH551" s="109"/>
      <c r="AI551" s="109"/>
      <c r="AJ551" s="109"/>
      <c r="AK551" s="109"/>
      <c r="AL551" s="109"/>
      <c r="AM551" s="109"/>
      <c r="AN551" s="109"/>
      <c r="AO551" s="109"/>
      <c r="AP551" s="109"/>
      <c r="AQ551" s="109"/>
      <c r="AR551" s="109"/>
      <c r="AS551" s="109"/>
    </row>
    <row r="552" spans="1:45" ht="12.6" customHeight="1" x14ac:dyDescent="0.3">
      <c r="A552" s="68"/>
      <c r="B552" s="97" t="str">
        <f>" Q (시간당작업량)  = "&amp;Z552&amp;"*q*K*f*E/Cm = "&amp;AL552&amp;" m2/hr "</f>
        <v xml:space="preserve"> Q (시간당작업량)  = 3600*q*K*f*E/Cm = 8.02 m2/hr </v>
      </c>
      <c r="C552" s="78"/>
      <c r="D552" s="78"/>
      <c r="E552" s="78"/>
      <c r="F552" s="78"/>
      <c r="G552" s="16" t="s">
        <v>1587</v>
      </c>
      <c r="Z552" s="111">
        <v>3600</v>
      </c>
      <c r="AA552" s="20" t="s">
        <v>1390</v>
      </c>
      <c r="AB552" s="112" t="str">
        <f>AD546</f>
        <v>0.18</v>
      </c>
      <c r="AC552" s="20" t="s">
        <v>1390</v>
      </c>
      <c r="AD552" s="112">
        <f>AB548</f>
        <v>0.55000000000000004</v>
      </c>
      <c r="AE552" s="20" t="s">
        <v>1390</v>
      </c>
      <c r="AF552" s="112">
        <f>AH546</f>
        <v>1</v>
      </c>
      <c r="AG552" s="20" t="s">
        <v>1390</v>
      </c>
      <c r="AH552" s="112">
        <f>AF550</f>
        <v>0.45</v>
      </c>
      <c r="AI552" s="20" t="s">
        <v>1387</v>
      </c>
      <c r="AJ552" s="112">
        <f>AB550</f>
        <v>20</v>
      </c>
      <c r="AK552" s="20" t="s">
        <v>1326</v>
      </c>
      <c r="AL552" s="112" t="str">
        <f>TEXT(ROUND(Z552*AD546*AB548*AH546*AF550/AB550,2),"0.00")</f>
        <v>8.02</v>
      </c>
      <c r="AM552" s="109"/>
      <c r="AN552" s="109"/>
      <c r="AO552" s="109"/>
      <c r="AP552" s="109"/>
      <c r="AQ552" s="109"/>
      <c r="AR552" s="109"/>
      <c r="AS552" s="109"/>
    </row>
    <row r="553" spans="1:45" ht="12.6" customHeight="1" x14ac:dyDescent="0.3">
      <c r="A553" s="78"/>
      <c r="B553" s="78"/>
      <c r="C553" s="78"/>
      <c r="D553" s="78"/>
      <c r="E553" s="78"/>
      <c r="F553" s="78"/>
      <c r="G553" s="16" t="s">
        <v>1317</v>
      </c>
      <c r="Z553" s="109"/>
      <c r="AA553" s="109"/>
      <c r="AB553" s="109"/>
      <c r="AC553" s="109"/>
      <c r="AD553" s="109"/>
      <c r="AE553" s="109"/>
      <c r="AF553" s="109"/>
      <c r="AG553" s="109"/>
      <c r="AH553" s="109"/>
      <c r="AI553" s="109"/>
      <c r="AJ553" s="109"/>
      <c r="AK553" s="109"/>
      <c r="AL553" s="109"/>
      <c r="AM553" s="109"/>
      <c r="AN553" s="109"/>
      <c r="AO553" s="109"/>
      <c r="AP553" s="109"/>
      <c r="AQ553" s="109"/>
      <c r="AR553" s="109"/>
      <c r="AS553" s="109"/>
    </row>
    <row r="554" spans="1:45" ht="12.6" customHeight="1" x14ac:dyDescent="0.3">
      <c r="A554" s="68" t="s">
        <v>1441</v>
      </c>
      <c r="B554" s="97" t="str">
        <f>" 노 무 비  : "&amp;TEXT(I554,"#,##0"&amp;IF(I554&lt;&gt;INT(I554),".###",""))&amp;" / Q = "&amp;TEXT(C554,"#,##0.0")&amp;""</f>
        <v xml:space="preserve"> 노 무 비  : 55,700 / Q = 6,945.1</v>
      </c>
      <c r="C554" s="99">
        <f>E554+D554+F554</f>
        <v>6945.1</v>
      </c>
      <c r="D554" s="99">
        <f>IF(H554=0,0,ROUNDDOWN(J554*H554,1))</f>
        <v>6945.1</v>
      </c>
      <c r="E554" s="99">
        <f>IF(H554=0,0,ROUNDDOWN(K554*H554,1))</f>
        <v>0</v>
      </c>
      <c r="F554" s="99">
        <f>IF(H554=0,0,ROUNDDOWN(L554*H554,1))</f>
        <v>0</v>
      </c>
      <c r="G554" s="16" t="s">
        <v>1588</v>
      </c>
      <c r="H554" s="105">
        <f>AC554</f>
        <v>0.12468827930174564</v>
      </c>
      <c r="I554" s="106">
        <f>K554+J554+L554</f>
        <v>55700</v>
      </c>
      <c r="J554" s="39">
        <f>중기목록표!F9</f>
        <v>55700</v>
      </c>
      <c r="M554" s="20" t="s">
        <v>1442</v>
      </c>
      <c r="N554" s="20" t="s">
        <v>1332</v>
      </c>
      <c r="X554" s="108" t="str">
        <f>중기목록표!B9&amp;" / "&amp;중기목록표!C9</f>
        <v>굴삭기(0.7m3) / 0.7㎥,(암석)</v>
      </c>
      <c r="Y554" s="19" t="str">
        <f ca="1">HYPERLINK("#"&amp;중기목록표!J2&amp;"!A"&amp;ROW(중기목록표!A9),"중기    6 →")</f>
        <v>중기    6 →</v>
      </c>
      <c r="Z554" s="20" t="s">
        <v>1393</v>
      </c>
      <c r="AA554" s="112" t="str">
        <f>AL552</f>
        <v>8.02</v>
      </c>
      <c r="AB554" s="20" t="s">
        <v>1326</v>
      </c>
      <c r="AC554" s="113">
        <f>1/AL552</f>
        <v>0.12468827930174564</v>
      </c>
      <c r="AD554" s="109"/>
      <c r="AE554" s="109"/>
      <c r="AF554" s="109"/>
      <c r="AG554" s="109"/>
      <c r="AH554" s="109"/>
      <c r="AI554" s="109"/>
      <c r="AJ554" s="109"/>
      <c r="AK554" s="109"/>
      <c r="AL554" s="109"/>
      <c r="AM554" s="109"/>
      <c r="AN554" s="109"/>
      <c r="AO554" s="109"/>
      <c r="AP554" s="109"/>
      <c r="AQ554" s="109"/>
      <c r="AR554" s="109"/>
      <c r="AS554" s="109"/>
    </row>
    <row r="555" spans="1:45" ht="12.6" customHeight="1" x14ac:dyDescent="0.3">
      <c r="A555" s="78"/>
      <c r="B555" s="78"/>
      <c r="C555" s="78"/>
      <c r="D555" s="78"/>
      <c r="E555" s="78"/>
      <c r="F555" s="78"/>
      <c r="G555" s="16" t="s">
        <v>1317</v>
      </c>
      <c r="Z555" s="109"/>
      <c r="AA555" s="109"/>
      <c r="AB555" s="109"/>
      <c r="AC555" s="109"/>
      <c r="AD555" s="109"/>
      <c r="AE555" s="109"/>
      <c r="AF555" s="109"/>
      <c r="AG555" s="109"/>
      <c r="AH555" s="109"/>
      <c r="AI555" s="109"/>
      <c r="AJ555" s="109"/>
      <c r="AK555" s="109"/>
      <c r="AL555" s="109"/>
      <c r="AM555" s="109"/>
      <c r="AN555" s="109"/>
      <c r="AO555" s="109"/>
      <c r="AP555" s="109"/>
      <c r="AQ555" s="109"/>
      <c r="AR555" s="109"/>
      <c r="AS555" s="109"/>
    </row>
    <row r="556" spans="1:45" ht="12.6" customHeight="1" x14ac:dyDescent="0.3">
      <c r="A556" s="68" t="s">
        <v>1444</v>
      </c>
      <c r="B556" s="97" t="str">
        <f>" 재 료 비  : "&amp;TEXT(I556,"#,##0"&amp;IF(I556&lt;&gt;INT(I556),".###",""))&amp;" / Q = "&amp;TEXT(C556,"#,##0.0")&amp;""</f>
        <v xml:space="preserve"> 재 료 비  : 18,001 / Q = 2,244.5</v>
      </c>
      <c r="C556" s="99">
        <f>E556+D556+F556</f>
        <v>2244.5</v>
      </c>
      <c r="D556" s="99">
        <f>IF(H556=0,0,ROUNDDOWN(J556*H556,1))</f>
        <v>0</v>
      </c>
      <c r="E556" s="99">
        <f>IF(H556=0,0,ROUNDDOWN(K556*H556,1))</f>
        <v>2244.5</v>
      </c>
      <c r="F556" s="99">
        <f>IF(H556=0,0,ROUNDDOWN(L556*H556,1))</f>
        <v>0</v>
      </c>
      <c r="G556" s="16" t="s">
        <v>1589</v>
      </c>
      <c r="H556" s="105">
        <f>AC556</f>
        <v>0.12468827930174564</v>
      </c>
      <c r="I556" s="106">
        <f>K556+J556+L556</f>
        <v>18001</v>
      </c>
      <c r="K556" s="39">
        <f>중기목록표!G9</f>
        <v>18001</v>
      </c>
      <c r="M556" s="20" t="s">
        <v>1442</v>
      </c>
      <c r="N556" s="20" t="s">
        <v>1332</v>
      </c>
      <c r="X556" s="108" t="str">
        <f>중기목록표!B9&amp;" / "&amp;중기목록표!C9</f>
        <v>굴삭기(0.7m3) / 0.7㎥,(암석)</v>
      </c>
      <c r="Y556" s="19" t="str">
        <f ca="1">HYPERLINK("#"&amp;중기목록표!J2&amp;"!A"&amp;ROW(중기목록표!A9),"중기    6 →")</f>
        <v>중기    6 →</v>
      </c>
      <c r="Z556" s="20" t="s">
        <v>1393</v>
      </c>
      <c r="AA556" s="112" t="str">
        <f>AL552</f>
        <v>8.02</v>
      </c>
      <c r="AB556" s="20" t="s">
        <v>1326</v>
      </c>
      <c r="AC556" s="113">
        <f>1/AL552</f>
        <v>0.12468827930174564</v>
      </c>
      <c r="AD556" s="109"/>
      <c r="AE556" s="109"/>
      <c r="AF556" s="109"/>
      <c r="AG556" s="109"/>
      <c r="AH556" s="109"/>
      <c r="AI556" s="109"/>
      <c r="AJ556" s="109"/>
      <c r="AK556" s="109"/>
      <c r="AL556" s="109"/>
      <c r="AM556" s="109"/>
      <c r="AN556" s="109"/>
      <c r="AO556" s="109"/>
      <c r="AP556" s="109"/>
      <c r="AQ556" s="109"/>
      <c r="AR556" s="109"/>
      <c r="AS556" s="109"/>
    </row>
    <row r="557" spans="1:45" ht="12.6" customHeight="1" x14ac:dyDescent="0.3">
      <c r="A557" s="78"/>
      <c r="B557" s="78"/>
      <c r="C557" s="78"/>
      <c r="D557" s="78"/>
      <c r="E557" s="78"/>
      <c r="F557" s="78"/>
      <c r="G557" s="16" t="s">
        <v>1317</v>
      </c>
      <c r="Z557" s="109"/>
      <c r="AA557" s="109"/>
      <c r="AB557" s="109"/>
      <c r="AC557" s="109"/>
      <c r="AD557" s="109"/>
      <c r="AE557" s="109"/>
      <c r="AF557" s="109"/>
      <c r="AG557" s="109"/>
      <c r="AH557" s="109"/>
      <c r="AI557" s="109"/>
      <c r="AJ557" s="109"/>
      <c r="AK557" s="109"/>
      <c r="AL557" s="109"/>
      <c r="AM557" s="109"/>
      <c r="AN557" s="109"/>
      <c r="AO557" s="109"/>
      <c r="AP557" s="109"/>
      <c r="AQ557" s="109"/>
      <c r="AR557" s="109"/>
      <c r="AS557" s="109"/>
    </row>
    <row r="558" spans="1:45" ht="12.6" customHeight="1" x14ac:dyDescent="0.3">
      <c r="A558" s="68" t="s">
        <v>1446</v>
      </c>
      <c r="B558" s="97" t="str">
        <f>" 경    비  : "&amp;TEXT(I558,"#,##0"&amp;IF(I558&lt;&gt;INT(I558),".###",""))&amp;" / Q = "&amp;TEXT(C558,"#,##0.0")&amp;""</f>
        <v xml:space="preserve"> 경    비  : 26,677 / Q = 3,326.3</v>
      </c>
      <c r="C558" s="99">
        <f>E558+D558+F558</f>
        <v>3326.3</v>
      </c>
      <c r="D558" s="99">
        <f>IF(H558=0,0,ROUNDDOWN(J558*H558,1))</f>
        <v>0</v>
      </c>
      <c r="E558" s="99">
        <f>IF(H558=0,0,ROUNDDOWN(K558*H558,1))</f>
        <v>0</v>
      </c>
      <c r="F558" s="99">
        <f>IF(H558=0,0,ROUNDDOWN(L558*H558,1))</f>
        <v>3326.3</v>
      </c>
      <c r="G558" s="16" t="s">
        <v>1590</v>
      </c>
      <c r="H558" s="105">
        <f>AC558</f>
        <v>0.12468827930174564</v>
      </c>
      <c r="I558" s="106">
        <f>K558+J558+L558</f>
        <v>26677</v>
      </c>
      <c r="L558" s="39">
        <f>중기목록표!H9</f>
        <v>26677</v>
      </c>
      <c r="M558" s="20" t="s">
        <v>1442</v>
      </c>
      <c r="N558" s="20" t="s">
        <v>1332</v>
      </c>
      <c r="X558" s="108" t="str">
        <f>중기목록표!B9&amp;" / "&amp;중기목록표!C9</f>
        <v>굴삭기(0.7m3) / 0.7㎥,(암석)</v>
      </c>
      <c r="Y558" s="19" t="str">
        <f ca="1">HYPERLINK("#"&amp;중기목록표!J2&amp;"!A"&amp;ROW(중기목록표!A9),"중기    6 →")</f>
        <v>중기    6 →</v>
      </c>
      <c r="Z558" s="20" t="s">
        <v>1393</v>
      </c>
      <c r="AA558" s="112" t="str">
        <f>AL552</f>
        <v>8.02</v>
      </c>
      <c r="AB558" s="20" t="s">
        <v>1326</v>
      </c>
      <c r="AC558" s="113">
        <f>1/AL552</f>
        <v>0.12468827930174564</v>
      </c>
      <c r="AD558" s="109"/>
      <c r="AE558" s="109"/>
      <c r="AF558" s="109"/>
      <c r="AG558" s="109"/>
      <c r="AH558" s="109"/>
      <c r="AI558" s="109"/>
      <c r="AJ558" s="109"/>
      <c r="AK558" s="109"/>
      <c r="AL558" s="109"/>
      <c r="AM558" s="109"/>
      <c r="AN558" s="109"/>
      <c r="AO558" s="109"/>
      <c r="AP558" s="109"/>
      <c r="AQ558" s="109"/>
      <c r="AR558" s="109"/>
      <c r="AS558" s="109"/>
    </row>
    <row r="559" spans="1:45" ht="12.6" customHeight="1" x14ac:dyDescent="0.3">
      <c r="A559" s="78"/>
      <c r="B559" s="78"/>
      <c r="C559" s="78"/>
      <c r="D559" s="78"/>
      <c r="E559" s="78"/>
      <c r="F559" s="78"/>
      <c r="G559" s="16" t="s">
        <v>1317</v>
      </c>
      <c r="Z559" s="109"/>
      <c r="AA559" s="109"/>
      <c r="AB559" s="109"/>
      <c r="AC559" s="109"/>
      <c r="AD559" s="109"/>
      <c r="AE559" s="109"/>
      <c r="AF559" s="109"/>
      <c r="AG559" s="109"/>
      <c r="AH559" s="109"/>
      <c r="AI559" s="109"/>
      <c r="AJ559" s="109"/>
      <c r="AK559" s="109"/>
      <c r="AL559" s="109"/>
      <c r="AM559" s="109"/>
      <c r="AN559" s="109"/>
      <c r="AO559" s="109"/>
      <c r="AP559" s="109"/>
      <c r="AQ559" s="109"/>
      <c r="AR559" s="109"/>
      <c r="AS559" s="109"/>
    </row>
    <row r="560" spans="1:45" ht="12.6" customHeight="1" x14ac:dyDescent="0.3">
      <c r="A560" s="68"/>
      <c r="B560" s="77" t="s">
        <v>1331</v>
      </c>
      <c r="C560" s="100">
        <f>E560+D560+F560</f>
        <v>12515.900000000001</v>
      </c>
      <c r="D560" s="100">
        <f>SUMIF(N532:N559,M560,D532:D559)</f>
        <v>6945.1</v>
      </c>
      <c r="E560" s="100">
        <f>SUMIF(N532:N559,M560,E532:E559)</f>
        <v>2244.5</v>
      </c>
      <c r="F560" s="100">
        <f>SUMIF(N532:N559,M560,F532:F559)</f>
        <v>3326.3</v>
      </c>
      <c r="G560" s="16" t="s">
        <v>1415</v>
      </c>
      <c r="M560" s="20" t="s">
        <v>1332</v>
      </c>
      <c r="N560" s="20" t="s">
        <v>1341</v>
      </c>
      <c r="Z560" s="109"/>
      <c r="AA560" s="109"/>
      <c r="AB560" s="109"/>
      <c r="AC560" s="109"/>
      <c r="AD560" s="109"/>
      <c r="AE560" s="109"/>
      <c r="AF560" s="109"/>
      <c r="AG560" s="109"/>
      <c r="AH560" s="109"/>
      <c r="AI560" s="109"/>
      <c r="AJ560" s="109"/>
      <c r="AK560" s="109"/>
      <c r="AL560" s="109"/>
      <c r="AM560" s="109"/>
      <c r="AN560" s="109"/>
      <c r="AO560" s="109"/>
      <c r="AP560" s="109"/>
      <c r="AQ560" s="109"/>
      <c r="AR560" s="109"/>
      <c r="AS560" s="109"/>
    </row>
    <row r="561" spans="1:45" ht="12.6" customHeight="1" x14ac:dyDescent="0.3">
      <c r="A561" s="78"/>
      <c r="B561" s="78"/>
      <c r="C561" s="98"/>
      <c r="D561" s="98"/>
      <c r="E561" s="98"/>
      <c r="F561" s="98"/>
      <c r="G561" s="16" t="s">
        <v>1317</v>
      </c>
      <c r="Z561" s="109"/>
      <c r="AA561" s="109"/>
      <c r="AB561" s="109"/>
      <c r="AC561" s="109"/>
      <c r="AD561" s="109"/>
      <c r="AE561" s="109"/>
      <c r="AF561" s="109"/>
      <c r="AG561" s="109"/>
      <c r="AH561" s="109"/>
      <c r="AI561" s="109"/>
      <c r="AJ561" s="109"/>
      <c r="AK561" s="109"/>
      <c r="AL561" s="109"/>
      <c r="AM561" s="109"/>
      <c r="AN561" s="109"/>
      <c r="AO561" s="109"/>
      <c r="AP561" s="109"/>
      <c r="AQ561" s="109"/>
      <c r="AR561" s="109"/>
      <c r="AS561" s="109"/>
    </row>
    <row r="562" spans="1:45" ht="12.6" customHeight="1" x14ac:dyDescent="0.3">
      <c r="A562" s="68"/>
      <c r="B562" s="77" t="s">
        <v>1340</v>
      </c>
      <c r="C562" s="100">
        <f>E562+D562+F562</f>
        <v>12515.900000000001</v>
      </c>
      <c r="D562" s="100">
        <f>SUMIF(N532:N561,M562,D532:D561)</f>
        <v>6945.1</v>
      </c>
      <c r="E562" s="100">
        <f>SUMIF(N532:N561,M562,E532:E561)</f>
        <v>2244.5</v>
      </c>
      <c r="F562" s="100">
        <f>SUMIF(N532:N561,M562,F532:F561)</f>
        <v>3326.3</v>
      </c>
      <c r="G562" s="16" t="s">
        <v>1380</v>
      </c>
      <c r="M562" s="20" t="s">
        <v>1341</v>
      </c>
      <c r="N562" s="20" t="s">
        <v>1128</v>
      </c>
      <c r="Z562" s="109"/>
      <c r="AA562" s="109"/>
      <c r="AB562" s="109"/>
      <c r="AC562" s="109"/>
      <c r="AD562" s="109"/>
      <c r="AE562" s="109"/>
      <c r="AF562" s="109"/>
      <c r="AG562" s="109"/>
      <c r="AH562" s="109"/>
      <c r="AI562" s="109"/>
      <c r="AJ562" s="109"/>
      <c r="AK562" s="109"/>
      <c r="AL562" s="109"/>
      <c r="AM562" s="109"/>
      <c r="AN562" s="109"/>
      <c r="AO562" s="109"/>
      <c r="AP562" s="109"/>
      <c r="AQ562" s="109"/>
      <c r="AR562" s="109"/>
      <c r="AS562" s="109"/>
    </row>
    <row r="563" spans="1:45" ht="12.6" customHeight="1" x14ac:dyDescent="0.3">
      <c r="A563" s="78"/>
      <c r="B563" s="78"/>
      <c r="C563" s="98"/>
      <c r="D563" s="98"/>
      <c r="E563" s="98"/>
      <c r="F563" s="98"/>
      <c r="G563" s="16" t="s">
        <v>1317</v>
      </c>
      <c r="Z563" s="109"/>
      <c r="AA563" s="109"/>
      <c r="AB563" s="109"/>
      <c r="AC563" s="109"/>
      <c r="AD563" s="109"/>
      <c r="AE563" s="109"/>
      <c r="AF563" s="109"/>
      <c r="AG563" s="109"/>
      <c r="AH563" s="109"/>
      <c r="AI563" s="109"/>
      <c r="AJ563" s="109"/>
      <c r="AK563" s="109"/>
      <c r="AL563" s="109"/>
      <c r="AM563" s="109"/>
      <c r="AN563" s="109"/>
      <c r="AO563" s="109"/>
      <c r="AP563" s="109"/>
      <c r="AQ563" s="109"/>
      <c r="AR563" s="109"/>
      <c r="AS563" s="109"/>
    </row>
    <row r="564" spans="1:45" ht="12.6" customHeight="1" x14ac:dyDescent="0.3">
      <c r="A564" s="78"/>
      <c r="B564" s="78"/>
      <c r="C564" s="78"/>
      <c r="D564" s="78"/>
      <c r="E564" s="78"/>
      <c r="F564" s="78"/>
      <c r="G564" s="16" t="s">
        <v>1317</v>
      </c>
      <c r="Z564" s="109"/>
      <c r="AA564" s="109"/>
      <c r="AB564" s="109"/>
      <c r="AC564" s="109"/>
      <c r="AD564" s="109"/>
      <c r="AE564" s="109"/>
      <c r="AF564" s="109"/>
      <c r="AG564" s="109"/>
      <c r="AH564" s="109"/>
      <c r="AI564" s="109"/>
      <c r="AJ564" s="109"/>
      <c r="AK564" s="109"/>
      <c r="AL564" s="109"/>
      <c r="AM564" s="109"/>
      <c r="AN564" s="109"/>
      <c r="AO564" s="109"/>
      <c r="AP564" s="109"/>
      <c r="AQ564" s="109"/>
      <c r="AR564" s="109"/>
      <c r="AS564" s="109"/>
    </row>
    <row r="565" spans="1:45" ht="12.6" customHeight="1" x14ac:dyDescent="0.3">
      <c r="A565" s="78"/>
      <c r="B565" s="78"/>
      <c r="C565" s="78"/>
      <c r="D565" s="78"/>
      <c r="E565" s="78"/>
      <c r="F565" s="78"/>
      <c r="G565" s="16" t="s">
        <v>1317</v>
      </c>
      <c r="Z565" s="109"/>
      <c r="AA565" s="109"/>
      <c r="AB565" s="109"/>
      <c r="AC565" s="109"/>
      <c r="AD565" s="109"/>
      <c r="AE565" s="109"/>
      <c r="AF565" s="109"/>
      <c r="AG565" s="109"/>
      <c r="AH565" s="109"/>
      <c r="AI565" s="109"/>
      <c r="AJ565" s="109"/>
      <c r="AK565" s="109"/>
      <c r="AL565" s="109"/>
      <c r="AM565" s="109"/>
      <c r="AN565" s="109"/>
      <c r="AO565" s="109"/>
      <c r="AP565" s="109"/>
      <c r="AQ565" s="109"/>
      <c r="AR565" s="109"/>
      <c r="AS565" s="109"/>
    </row>
    <row r="566" spans="1:45" ht="12.6" customHeight="1" x14ac:dyDescent="0.3">
      <c r="A566" s="68"/>
      <c r="B566" s="77" t="s">
        <v>1592</v>
      </c>
      <c r="C566" s="78"/>
      <c r="D566" s="78"/>
      <c r="E566" s="78"/>
      <c r="F566" s="78"/>
      <c r="G566" s="16" t="s">
        <v>1591</v>
      </c>
      <c r="Z566" s="109"/>
      <c r="AA566" s="109"/>
      <c r="AB566" s="109"/>
      <c r="AC566" s="109"/>
      <c r="AD566" s="109"/>
      <c r="AE566" s="109"/>
      <c r="AF566" s="109"/>
      <c r="AG566" s="109"/>
      <c r="AH566" s="109"/>
      <c r="AI566" s="109"/>
      <c r="AJ566" s="109"/>
      <c r="AK566" s="109"/>
      <c r="AL566" s="109"/>
      <c r="AM566" s="109"/>
      <c r="AN566" s="109"/>
      <c r="AO566" s="109"/>
      <c r="AP566" s="109"/>
      <c r="AQ566" s="109"/>
      <c r="AR566" s="109"/>
      <c r="AS566" s="109"/>
    </row>
    <row r="567" spans="1:45" ht="12.6" customHeight="1" x14ac:dyDescent="0.3">
      <c r="A567" s="78"/>
      <c r="B567" s="78"/>
      <c r="C567" s="78"/>
      <c r="D567" s="78"/>
      <c r="E567" s="78"/>
      <c r="F567" s="78"/>
      <c r="G567" s="16" t="s">
        <v>1317</v>
      </c>
      <c r="Z567" s="109"/>
      <c r="AA567" s="109"/>
      <c r="AB567" s="109"/>
      <c r="AC567" s="109"/>
      <c r="AD567" s="109"/>
      <c r="AE567" s="109"/>
      <c r="AF567" s="109"/>
      <c r="AG567" s="109"/>
      <c r="AH567" s="109"/>
      <c r="AI567" s="109"/>
      <c r="AJ567" s="109"/>
      <c r="AK567" s="109"/>
      <c r="AL567" s="109"/>
      <c r="AM567" s="109"/>
      <c r="AN567" s="109"/>
      <c r="AO567" s="109"/>
      <c r="AP567" s="109"/>
      <c r="AQ567" s="109"/>
      <c r="AR567" s="109"/>
      <c r="AS567" s="109"/>
    </row>
    <row r="568" spans="1:45" ht="12.6" customHeight="1" x14ac:dyDescent="0.3">
      <c r="A568" s="68"/>
      <c r="B568" s="97" t="str">
        <f>" q (버킷용량)  = "&amp;Z568&amp;"/"&amp;AB568&amp;" = "&amp;AD568&amp;" m2  , f (체적환산계수)  = "&amp;AF568&amp;""</f>
        <v xml:space="preserve"> q (버킷용량)  = 2/11 = 0.18 m2  , f (체적환산계수)  = 1</v>
      </c>
      <c r="C568" s="78"/>
      <c r="D568" s="78"/>
      <c r="E568" s="78"/>
      <c r="F568" s="78"/>
      <c r="G568" s="16" t="s">
        <v>1593</v>
      </c>
      <c r="Z568" s="111">
        <v>2</v>
      </c>
      <c r="AA568" s="20" t="s">
        <v>1387</v>
      </c>
      <c r="AB568" s="111">
        <v>11</v>
      </c>
      <c r="AC568" s="20" t="s">
        <v>1326</v>
      </c>
      <c r="AD568" s="112" t="str">
        <f>TEXT(ROUND(Z568/AB568,2),"0.00")</f>
        <v>0.18</v>
      </c>
      <c r="AE568" s="20" t="s">
        <v>1385</v>
      </c>
      <c r="AF568" s="111">
        <v>1</v>
      </c>
      <c r="AG568" s="20" t="s">
        <v>1326</v>
      </c>
      <c r="AH568" s="112">
        <f>AF568</f>
        <v>1</v>
      </c>
      <c r="AI568" s="20" t="s">
        <v>1385</v>
      </c>
      <c r="AJ568" s="109"/>
      <c r="AK568" s="109"/>
      <c r="AL568" s="109"/>
      <c r="AM568" s="109"/>
      <c r="AN568" s="109"/>
      <c r="AO568" s="109"/>
      <c r="AP568" s="109"/>
      <c r="AQ568" s="109"/>
      <c r="AR568" s="109"/>
      <c r="AS568" s="109"/>
    </row>
    <row r="569" spans="1:45" ht="12.6" customHeight="1" x14ac:dyDescent="0.3">
      <c r="A569" s="78"/>
      <c r="B569" s="78"/>
      <c r="C569" s="78"/>
      <c r="D569" s="78"/>
      <c r="E569" s="78"/>
      <c r="F569" s="78"/>
      <c r="G569" s="16" t="s">
        <v>1317</v>
      </c>
      <c r="Z569" s="109"/>
      <c r="AA569" s="109"/>
      <c r="AB569" s="109"/>
      <c r="AC569" s="109"/>
      <c r="AD569" s="109"/>
      <c r="AE569" s="109"/>
      <c r="AF569" s="109"/>
      <c r="AG569" s="109"/>
      <c r="AH569" s="109"/>
      <c r="AI569" s="109"/>
      <c r="AJ569" s="109"/>
      <c r="AK569" s="109"/>
      <c r="AL569" s="109"/>
      <c r="AM569" s="109"/>
      <c r="AN569" s="109"/>
      <c r="AO569" s="109"/>
      <c r="AP569" s="109"/>
      <c r="AQ569" s="109"/>
      <c r="AR569" s="109"/>
      <c r="AS569" s="109"/>
    </row>
    <row r="570" spans="1:45" ht="12.6" customHeight="1" x14ac:dyDescent="0.3">
      <c r="A570" s="68"/>
      <c r="B570" s="97" t="str">
        <f>" K  (버킷계수) = "&amp;Z570&amp;""</f>
        <v xml:space="preserve"> K  (버킷계수) = 0.7</v>
      </c>
      <c r="C570" s="78"/>
      <c r="D570" s="78"/>
      <c r="E570" s="78"/>
      <c r="F570" s="78"/>
      <c r="G570" s="16" t="s">
        <v>1594</v>
      </c>
      <c r="Z570" s="110">
        <v>0.7</v>
      </c>
      <c r="AA570" s="20" t="s">
        <v>1326</v>
      </c>
      <c r="AB570" s="112">
        <f>Z570</f>
        <v>0.7</v>
      </c>
      <c r="AC570" s="109"/>
      <c r="AD570" s="109"/>
      <c r="AE570" s="109"/>
      <c r="AF570" s="109"/>
      <c r="AG570" s="109"/>
      <c r="AH570" s="109"/>
      <c r="AI570" s="109"/>
      <c r="AJ570" s="109"/>
      <c r="AK570" s="109"/>
      <c r="AL570" s="109"/>
      <c r="AM570" s="109"/>
      <c r="AN570" s="109"/>
      <c r="AO570" s="109"/>
      <c r="AP570" s="109"/>
      <c r="AQ570" s="109"/>
      <c r="AR570" s="109"/>
      <c r="AS570" s="109"/>
    </row>
    <row r="571" spans="1:45" ht="12.6" customHeight="1" x14ac:dyDescent="0.3">
      <c r="A571" s="78"/>
      <c r="B571" s="78"/>
      <c r="C571" s="78"/>
      <c r="D571" s="78"/>
      <c r="E571" s="78"/>
      <c r="F571" s="78"/>
      <c r="G571" s="16" t="s">
        <v>1317</v>
      </c>
      <c r="Z571" s="109"/>
      <c r="AA571" s="109"/>
      <c r="AB571" s="109"/>
      <c r="AC571" s="109"/>
      <c r="AD571" s="109"/>
      <c r="AE571" s="109"/>
      <c r="AF571" s="109"/>
      <c r="AG571" s="109"/>
      <c r="AH571" s="109"/>
      <c r="AI571" s="109"/>
      <c r="AJ571" s="109"/>
      <c r="AK571" s="109"/>
      <c r="AL571" s="109"/>
      <c r="AM571" s="109"/>
      <c r="AN571" s="109"/>
      <c r="AO571" s="109"/>
      <c r="AP571" s="109"/>
      <c r="AQ571" s="109"/>
      <c r="AR571" s="109"/>
      <c r="AS571" s="109"/>
    </row>
    <row r="572" spans="1:45" ht="12.6" customHeight="1" x14ac:dyDescent="0.3">
      <c r="A572" s="68"/>
      <c r="B572" s="97" t="str">
        <f>" Cm1 (1회ㅣ 사이클시간(초))  = "&amp;Z572&amp;" sec (135˚) "</f>
        <v xml:space="preserve"> Cm1 (1회ㅣ 사이클시간(초))  = 20 sec (135˚) </v>
      </c>
      <c r="C572" s="78"/>
      <c r="D572" s="78"/>
      <c r="E572" s="78"/>
      <c r="F572" s="78"/>
      <c r="G572" s="16" t="s">
        <v>1595</v>
      </c>
      <c r="Z572" s="111">
        <v>20</v>
      </c>
      <c r="AA572" s="20" t="s">
        <v>1326</v>
      </c>
      <c r="AB572" s="112">
        <f>Z572</f>
        <v>20</v>
      </c>
      <c r="AC572" s="109"/>
      <c r="AD572" s="109"/>
      <c r="AE572" s="109"/>
      <c r="AF572" s="109"/>
      <c r="AG572" s="109"/>
      <c r="AH572" s="109"/>
      <c r="AI572" s="109"/>
      <c r="AJ572" s="109"/>
      <c r="AK572" s="109"/>
      <c r="AL572" s="109"/>
      <c r="AM572" s="109"/>
      <c r="AN572" s="109"/>
      <c r="AO572" s="109"/>
      <c r="AP572" s="109"/>
      <c r="AQ572" s="109"/>
      <c r="AR572" s="109"/>
      <c r="AS572" s="109"/>
    </row>
    <row r="573" spans="1:45" ht="12.6" customHeight="1" x14ac:dyDescent="0.3">
      <c r="A573" s="78"/>
      <c r="B573" s="78"/>
      <c r="C573" s="78"/>
      <c r="D573" s="78"/>
      <c r="E573" s="78"/>
      <c r="F573" s="78"/>
      <c r="G573" s="16" t="s">
        <v>1317</v>
      </c>
      <c r="Z573" s="109"/>
      <c r="AA573" s="109"/>
      <c r="AB573" s="109"/>
      <c r="AC573" s="109"/>
      <c r="AD573" s="109"/>
      <c r="AE573" s="109"/>
      <c r="AF573" s="109"/>
      <c r="AG573" s="109"/>
      <c r="AH573" s="109"/>
      <c r="AI573" s="109"/>
      <c r="AJ573" s="109"/>
      <c r="AK573" s="109"/>
      <c r="AL573" s="109"/>
      <c r="AM573" s="109"/>
      <c r="AN573" s="109"/>
      <c r="AO573" s="109"/>
      <c r="AP573" s="109"/>
      <c r="AQ573" s="109"/>
      <c r="AR573" s="109"/>
      <c r="AS573" s="109"/>
    </row>
    <row r="574" spans="1:45" ht="12.6" customHeight="1" x14ac:dyDescent="0.3">
      <c r="A574" s="68"/>
      <c r="B574" s="97" t="str">
        <f>" E1 (작업효율)  = "&amp;Z574&amp;""</f>
        <v xml:space="preserve"> E1 (작업효율)  = 0.45</v>
      </c>
      <c r="C574" s="78"/>
      <c r="D574" s="78"/>
      <c r="E574" s="78"/>
      <c r="F574" s="78"/>
      <c r="G574" s="16" t="s">
        <v>1596</v>
      </c>
      <c r="Z574" s="110">
        <v>0.45</v>
      </c>
      <c r="AA574" s="20" t="s">
        <v>1326</v>
      </c>
      <c r="AB574" s="112">
        <f>Z574</f>
        <v>0.45</v>
      </c>
      <c r="AC574" s="109"/>
      <c r="AD574" s="109"/>
      <c r="AE574" s="109"/>
      <c r="AF574" s="109"/>
      <c r="AG574" s="109"/>
      <c r="AH574" s="109"/>
      <c r="AI574" s="109"/>
      <c r="AJ574" s="109"/>
      <c r="AK574" s="109"/>
      <c r="AL574" s="109"/>
      <c r="AM574" s="109"/>
      <c r="AN574" s="109"/>
      <c r="AO574" s="109"/>
      <c r="AP574" s="109"/>
      <c r="AQ574" s="109"/>
      <c r="AR574" s="109"/>
      <c r="AS574" s="109"/>
    </row>
    <row r="575" spans="1:45" ht="12.6" customHeight="1" x14ac:dyDescent="0.3">
      <c r="A575" s="78"/>
      <c r="B575" s="78"/>
      <c r="C575" s="78"/>
      <c r="D575" s="78"/>
      <c r="E575" s="78"/>
      <c r="F575" s="78"/>
      <c r="G575" s="16" t="s">
        <v>1317</v>
      </c>
      <c r="Z575" s="109"/>
      <c r="AA575" s="109"/>
      <c r="AB575" s="109"/>
      <c r="AC575" s="109"/>
      <c r="AD575" s="109"/>
      <c r="AE575" s="109"/>
      <c r="AF575" s="109"/>
      <c r="AG575" s="109"/>
      <c r="AH575" s="109"/>
      <c r="AI575" s="109"/>
      <c r="AJ575" s="109"/>
      <c r="AK575" s="109"/>
      <c r="AL575" s="109"/>
      <c r="AM575" s="109"/>
      <c r="AN575" s="109"/>
      <c r="AO575" s="109"/>
      <c r="AP575" s="109"/>
      <c r="AQ575" s="109"/>
      <c r="AR575" s="109"/>
      <c r="AS575" s="109"/>
    </row>
    <row r="576" spans="1:45" ht="12.6" customHeight="1" x14ac:dyDescent="0.3">
      <c r="A576" s="68"/>
      <c r="B576" s="97" t="str">
        <f>" Q (시간당작업량)  = "&amp;Z576&amp;"*q*K*f*E1/Cm1 = "&amp;AL576&amp;" m2/hr "</f>
        <v xml:space="preserve"> Q (시간당작업량)  = 3600*q*K*f*E1/Cm1 = 10.21 m2/hr </v>
      </c>
      <c r="C576" s="78"/>
      <c r="D576" s="78"/>
      <c r="E576" s="78"/>
      <c r="F576" s="78"/>
      <c r="G576" s="16" t="s">
        <v>1597</v>
      </c>
      <c r="Z576" s="111">
        <v>3600</v>
      </c>
      <c r="AA576" s="20" t="s">
        <v>1390</v>
      </c>
      <c r="AB576" s="112" t="str">
        <f>AD568</f>
        <v>0.18</v>
      </c>
      <c r="AC576" s="20" t="s">
        <v>1390</v>
      </c>
      <c r="AD576" s="112">
        <f>AB570</f>
        <v>0.7</v>
      </c>
      <c r="AE576" s="20" t="s">
        <v>1390</v>
      </c>
      <c r="AF576" s="112">
        <f>AH568</f>
        <v>1</v>
      </c>
      <c r="AG576" s="20" t="s">
        <v>1390</v>
      </c>
      <c r="AH576" s="112">
        <f>AB574</f>
        <v>0.45</v>
      </c>
      <c r="AI576" s="20" t="s">
        <v>1387</v>
      </c>
      <c r="AJ576" s="112">
        <f>AB572</f>
        <v>20</v>
      </c>
      <c r="AK576" s="20" t="s">
        <v>1326</v>
      </c>
      <c r="AL576" s="112" t="str">
        <f>TEXT(ROUND(Z576*AD568*AB570*AH568*AB574/AB572,2),"0.00")</f>
        <v>10.21</v>
      </c>
      <c r="AM576" s="109"/>
      <c r="AN576" s="109"/>
      <c r="AO576" s="109"/>
      <c r="AP576" s="109"/>
      <c r="AQ576" s="109"/>
      <c r="AR576" s="109"/>
      <c r="AS576" s="109"/>
    </row>
    <row r="577" spans="1:45" ht="12.6" customHeight="1" x14ac:dyDescent="0.3">
      <c r="A577" s="78"/>
      <c r="B577" s="78"/>
      <c r="C577" s="78"/>
      <c r="D577" s="78"/>
      <c r="E577" s="78"/>
      <c r="F577" s="78"/>
      <c r="G577" s="16" t="s">
        <v>1317</v>
      </c>
      <c r="Z577" s="109"/>
      <c r="AA577" s="109"/>
      <c r="AB577" s="109"/>
      <c r="AC577" s="109"/>
      <c r="AD577" s="109"/>
      <c r="AE577" s="109"/>
      <c r="AF577" s="109"/>
      <c r="AG577" s="109"/>
      <c r="AH577" s="109"/>
      <c r="AI577" s="109"/>
      <c r="AJ577" s="109"/>
      <c r="AK577" s="109"/>
      <c r="AL577" s="109"/>
      <c r="AM577" s="109"/>
      <c r="AN577" s="109"/>
      <c r="AO577" s="109"/>
      <c r="AP577" s="109"/>
      <c r="AQ577" s="109"/>
      <c r="AR577" s="109"/>
      <c r="AS577" s="109"/>
    </row>
    <row r="578" spans="1:45" ht="12.6" customHeight="1" x14ac:dyDescent="0.3">
      <c r="A578" s="68" t="s">
        <v>1441</v>
      </c>
      <c r="B578" s="97" t="str">
        <f>" 노 무 비  : "&amp;TEXT(I578,"#,##0"&amp;IF(I578&lt;&gt;INT(I578),".###",""))&amp;" / Q  = "&amp;TEXT(C578,"#,##0.0")&amp;""</f>
        <v xml:space="preserve"> 노 무 비  : 55,700 / Q  = 5,455.4</v>
      </c>
      <c r="C578" s="99">
        <f>E578+D578+F578</f>
        <v>5455.4</v>
      </c>
      <c r="D578" s="99">
        <f>IF(H578=0,0,ROUNDDOWN(J578*H578,1))</f>
        <v>5455.4</v>
      </c>
      <c r="E578" s="99">
        <f>IF(H578=0,0,ROUNDDOWN(K578*H578,1))</f>
        <v>0</v>
      </c>
      <c r="F578" s="99">
        <f>IF(H578=0,0,ROUNDDOWN(L578*H578,1))</f>
        <v>0</v>
      </c>
      <c r="G578" s="16" t="s">
        <v>1598</v>
      </c>
      <c r="H578" s="105">
        <f>AC578</f>
        <v>9.7943192948090105E-2</v>
      </c>
      <c r="I578" s="106">
        <f>K578+J578+L578</f>
        <v>55700</v>
      </c>
      <c r="J578" s="39">
        <f>중기목록표!F9</f>
        <v>55700</v>
      </c>
      <c r="M578" s="20" t="s">
        <v>1442</v>
      </c>
      <c r="N578" s="20" t="s">
        <v>1332</v>
      </c>
      <c r="X578" s="108" t="str">
        <f>중기목록표!B9&amp;" / "&amp;중기목록표!C9</f>
        <v>굴삭기(0.7m3) / 0.7㎥,(암석)</v>
      </c>
      <c r="Y578" s="19" t="str">
        <f ca="1">HYPERLINK("#"&amp;중기목록표!J2&amp;"!A"&amp;ROW(중기목록표!A9),"중기    6 →")</f>
        <v>중기    6 →</v>
      </c>
      <c r="Z578" s="20" t="s">
        <v>1393</v>
      </c>
      <c r="AA578" s="112" t="str">
        <f>AL576</f>
        <v>10.21</v>
      </c>
      <c r="AB578" s="20" t="s">
        <v>1326</v>
      </c>
      <c r="AC578" s="113">
        <f>1/AL576</f>
        <v>9.7943192948090105E-2</v>
      </c>
      <c r="AD578" s="109"/>
      <c r="AE578" s="109"/>
      <c r="AF578" s="109"/>
      <c r="AG578" s="109"/>
      <c r="AH578" s="109"/>
      <c r="AI578" s="109"/>
      <c r="AJ578" s="109"/>
      <c r="AK578" s="109"/>
      <c r="AL578" s="109"/>
      <c r="AM578" s="109"/>
      <c r="AN578" s="109"/>
      <c r="AO578" s="109"/>
      <c r="AP578" s="109"/>
      <c r="AQ578" s="109"/>
      <c r="AR578" s="109"/>
      <c r="AS578" s="109"/>
    </row>
    <row r="579" spans="1:45" ht="12.6" customHeight="1" x14ac:dyDescent="0.3">
      <c r="A579" s="78"/>
      <c r="B579" s="78"/>
      <c r="C579" s="78"/>
      <c r="D579" s="78"/>
      <c r="E579" s="78"/>
      <c r="F579" s="78"/>
      <c r="G579" s="16" t="s">
        <v>1317</v>
      </c>
      <c r="Z579" s="109"/>
      <c r="AA579" s="109"/>
      <c r="AB579" s="109"/>
      <c r="AC579" s="109"/>
      <c r="AD579" s="109"/>
      <c r="AE579" s="109"/>
      <c r="AF579" s="109"/>
      <c r="AG579" s="109"/>
      <c r="AH579" s="109"/>
      <c r="AI579" s="109"/>
      <c r="AJ579" s="109"/>
      <c r="AK579" s="109"/>
      <c r="AL579" s="109"/>
      <c r="AM579" s="109"/>
      <c r="AN579" s="109"/>
      <c r="AO579" s="109"/>
      <c r="AP579" s="109"/>
      <c r="AQ579" s="109"/>
      <c r="AR579" s="109"/>
      <c r="AS579" s="109"/>
    </row>
    <row r="580" spans="1:45" ht="12.6" customHeight="1" x14ac:dyDescent="0.3">
      <c r="A580" s="68" t="s">
        <v>1444</v>
      </c>
      <c r="B580" s="97" t="str">
        <f>" 재 료 비  : "&amp;TEXT(I580,"#,##0"&amp;IF(I580&lt;&gt;INT(I580),".###",""))&amp;" / Q  = "&amp;TEXT(C580,"#,##0.0")&amp;""</f>
        <v xml:space="preserve"> 재 료 비  : 18,001 / Q  = 1,763.0</v>
      </c>
      <c r="C580" s="99">
        <f>E580+D580+F580</f>
        <v>1763</v>
      </c>
      <c r="D580" s="99">
        <f>IF(H580=0,0,ROUNDDOWN(J580*H580,1))</f>
        <v>0</v>
      </c>
      <c r="E580" s="99">
        <f>IF(H580=0,0,ROUNDDOWN(K580*H580,1))</f>
        <v>1763</v>
      </c>
      <c r="F580" s="99">
        <f>IF(H580=0,0,ROUNDDOWN(L580*H580,1))</f>
        <v>0</v>
      </c>
      <c r="G580" s="16" t="s">
        <v>1599</v>
      </c>
      <c r="H580" s="105">
        <f>AC580</f>
        <v>9.7943192948090105E-2</v>
      </c>
      <c r="I580" s="106">
        <f>K580+J580+L580</f>
        <v>18001</v>
      </c>
      <c r="K580" s="39">
        <f>중기목록표!G9</f>
        <v>18001</v>
      </c>
      <c r="M580" s="20" t="s">
        <v>1442</v>
      </c>
      <c r="N580" s="20" t="s">
        <v>1332</v>
      </c>
      <c r="X580" s="108" t="str">
        <f>중기목록표!B9&amp;" / "&amp;중기목록표!C9</f>
        <v>굴삭기(0.7m3) / 0.7㎥,(암석)</v>
      </c>
      <c r="Y580" s="19" t="str">
        <f ca="1">HYPERLINK("#"&amp;중기목록표!J2&amp;"!A"&amp;ROW(중기목록표!A9),"중기    6 →")</f>
        <v>중기    6 →</v>
      </c>
      <c r="Z580" s="20" t="s">
        <v>1393</v>
      </c>
      <c r="AA580" s="112" t="str">
        <f>AL576</f>
        <v>10.21</v>
      </c>
      <c r="AB580" s="20" t="s">
        <v>1326</v>
      </c>
      <c r="AC580" s="113">
        <f>1/AL576</f>
        <v>9.7943192948090105E-2</v>
      </c>
      <c r="AD580" s="109"/>
      <c r="AE580" s="109"/>
      <c r="AF580" s="109"/>
      <c r="AG580" s="109"/>
      <c r="AH580" s="109"/>
      <c r="AI580" s="109"/>
      <c r="AJ580" s="109"/>
      <c r="AK580" s="109"/>
      <c r="AL580" s="109"/>
      <c r="AM580" s="109"/>
      <c r="AN580" s="109"/>
      <c r="AO580" s="109"/>
      <c r="AP580" s="109"/>
      <c r="AQ580" s="109"/>
      <c r="AR580" s="109"/>
      <c r="AS580" s="109"/>
    </row>
    <row r="581" spans="1:45" ht="12.6" customHeight="1" x14ac:dyDescent="0.3">
      <c r="A581" s="78"/>
      <c r="B581" s="78"/>
      <c r="C581" s="78"/>
      <c r="D581" s="78"/>
      <c r="E581" s="78"/>
      <c r="F581" s="78"/>
      <c r="G581" s="16" t="s">
        <v>1317</v>
      </c>
      <c r="Z581" s="109"/>
      <c r="AA581" s="109"/>
      <c r="AB581" s="109"/>
      <c r="AC581" s="109"/>
      <c r="AD581" s="109"/>
      <c r="AE581" s="109"/>
      <c r="AF581" s="109"/>
      <c r="AG581" s="109"/>
      <c r="AH581" s="109"/>
      <c r="AI581" s="109"/>
      <c r="AJ581" s="109"/>
      <c r="AK581" s="109"/>
      <c r="AL581" s="109"/>
      <c r="AM581" s="109"/>
      <c r="AN581" s="109"/>
      <c r="AO581" s="109"/>
      <c r="AP581" s="109"/>
      <c r="AQ581" s="109"/>
      <c r="AR581" s="109"/>
      <c r="AS581" s="109"/>
    </row>
    <row r="582" spans="1:45" ht="12.6" customHeight="1" x14ac:dyDescent="0.3">
      <c r="A582" s="68" t="s">
        <v>1446</v>
      </c>
      <c r="B582" s="97" t="str">
        <f>" 경    비  : "&amp;TEXT(I582,"#,##0"&amp;IF(I582&lt;&gt;INT(I582),".###",""))&amp;" / Q  = "&amp;TEXT(C582,"#,##0.0")&amp;""</f>
        <v xml:space="preserve"> 경    비  : 26,677 / Q  = 2,612.8</v>
      </c>
      <c r="C582" s="99">
        <f>E582+D582+F582</f>
        <v>2612.8000000000002</v>
      </c>
      <c r="D582" s="99">
        <f>IF(H582=0,0,ROUNDDOWN(J582*H582,1))</f>
        <v>0</v>
      </c>
      <c r="E582" s="99">
        <f>IF(H582=0,0,ROUNDDOWN(K582*H582,1))</f>
        <v>0</v>
      </c>
      <c r="F582" s="99">
        <f>IF(H582=0,0,ROUNDDOWN(L582*H582,1))</f>
        <v>2612.8000000000002</v>
      </c>
      <c r="G582" s="16" t="s">
        <v>1600</v>
      </c>
      <c r="H582" s="105">
        <f>AC582</f>
        <v>9.7943192948090105E-2</v>
      </c>
      <c r="I582" s="106">
        <f>K582+J582+L582</f>
        <v>26677</v>
      </c>
      <c r="L582" s="39">
        <f>중기목록표!H9</f>
        <v>26677</v>
      </c>
      <c r="M582" s="20" t="s">
        <v>1442</v>
      </c>
      <c r="N582" s="20" t="s">
        <v>1332</v>
      </c>
      <c r="X582" s="108" t="str">
        <f>중기목록표!B9&amp;" / "&amp;중기목록표!C9</f>
        <v>굴삭기(0.7m3) / 0.7㎥,(암석)</v>
      </c>
      <c r="Y582" s="19" t="str">
        <f ca="1">HYPERLINK("#"&amp;중기목록표!J2&amp;"!A"&amp;ROW(중기목록표!A9),"중기    6 →")</f>
        <v>중기    6 →</v>
      </c>
      <c r="Z582" s="20" t="s">
        <v>1393</v>
      </c>
      <c r="AA582" s="112" t="str">
        <f>AL576</f>
        <v>10.21</v>
      </c>
      <c r="AB582" s="20" t="s">
        <v>1326</v>
      </c>
      <c r="AC582" s="113">
        <f>1/AL576</f>
        <v>9.7943192948090105E-2</v>
      </c>
      <c r="AD582" s="109"/>
      <c r="AE582" s="109"/>
      <c r="AF582" s="109"/>
      <c r="AG582" s="109"/>
      <c r="AH582" s="109"/>
      <c r="AI582" s="109"/>
      <c r="AJ582" s="109"/>
      <c r="AK582" s="109"/>
      <c r="AL582" s="109"/>
      <c r="AM582" s="109"/>
      <c r="AN582" s="109"/>
      <c r="AO582" s="109"/>
      <c r="AP582" s="109"/>
      <c r="AQ582" s="109"/>
      <c r="AR582" s="109"/>
      <c r="AS582" s="109"/>
    </row>
    <row r="583" spans="1:45" ht="12.6" customHeight="1" x14ac:dyDescent="0.3">
      <c r="A583" s="78"/>
      <c r="B583" s="78"/>
      <c r="C583" s="78"/>
      <c r="D583" s="78"/>
      <c r="E583" s="78"/>
      <c r="F583" s="78"/>
      <c r="G583" s="16" t="s">
        <v>1317</v>
      </c>
      <c r="Z583" s="109"/>
      <c r="AA583" s="109"/>
      <c r="AB583" s="109"/>
      <c r="AC583" s="109"/>
      <c r="AD583" s="109"/>
      <c r="AE583" s="109"/>
      <c r="AF583" s="109"/>
      <c r="AG583" s="109"/>
      <c r="AH583" s="109"/>
      <c r="AI583" s="109"/>
      <c r="AJ583" s="109"/>
      <c r="AK583" s="109"/>
      <c r="AL583" s="109"/>
      <c r="AM583" s="109"/>
      <c r="AN583" s="109"/>
      <c r="AO583" s="109"/>
      <c r="AP583" s="109"/>
      <c r="AQ583" s="109"/>
      <c r="AR583" s="109"/>
      <c r="AS583" s="109"/>
    </row>
    <row r="584" spans="1:45" ht="12.6" customHeight="1" x14ac:dyDescent="0.3">
      <c r="A584" s="68"/>
      <c r="B584" s="77" t="s">
        <v>1331</v>
      </c>
      <c r="C584" s="100">
        <f>E584+D584+F584</f>
        <v>9831.2000000000007</v>
      </c>
      <c r="D584" s="100">
        <f>SUMIF(N563:N583,M584,D563:D583)</f>
        <v>5455.4</v>
      </c>
      <c r="E584" s="100">
        <f>SUMIF(N563:N583,M584,E563:E583)</f>
        <v>1763</v>
      </c>
      <c r="F584" s="100">
        <f>SUMIF(N563:N583,M584,F563:F583)</f>
        <v>2612.8000000000002</v>
      </c>
      <c r="G584" s="16" t="s">
        <v>1415</v>
      </c>
      <c r="M584" s="20" t="s">
        <v>1332</v>
      </c>
      <c r="N584" s="20" t="s">
        <v>1341</v>
      </c>
      <c r="Z584" s="109"/>
      <c r="AA584" s="109"/>
      <c r="AB584" s="109"/>
      <c r="AC584" s="109"/>
      <c r="AD584" s="109"/>
      <c r="AE584" s="109"/>
      <c r="AF584" s="109"/>
      <c r="AG584" s="109"/>
      <c r="AH584" s="109"/>
      <c r="AI584" s="109"/>
      <c r="AJ584" s="109"/>
      <c r="AK584" s="109"/>
      <c r="AL584" s="109"/>
      <c r="AM584" s="109"/>
      <c r="AN584" s="109"/>
      <c r="AO584" s="109"/>
      <c r="AP584" s="109"/>
      <c r="AQ584" s="109"/>
      <c r="AR584" s="109"/>
      <c r="AS584" s="109"/>
    </row>
    <row r="585" spans="1:45" ht="12.6" customHeight="1" x14ac:dyDescent="0.3">
      <c r="A585" s="78"/>
      <c r="B585" s="78"/>
      <c r="C585" s="98"/>
      <c r="D585" s="98"/>
      <c r="E585" s="98"/>
      <c r="F585" s="98"/>
      <c r="G585" s="16" t="s">
        <v>1317</v>
      </c>
      <c r="Z585" s="109"/>
      <c r="AA585" s="109"/>
      <c r="AB585" s="109"/>
      <c r="AC585" s="109"/>
      <c r="AD585" s="109"/>
      <c r="AE585" s="109"/>
      <c r="AF585" s="109"/>
      <c r="AG585" s="109"/>
      <c r="AH585" s="109"/>
      <c r="AI585" s="109"/>
      <c r="AJ585" s="109"/>
      <c r="AK585" s="109"/>
      <c r="AL585" s="109"/>
      <c r="AM585" s="109"/>
      <c r="AN585" s="109"/>
      <c r="AO585" s="109"/>
      <c r="AP585" s="109"/>
      <c r="AQ585" s="109"/>
      <c r="AR585" s="109"/>
      <c r="AS585" s="109"/>
    </row>
    <row r="586" spans="1:45" ht="12.6" customHeight="1" x14ac:dyDescent="0.3">
      <c r="A586" s="78"/>
      <c r="B586" s="78"/>
      <c r="C586" s="78"/>
      <c r="D586" s="78"/>
      <c r="E586" s="78"/>
      <c r="F586" s="78"/>
      <c r="G586" s="16" t="s">
        <v>1317</v>
      </c>
      <c r="Z586" s="109"/>
      <c r="AA586" s="109"/>
      <c r="AB586" s="109"/>
      <c r="AC586" s="109"/>
      <c r="AD586" s="109"/>
      <c r="AE586" s="109"/>
      <c r="AF586" s="109"/>
      <c r="AG586" s="109"/>
      <c r="AH586" s="109"/>
      <c r="AI586" s="109"/>
      <c r="AJ586" s="109"/>
      <c r="AK586" s="109"/>
      <c r="AL586" s="109"/>
      <c r="AM586" s="109"/>
      <c r="AN586" s="109"/>
      <c r="AO586" s="109"/>
      <c r="AP586" s="109"/>
      <c r="AQ586" s="109"/>
      <c r="AR586" s="109"/>
      <c r="AS586" s="109"/>
    </row>
    <row r="587" spans="1:45" ht="12.6" customHeight="1" x14ac:dyDescent="0.3">
      <c r="A587" s="68"/>
      <c r="B587" s="77" t="s">
        <v>1602</v>
      </c>
      <c r="C587" s="78"/>
      <c r="D587" s="78"/>
      <c r="E587" s="78"/>
      <c r="F587" s="78"/>
      <c r="G587" s="16" t="s">
        <v>1601</v>
      </c>
      <c r="Z587" s="109"/>
      <c r="AA587" s="109"/>
      <c r="AB587" s="109"/>
      <c r="AC587" s="109"/>
      <c r="AD587" s="109"/>
      <c r="AE587" s="109"/>
      <c r="AF587" s="109"/>
      <c r="AG587" s="109"/>
      <c r="AH587" s="109"/>
      <c r="AI587" s="109"/>
      <c r="AJ587" s="109"/>
      <c r="AK587" s="109"/>
      <c r="AL587" s="109"/>
      <c r="AM587" s="109"/>
      <c r="AN587" s="109"/>
      <c r="AO587" s="109"/>
      <c r="AP587" s="109"/>
      <c r="AQ587" s="109"/>
      <c r="AR587" s="109"/>
      <c r="AS587" s="109"/>
    </row>
    <row r="588" spans="1:45" ht="12.6" customHeight="1" x14ac:dyDescent="0.3">
      <c r="A588" s="78"/>
      <c r="B588" s="78"/>
      <c r="C588" s="78"/>
      <c r="D588" s="78"/>
      <c r="E588" s="78"/>
      <c r="F588" s="78"/>
      <c r="G588" s="16" t="s">
        <v>1317</v>
      </c>
      <c r="Z588" s="109"/>
      <c r="AA588" s="109"/>
      <c r="AB588" s="109"/>
      <c r="AC588" s="109"/>
      <c r="AD588" s="109"/>
      <c r="AE588" s="109"/>
      <c r="AF588" s="109"/>
      <c r="AG588" s="109"/>
      <c r="AH588" s="109"/>
      <c r="AI588" s="109"/>
      <c r="AJ588" s="109"/>
      <c r="AK588" s="109"/>
      <c r="AL588" s="109"/>
      <c r="AM588" s="109"/>
      <c r="AN588" s="109"/>
      <c r="AO588" s="109"/>
      <c r="AP588" s="109"/>
      <c r="AQ588" s="109"/>
      <c r="AR588" s="109"/>
      <c r="AS588" s="109"/>
    </row>
    <row r="589" spans="1:45" ht="12.6" customHeight="1" x14ac:dyDescent="0.3">
      <c r="A589" s="68"/>
      <c r="B589" s="97" t="str">
        <f>"L (운반거리)  = "&amp;Z589&amp;"  Km "</f>
        <v xml:space="preserve">L (운반거리)  = 0.1  Km </v>
      </c>
      <c r="C589" s="78"/>
      <c r="D589" s="78"/>
      <c r="E589" s="78"/>
      <c r="F589" s="78"/>
      <c r="G589" s="16" t="s">
        <v>1522</v>
      </c>
      <c r="Z589" s="110">
        <v>0.1</v>
      </c>
      <c r="AA589" s="20" t="s">
        <v>1326</v>
      </c>
      <c r="AB589" s="112">
        <f>Z589</f>
        <v>0.1</v>
      </c>
      <c r="AC589" s="109"/>
      <c r="AD589" s="109"/>
      <c r="AE589" s="109"/>
      <c r="AF589" s="109"/>
      <c r="AG589" s="109"/>
      <c r="AH589" s="109"/>
      <c r="AI589" s="109"/>
      <c r="AJ589" s="109"/>
      <c r="AK589" s="109"/>
      <c r="AL589" s="109"/>
      <c r="AM589" s="109"/>
      <c r="AN589" s="109"/>
      <c r="AO589" s="109"/>
      <c r="AP589" s="109"/>
      <c r="AQ589" s="109"/>
      <c r="AR589" s="109"/>
      <c r="AS589" s="109"/>
    </row>
    <row r="590" spans="1:45" ht="12.6" customHeight="1" x14ac:dyDescent="0.3">
      <c r="A590" s="78"/>
      <c r="B590" s="78"/>
      <c r="C590" s="78"/>
      <c r="D590" s="78"/>
      <c r="E590" s="78"/>
      <c r="F590" s="78"/>
      <c r="G590" s="16" t="s">
        <v>1317</v>
      </c>
      <c r="Z590" s="109"/>
      <c r="AA590" s="109"/>
      <c r="AB590" s="109"/>
      <c r="AC590" s="109"/>
      <c r="AD590" s="109"/>
      <c r="AE590" s="109"/>
      <c r="AF590" s="109"/>
      <c r="AG590" s="109"/>
      <c r="AH590" s="109"/>
      <c r="AI590" s="109"/>
      <c r="AJ590" s="109"/>
      <c r="AK590" s="109"/>
      <c r="AL590" s="109"/>
      <c r="AM590" s="109"/>
      <c r="AN590" s="109"/>
      <c r="AO590" s="109"/>
      <c r="AP590" s="109"/>
      <c r="AQ590" s="109"/>
      <c r="AR590" s="109"/>
      <c r="AS590" s="109"/>
    </row>
    <row r="591" spans="1:45" ht="12.6" customHeight="1" x14ac:dyDescent="0.3">
      <c r="A591" s="68"/>
      <c r="B591" s="97" t="str">
        <f>"q1 (흐트러진상태의 덤프트럭 1회 적재량)   = "&amp;Z591&amp;" / "&amp;AB591&amp;"  = "&amp;AD591&amp;""</f>
        <v>q1 (흐트러진상태의 덤프트럭 1회 적재량)   = 4500 / 910  = 4.95</v>
      </c>
      <c r="C591" s="78"/>
      <c r="D591" s="78"/>
      <c r="E591" s="78"/>
      <c r="F591" s="78"/>
      <c r="G591" s="16" t="s">
        <v>1603</v>
      </c>
      <c r="Z591" s="111">
        <v>4500</v>
      </c>
      <c r="AA591" s="20" t="s">
        <v>1387</v>
      </c>
      <c r="AB591" s="111">
        <v>910</v>
      </c>
      <c r="AC591" s="20" t="s">
        <v>1326</v>
      </c>
      <c r="AD591" s="112" t="str">
        <f>TEXT(ROUND(Z591/AB591,2),"0.00")</f>
        <v>4.95</v>
      </c>
      <c r="AE591" s="109"/>
      <c r="AF591" s="109"/>
      <c r="AG591" s="109"/>
      <c r="AH591" s="109"/>
      <c r="AI591" s="109"/>
      <c r="AJ591" s="109"/>
      <c r="AK591" s="109"/>
      <c r="AL591" s="109"/>
      <c r="AM591" s="109"/>
      <c r="AN591" s="109"/>
      <c r="AO591" s="109"/>
      <c r="AP591" s="109"/>
      <c r="AQ591" s="109"/>
      <c r="AR591" s="109"/>
      <c r="AS591" s="109"/>
    </row>
    <row r="592" spans="1:45" ht="12.6" customHeight="1" x14ac:dyDescent="0.3">
      <c r="A592" s="78"/>
      <c r="B592" s="78"/>
      <c r="C592" s="78"/>
      <c r="D592" s="78"/>
      <c r="E592" s="78"/>
      <c r="F592" s="78"/>
      <c r="G592" s="16" t="s">
        <v>1317</v>
      </c>
      <c r="Z592" s="109"/>
      <c r="AA592" s="109"/>
      <c r="AB592" s="109"/>
      <c r="AC592" s="109"/>
      <c r="AD592" s="109"/>
      <c r="AE592" s="109"/>
      <c r="AF592" s="109"/>
      <c r="AG592" s="109"/>
      <c r="AH592" s="109"/>
      <c r="AI592" s="109"/>
      <c r="AJ592" s="109"/>
      <c r="AK592" s="109"/>
      <c r="AL592" s="109"/>
      <c r="AM592" s="109"/>
      <c r="AN592" s="109"/>
      <c r="AO592" s="109"/>
      <c r="AP592" s="109"/>
      <c r="AQ592" s="109"/>
      <c r="AR592" s="109"/>
      <c r="AS592" s="109"/>
    </row>
    <row r="593" spans="1:45" ht="12.6" customHeight="1" x14ac:dyDescent="0.3">
      <c r="A593" s="68"/>
      <c r="B593" s="97" t="str">
        <f>"E (작업효율)  = "&amp;Z593&amp;" , f (체적환산계수)  = "&amp;AD593&amp;" , k (버킷계수)  = "&amp;AH593&amp;""</f>
        <v>E (작업효율)  = 0.9 , f (체적환산계수)  = 1 , k (버킷계수)  = 0.7</v>
      </c>
      <c r="C593" s="78"/>
      <c r="D593" s="78"/>
      <c r="E593" s="78"/>
      <c r="F593" s="78"/>
      <c r="G593" s="16" t="s">
        <v>1604</v>
      </c>
      <c r="Z593" s="110">
        <v>0.9</v>
      </c>
      <c r="AA593" s="20" t="s">
        <v>1326</v>
      </c>
      <c r="AB593" s="112">
        <f>Z593</f>
        <v>0.9</v>
      </c>
      <c r="AC593" s="20" t="s">
        <v>1385</v>
      </c>
      <c r="AD593" s="111">
        <v>1</v>
      </c>
      <c r="AE593" s="20" t="s">
        <v>1326</v>
      </c>
      <c r="AF593" s="112">
        <f>AD593</f>
        <v>1</v>
      </c>
      <c r="AG593" s="20" t="s">
        <v>1385</v>
      </c>
      <c r="AH593" s="110">
        <v>0.7</v>
      </c>
      <c r="AI593" s="20" t="s">
        <v>1326</v>
      </c>
      <c r="AJ593" s="112">
        <f>AH593</f>
        <v>0.7</v>
      </c>
      <c r="AK593" s="20" t="s">
        <v>1385</v>
      </c>
      <c r="AL593" s="109"/>
      <c r="AM593" s="109"/>
      <c r="AN593" s="109"/>
      <c r="AO593" s="109"/>
      <c r="AP593" s="109"/>
      <c r="AQ593" s="109"/>
      <c r="AR593" s="109"/>
      <c r="AS593" s="109"/>
    </row>
    <row r="594" spans="1:45" ht="12.6" customHeight="1" x14ac:dyDescent="0.3">
      <c r="A594" s="78"/>
      <c r="B594" s="78"/>
      <c r="C594" s="78"/>
      <c r="D594" s="78"/>
      <c r="E594" s="78"/>
      <c r="F594" s="78"/>
      <c r="G594" s="16" t="s">
        <v>1317</v>
      </c>
      <c r="Z594" s="109"/>
      <c r="AA594" s="109"/>
      <c r="AB594" s="109"/>
      <c r="AC594" s="109"/>
      <c r="AD594" s="109"/>
      <c r="AE594" s="109"/>
      <c r="AF594" s="109"/>
      <c r="AG594" s="109"/>
      <c r="AH594" s="109"/>
      <c r="AI594" s="109"/>
      <c r="AJ594" s="109"/>
      <c r="AK594" s="109"/>
      <c r="AL594" s="109"/>
      <c r="AM594" s="109"/>
      <c r="AN594" s="109"/>
      <c r="AO594" s="109"/>
      <c r="AP594" s="109"/>
      <c r="AQ594" s="109"/>
      <c r="AR594" s="109"/>
      <c r="AS594" s="109"/>
    </row>
    <row r="595" spans="1:45" ht="12.6" customHeight="1" x14ac:dyDescent="0.3">
      <c r="A595" s="68"/>
      <c r="B595" s="97" t="str">
        <f>"q2 (흐트러진상태의 덤프트럭 1회 적재량)   = "&amp;Z595&amp;" / "&amp;AB595&amp;"  = "&amp;AD595&amp;"  m2 "</f>
        <v xml:space="preserve">q2 (흐트러진상태의 덤프트럭 1회 적재량)   = 2 / 12  = 0.17  m2 </v>
      </c>
      <c r="C595" s="78"/>
      <c r="D595" s="78"/>
      <c r="E595" s="78"/>
      <c r="F595" s="78"/>
      <c r="G595" s="16" t="s">
        <v>1605</v>
      </c>
      <c r="Z595" s="111">
        <v>2</v>
      </c>
      <c r="AA595" s="20" t="s">
        <v>1387</v>
      </c>
      <c r="AB595" s="111">
        <v>12</v>
      </c>
      <c r="AC595" s="20" t="s">
        <v>1326</v>
      </c>
      <c r="AD595" s="112" t="str">
        <f>TEXT(ROUND(Z595/AB595,2),"0.00")</f>
        <v>0.17</v>
      </c>
      <c r="AE595" s="109"/>
      <c r="AF595" s="109"/>
      <c r="AG595" s="109"/>
      <c r="AH595" s="109"/>
      <c r="AI595" s="109"/>
      <c r="AJ595" s="109"/>
      <c r="AK595" s="109"/>
      <c r="AL595" s="109"/>
      <c r="AM595" s="109"/>
      <c r="AN595" s="109"/>
      <c r="AO595" s="109"/>
      <c r="AP595" s="109"/>
      <c r="AQ595" s="109"/>
      <c r="AR595" s="109"/>
      <c r="AS595" s="109"/>
    </row>
    <row r="596" spans="1:45" ht="12.6" customHeight="1" x14ac:dyDescent="0.3">
      <c r="A596" s="78"/>
      <c r="B596" s="78"/>
      <c r="C596" s="78"/>
      <c r="D596" s="78"/>
      <c r="E596" s="78"/>
      <c r="F596" s="78"/>
      <c r="G596" s="16" t="s">
        <v>1317</v>
      </c>
      <c r="Z596" s="109"/>
      <c r="AA596" s="109"/>
      <c r="AB596" s="109"/>
      <c r="AC596" s="109"/>
      <c r="AD596" s="109"/>
      <c r="AE596" s="109"/>
      <c r="AF596" s="109"/>
      <c r="AG596" s="109"/>
      <c r="AH596" s="109"/>
      <c r="AI596" s="109"/>
      <c r="AJ596" s="109"/>
      <c r="AK596" s="109"/>
      <c r="AL596" s="109"/>
      <c r="AM596" s="109"/>
      <c r="AN596" s="109"/>
      <c r="AO596" s="109"/>
      <c r="AP596" s="109"/>
      <c r="AQ596" s="109"/>
      <c r="AR596" s="109"/>
      <c r="AS596" s="109"/>
    </row>
    <row r="597" spans="1:45" ht="12.6" customHeight="1" x14ac:dyDescent="0.3">
      <c r="A597" s="68"/>
      <c r="B597" s="97" t="str">
        <f>"n (소요되는적재기계의 사이클횟수)  = q1 / (q2 * k) = "&amp;AG597&amp;"  회 "</f>
        <v xml:space="preserve">n (소요되는적재기계의 사이클횟수)  = q1 / (q2 * k) = 41.60  회 </v>
      </c>
      <c r="C597" s="78"/>
      <c r="D597" s="78"/>
      <c r="E597" s="78"/>
      <c r="F597" s="78"/>
      <c r="G597" s="16" t="s">
        <v>1606</v>
      </c>
      <c r="Z597" s="112" t="str">
        <f>AD591</f>
        <v>4.95</v>
      </c>
      <c r="AA597" s="20" t="s">
        <v>1531</v>
      </c>
      <c r="AB597" s="112" t="str">
        <f>AD595</f>
        <v>0.17</v>
      </c>
      <c r="AC597" s="20" t="s">
        <v>1390</v>
      </c>
      <c r="AD597" s="112">
        <f>AJ593</f>
        <v>0.7</v>
      </c>
      <c r="AE597" s="20" t="s">
        <v>1532</v>
      </c>
      <c r="AF597" s="20" t="s">
        <v>1326</v>
      </c>
      <c r="AG597" s="112" t="str">
        <f>TEXT(ROUND(AD591/(AD595*AJ593),2),"0.00")</f>
        <v>41.60</v>
      </c>
      <c r="AH597" s="109"/>
      <c r="AI597" s="109"/>
      <c r="AJ597" s="109"/>
      <c r="AK597" s="109"/>
      <c r="AL597" s="109"/>
      <c r="AM597" s="109"/>
      <c r="AN597" s="109"/>
      <c r="AO597" s="109"/>
      <c r="AP597" s="109"/>
      <c r="AQ597" s="109"/>
      <c r="AR597" s="109"/>
      <c r="AS597" s="109"/>
    </row>
    <row r="598" spans="1:45" ht="12.6" customHeight="1" x14ac:dyDescent="0.3">
      <c r="A598" s="78"/>
      <c r="B598" s="78"/>
      <c r="C598" s="78"/>
      <c r="D598" s="78"/>
      <c r="E598" s="78"/>
      <c r="F598" s="78"/>
      <c r="G598" s="16" t="s">
        <v>1317</v>
      </c>
      <c r="Z598" s="109"/>
      <c r="AA598" s="109"/>
      <c r="AB598" s="109"/>
      <c r="AC598" s="109"/>
      <c r="AD598" s="109"/>
      <c r="AE598" s="109"/>
      <c r="AF598" s="109"/>
      <c r="AG598" s="109"/>
      <c r="AH598" s="109"/>
      <c r="AI598" s="109"/>
      <c r="AJ598" s="109"/>
      <c r="AK598" s="109"/>
      <c r="AL598" s="109"/>
      <c r="AM598" s="109"/>
      <c r="AN598" s="109"/>
      <c r="AO598" s="109"/>
      <c r="AP598" s="109"/>
      <c r="AQ598" s="109"/>
      <c r="AR598" s="109"/>
      <c r="AS598" s="109"/>
    </row>
    <row r="599" spans="1:45" ht="12.6" customHeight="1" x14ac:dyDescent="0.3">
      <c r="A599" s="68"/>
      <c r="B599" s="97" t="str">
        <f>"t1 (적재시간)  = Cm1 * n / ("&amp;AD599&amp;" * E1) = "&amp;AI599&amp;" 분 "</f>
        <v xml:space="preserve">t1 (적재시간)  = Cm1 * n / (60 * E1) = 30.81 분 </v>
      </c>
      <c r="C599" s="78"/>
      <c r="D599" s="78"/>
      <c r="E599" s="78"/>
      <c r="F599" s="78"/>
      <c r="G599" s="16" t="s">
        <v>1607</v>
      </c>
      <c r="Z599" s="112">
        <f>AB572</f>
        <v>20</v>
      </c>
      <c r="AA599" s="20" t="s">
        <v>1390</v>
      </c>
      <c r="AB599" s="112" t="str">
        <f>AG597</f>
        <v>41.60</v>
      </c>
      <c r="AC599" s="20" t="s">
        <v>1531</v>
      </c>
      <c r="AD599" s="111">
        <v>60</v>
      </c>
      <c r="AE599" s="20" t="s">
        <v>1390</v>
      </c>
      <c r="AF599" s="112">
        <f>AB574</f>
        <v>0.45</v>
      </c>
      <c r="AG599" s="20" t="s">
        <v>1532</v>
      </c>
      <c r="AH599" s="20" t="s">
        <v>1326</v>
      </c>
      <c r="AI599" s="112" t="str">
        <f>TEXT(ROUND(AB572*AG597/(AD599*AB574),2),"0.00")</f>
        <v>30.81</v>
      </c>
      <c r="AJ599" s="109"/>
      <c r="AK599" s="109"/>
      <c r="AL599" s="109"/>
      <c r="AM599" s="109"/>
      <c r="AN599" s="109"/>
      <c r="AO599" s="109"/>
      <c r="AP599" s="109"/>
      <c r="AQ599" s="109"/>
      <c r="AR599" s="109"/>
      <c r="AS599" s="109"/>
    </row>
    <row r="600" spans="1:45" ht="12.6" customHeight="1" x14ac:dyDescent="0.3">
      <c r="A600" s="78"/>
      <c r="B600" s="78"/>
      <c r="C600" s="78"/>
      <c r="D600" s="78"/>
      <c r="E600" s="78"/>
      <c r="F600" s="78"/>
      <c r="G600" s="16" t="s">
        <v>1317</v>
      </c>
      <c r="Z600" s="109"/>
      <c r="AA600" s="109"/>
      <c r="AB600" s="109"/>
      <c r="AC600" s="109"/>
      <c r="AD600" s="109"/>
      <c r="AE600" s="109"/>
      <c r="AF600" s="109"/>
      <c r="AG600" s="109"/>
      <c r="AH600" s="109"/>
      <c r="AI600" s="109"/>
      <c r="AJ600" s="109"/>
      <c r="AK600" s="109"/>
      <c r="AL600" s="109"/>
      <c r="AM600" s="109"/>
      <c r="AN600" s="109"/>
      <c r="AO600" s="109"/>
      <c r="AP600" s="109"/>
      <c r="AQ600" s="109"/>
      <c r="AR600" s="109"/>
      <c r="AS600" s="109"/>
    </row>
    <row r="601" spans="1:45" ht="12.6" customHeight="1" x14ac:dyDescent="0.3">
      <c r="A601" s="68"/>
      <c r="B601" s="97" t="str">
        <f>"t2 (왕복시간)  =(L/"&amp;AC601&amp;"+L/"&amp;AG601&amp;") * "&amp;AI601&amp;" = "&amp;AK601&amp;" 분 "</f>
        <v xml:space="preserve">t2 (왕복시간)  =(L/10+L/15) * 60 = 1.00 분 </v>
      </c>
      <c r="C601" s="78"/>
      <c r="D601" s="78"/>
      <c r="E601" s="78"/>
      <c r="F601" s="78"/>
      <c r="G601" s="16" t="s">
        <v>1608</v>
      </c>
      <c r="Z601" s="20" t="s">
        <v>1526</v>
      </c>
      <c r="AA601" s="112">
        <f>AB589</f>
        <v>0.1</v>
      </c>
      <c r="AB601" s="20" t="s">
        <v>1387</v>
      </c>
      <c r="AC601" s="111">
        <v>10</v>
      </c>
      <c r="AD601" s="20" t="s">
        <v>1535</v>
      </c>
      <c r="AE601" s="112">
        <f>AB589</f>
        <v>0.1</v>
      </c>
      <c r="AF601" s="20" t="s">
        <v>1387</v>
      </c>
      <c r="AG601" s="111">
        <v>15</v>
      </c>
      <c r="AH601" s="20" t="s">
        <v>1527</v>
      </c>
      <c r="AI601" s="111">
        <v>60</v>
      </c>
      <c r="AJ601" s="20" t="s">
        <v>1326</v>
      </c>
      <c r="AK601" s="112" t="str">
        <f>TEXT(ROUND((AB589/AC601+AB589/AG601)*AI601,2),"0.00")</f>
        <v>1.00</v>
      </c>
      <c r="AL601" s="109"/>
      <c r="AM601" s="109"/>
      <c r="AN601" s="109"/>
      <c r="AO601" s="109"/>
      <c r="AP601" s="109"/>
      <c r="AQ601" s="109"/>
      <c r="AR601" s="109"/>
      <c r="AS601" s="109"/>
    </row>
    <row r="602" spans="1:45" ht="12.6" customHeight="1" x14ac:dyDescent="0.3">
      <c r="A602" s="78"/>
      <c r="B602" s="78"/>
      <c r="C602" s="78"/>
      <c r="D602" s="78"/>
      <c r="E602" s="78"/>
      <c r="F602" s="78"/>
      <c r="G602" s="16" t="s">
        <v>1317</v>
      </c>
      <c r="Z602" s="109"/>
      <c r="AA602" s="109"/>
      <c r="AB602" s="109"/>
      <c r="AC602" s="109"/>
      <c r="AD602" s="109"/>
      <c r="AE602" s="109"/>
      <c r="AF602" s="109"/>
      <c r="AG602" s="109"/>
      <c r="AH602" s="109"/>
      <c r="AI602" s="109"/>
      <c r="AJ602" s="109"/>
      <c r="AK602" s="109"/>
      <c r="AL602" s="109"/>
      <c r="AM602" s="109"/>
      <c r="AN602" s="109"/>
      <c r="AO602" s="109"/>
      <c r="AP602" s="109"/>
      <c r="AQ602" s="109"/>
      <c r="AR602" s="109"/>
      <c r="AS602" s="109"/>
    </row>
    <row r="603" spans="1:45" ht="12.6" customHeight="1" x14ac:dyDescent="0.3">
      <c r="A603" s="68"/>
      <c r="B603" s="97" t="str">
        <f>"t3 (적하시간)  = "&amp;Z603&amp;" 분 "</f>
        <v xml:space="preserve">t3 (적하시간)  = 0.8 분 </v>
      </c>
      <c r="C603" s="78"/>
      <c r="D603" s="78"/>
      <c r="E603" s="78"/>
      <c r="F603" s="78"/>
      <c r="G603" s="16" t="s">
        <v>1534</v>
      </c>
      <c r="Z603" s="110">
        <v>0.8</v>
      </c>
      <c r="AA603" s="20" t="s">
        <v>1326</v>
      </c>
      <c r="AB603" s="112">
        <f>Z603</f>
        <v>0.8</v>
      </c>
      <c r="AC603" s="109"/>
      <c r="AD603" s="109"/>
      <c r="AE603" s="109"/>
      <c r="AF603" s="109"/>
      <c r="AG603" s="109"/>
      <c r="AH603" s="109"/>
      <c r="AI603" s="109"/>
      <c r="AJ603" s="109"/>
      <c r="AK603" s="109"/>
      <c r="AL603" s="109"/>
      <c r="AM603" s="109"/>
      <c r="AN603" s="109"/>
      <c r="AO603" s="109"/>
      <c r="AP603" s="109"/>
      <c r="AQ603" s="109"/>
      <c r="AR603" s="109"/>
      <c r="AS603" s="109"/>
    </row>
    <row r="604" spans="1:45" ht="12.6" customHeight="1" x14ac:dyDescent="0.3">
      <c r="A604" s="78"/>
      <c r="B604" s="78"/>
      <c r="C604" s="78"/>
      <c r="D604" s="78"/>
      <c r="E604" s="78"/>
      <c r="F604" s="78"/>
      <c r="G604" s="16" t="s">
        <v>1317</v>
      </c>
      <c r="Z604" s="109"/>
      <c r="AA604" s="109"/>
      <c r="AB604" s="109"/>
      <c r="AC604" s="109"/>
      <c r="AD604" s="109"/>
      <c r="AE604" s="109"/>
      <c r="AF604" s="109"/>
      <c r="AG604" s="109"/>
      <c r="AH604" s="109"/>
      <c r="AI604" s="109"/>
      <c r="AJ604" s="109"/>
      <c r="AK604" s="109"/>
      <c r="AL604" s="109"/>
      <c r="AM604" s="109"/>
      <c r="AN604" s="109"/>
      <c r="AO604" s="109"/>
      <c r="AP604" s="109"/>
      <c r="AQ604" s="109"/>
      <c r="AR604" s="109"/>
      <c r="AS604" s="109"/>
    </row>
    <row r="605" spans="1:45" ht="12.6" customHeight="1" x14ac:dyDescent="0.3">
      <c r="A605" s="68"/>
      <c r="B605" s="97" t="str">
        <f>"t4 (적재장소 도착한 때로부터 적재작업이 시작될 때까지의 시간)  = "&amp;Z605&amp;" 분 "</f>
        <v xml:space="preserve">t4 (적재장소 도착한 때로부터 적재작업이 시작될 때까지의 시간)  = 0.7 분 </v>
      </c>
      <c r="C605" s="78"/>
      <c r="D605" s="78"/>
      <c r="E605" s="78"/>
      <c r="F605" s="78"/>
      <c r="G605" s="16" t="s">
        <v>1609</v>
      </c>
      <c r="Z605" s="110">
        <v>0.7</v>
      </c>
      <c r="AA605" s="20" t="s">
        <v>1326</v>
      </c>
      <c r="AB605" s="112">
        <f>Z605</f>
        <v>0.7</v>
      </c>
      <c r="AC605" s="109"/>
      <c r="AD605" s="109"/>
      <c r="AE605" s="109"/>
      <c r="AF605" s="109"/>
      <c r="AG605" s="109"/>
      <c r="AH605" s="109"/>
      <c r="AI605" s="109"/>
      <c r="AJ605" s="109"/>
      <c r="AK605" s="109"/>
      <c r="AL605" s="109"/>
      <c r="AM605" s="109"/>
      <c r="AN605" s="109"/>
      <c r="AO605" s="109"/>
      <c r="AP605" s="109"/>
      <c r="AQ605" s="109"/>
      <c r="AR605" s="109"/>
      <c r="AS605" s="109"/>
    </row>
    <row r="606" spans="1:45" ht="12.6" customHeight="1" x14ac:dyDescent="0.3">
      <c r="A606" s="78"/>
      <c r="B606" s="78"/>
      <c r="C606" s="78"/>
      <c r="D606" s="78"/>
      <c r="E606" s="78"/>
      <c r="F606" s="78"/>
      <c r="G606" s="16" t="s">
        <v>1317</v>
      </c>
      <c r="Z606" s="109"/>
      <c r="AA606" s="109"/>
      <c r="AB606" s="109"/>
      <c r="AC606" s="109"/>
      <c r="AD606" s="109"/>
      <c r="AE606" s="109"/>
      <c r="AF606" s="109"/>
      <c r="AG606" s="109"/>
      <c r="AH606" s="109"/>
      <c r="AI606" s="109"/>
      <c r="AJ606" s="109"/>
      <c r="AK606" s="109"/>
      <c r="AL606" s="109"/>
      <c r="AM606" s="109"/>
      <c r="AN606" s="109"/>
      <c r="AO606" s="109"/>
      <c r="AP606" s="109"/>
      <c r="AQ606" s="109"/>
      <c r="AR606" s="109"/>
      <c r="AS606" s="109"/>
    </row>
    <row r="607" spans="1:45" ht="12.6" customHeight="1" x14ac:dyDescent="0.3">
      <c r="A607" s="68"/>
      <c r="B607" s="97" t="str">
        <f>"Cm (1회 사이클 시간(분))  = t1 + t2 + t3 + t4 = "&amp;AH607&amp;" 분 "</f>
        <v xml:space="preserve">Cm (1회 사이클 시간(분))  = t1 + t2 + t3 + t4 = 33.31 분 </v>
      </c>
      <c r="C607" s="78"/>
      <c r="D607" s="78"/>
      <c r="E607" s="78"/>
      <c r="F607" s="78"/>
      <c r="G607" s="16" t="s">
        <v>1537</v>
      </c>
      <c r="Z607" s="112" t="str">
        <f>AI599</f>
        <v>30.81</v>
      </c>
      <c r="AA607" s="20" t="s">
        <v>1535</v>
      </c>
      <c r="AB607" s="112" t="str">
        <f>AK601</f>
        <v>1.00</v>
      </c>
      <c r="AC607" s="20" t="s">
        <v>1535</v>
      </c>
      <c r="AD607" s="112">
        <f>AB603</f>
        <v>0.8</v>
      </c>
      <c r="AE607" s="20" t="s">
        <v>1535</v>
      </c>
      <c r="AF607" s="112">
        <f>AB605</f>
        <v>0.7</v>
      </c>
      <c r="AG607" s="20" t="s">
        <v>1326</v>
      </c>
      <c r="AH607" s="112" t="str">
        <f>TEXT(ROUND(AI599+AK601+AB603+AB605,2),"0.00")</f>
        <v>33.31</v>
      </c>
      <c r="AI607" s="109"/>
      <c r="AJ607" s="109"/>
      <c r="AK607" s="109"/>
      <c r="AL607" s="109"/>
      <c r="AM607" s="109"/>
      <c r="AN607" s="109"/>
      <c r="AO607" s="109"/>
      <c r="AP607" s="109"/>
      <c r="AQ607" s="109"/>
      <c r="AR607" s="109"/>
      <c r="AS607" s="109"/>
    </row>
    <row r="608" spans="1:45" ht="12.6" customHeight="1" x14ac:dyDescent="0.3">
      <c r="A608" s="78"/>
      <c r="B608" s="78"/>
      <c r="C608" s="78"/>
      <c r="D608" s="78"/>
      <c r="E608" s="78"/>
      <c r="F608" s="78"/>
      <c r="G608" s="16" t="s">
        <v>1317</v>
      </c>
      <c r="Z608" s="109"/>
      <c r="AA608" s="109"/>
      <c r="AB608" s="109"/>
      <c r="AC608" s="109"/>
      <c r="AD608" s="109"/>
      <c r="AE608" s="109"/>
      <c r="AF608" s="109"/>
      <c r="AG608" s="109"/>
      <c r="AH608" s="109"/>
      <c r="AI608" s="109"/>
      <c r="AJ608" s="109"/>
      <c r="AK608" s="109"/>
      <c r="AL608" s="109"/>
      <c r="AM608" s="109"/>
      <c r="AN608" s="109"/>
      <c r="AO608" s="109"/>
      <c r="AP608" s="109"/>
      <c r="AQ608" s="109"/>
      <c r="AR608" s="109"/>
      <c r="AS608" s="109"/>
    </row>
    <row r="609" spans="1:45" ht="12.6" customHeight="1" x14ac:dyDescent="0.3">
      <c r="A609" s="68"/>
      <c r="B609" s="97" t="str">
        <f>"Q (시간당 작업량)  = "&amp;Z609&amp;" * q1 * f * E / Cm = "&amp;AJ609&amp;" m2/hr "</f>
        <v xml:space="preserve">Q (시간당 작업량)  = 60 * q1 * f * E / Cm = 8.02 m2/hr </v>
      </c>
      <c r="C609" s="78"/>
      <c r="D609" s="78"/>
      <c r="E609" s="78"/>
      <c r="F609" s="78"/>
      <c r="G609" s="16" t="s">
        <v>1610</v>
      </c>
      <c r="Z609" s="111">
        <v>60</v>
      </c>
      <c r="AA609" s="20" t="s">
        <v>1390</v>
      </c>
      <c r="AB609" s="112" t="str">
        <f>AD591</f>
        <v>4.95</v>
      </c>
      <c r="AC609" s="20" t="s">
        <v>1390</v>
      </c>
      <c r="AD609" s="112">
        <f>AF593</f>
        <v>1</v>
      </c>
      <c r="AE609" s="20" t="s">
        <v>1390</v>
      </c>
      <c r="AF609" s="112">
        <f>AB593</f>
        <v>0.9</v>
      </c>
      <c r="AG609" s="20" t="s">
        <v>1387</v>
      </c>
      <c r="AH609" s="112" t="str">
        <f>AH607</f>
        <v>33.31</v>
      </c>
      <c r="AI609" s="20" t="s">
        <v>1326</v>
      </c>
      <c r="AJ609" s="112" t="str">
        <f>TEXT(ROUND(Z609*AD591*AF593*AB593/AH607,2),"0.00")</f>
        <v>8.02</v>
      </c>
      <c r="AK609" s="109"/>
      <c r="AL609" s="109"/>
      <c r="AM609" s="109"/>
      <c r="AN609" s="109"/>
      <c r="AO609" s="109"/>
      <c r="AP609" s="109"/>
      <c r="AQ609" s="109"/>
      <c r="AR609" s="109"/>
      <c r="AS609" s="109"/>
    </row>
    <row r="610" spans="1:45" ht="12.6" customHeight="1" x14ac:dyDescent="0.3">
      <c r="A610" s="78"/>
      <c r="B610" s="78"/>
      <c r="C610" s="78"/>
      <c r="D610" s="78"/>
      <c r="E610" s="78"/>
      <c r="F610" s="78"/>
      <c r="G610" s="16" t="s">
        <v>1317</v>
      </c>
      <c r="Z610" s="109"/>
      <c r="AA610" s="109"/>
      <c r="AB610" s="109"/>
      <c r="AC610" s="109"/>
      <c r="AD610" s="109"/>
      <c r="AE610" s="109"/>
      <c r="AF610" s="109"/>
      <c r="AG610" s="109"/>
      <c r="AH610" s="109"/>
      <c r="AI610" s="109"/>
      <c r="AJ610" s="109"/>
      <c r="AK610" s="109"/>
      <c r="AL610" s="109"/>
      <c r="AM610" s="109"/>
      <c r="AN610" s="109"/>
      <c r="AO610" s="109"/>
      <c r="AP610" s="109"/>
      <c r="AQ610" s="109"/>
      <c r="AR610" s="109"/>
      <c r="AS610" s="109"/>
    </row>
    <row r="611" spans="1:45" ht="12.6" customHeight="1" x14ac:dyDescent="0.3">
      <c r="A611" s="78"/>
      <c r="B611" s="78"/>
      <c r="C611" s="78"/>
      <c r="D611" s="78"/>
      <c r="E611" s="78"/>
      <c r="F611" s="78"/>
      <c r="G611" s="16" t="s">
        <v>1317</v>
      </c>
      <c r="Z611" s="109"/>
      <c r="AA611" s="109"/>
      <c r="AB611" s="109"/>
      <c r="AC611" s="109"/>
      <c r="AD611" s="109"/>
      <c r="AE611" s="109"/>
      <c r="AF611" s="109"/>
      <c r="AG611" s="109"/>
      <c r="AH611" s="109"/>
      <c r="AI611" s="109"/>
      <c r="AJ611" s="109"/>
      <c r="AK611" s="109"/>
      <c r="AL611" s="109"/>
      <c r="AM611" s="109"/>
      <c r="AN611" s="109"/>
      <c r="AO611" s="109"/>
      <c r="AP611" s="109"/>
      <c r="AQ611" s="109"/>
      <c r="AR611" s="109"/>
      <c r="AS611" s="109"/>
    </row>
    <row r="612" spans="1:45" ht="12.6" customHeight="1" x14ac:dyDescent="0.3">
      <c r="A612" s="68" t="s">
        <v>1612</v>
      </c>
      <c r="B612" s="97" t="str">
        <f>" 노 무 비  :   "&amp;TEXT(I612,"#,##0"&amp;IF(I612&lt;&gt;INT(I612),".###",""))&amp;" / Q  = "&amp;TEXT(C612,"#,##0.0")&amp;""</f>
        <v xml:space="preserve"> 노 무 비  :   47,231 / Q  = 5,889.1</v>
      </c>
      <c r="C612" s="99">
        <f>E612+D612+F612</f>
        <v>5889.1</v>
      </c>
      <c r="D612" s="99">
        <f>IF(H612=0,0,ROUNDDOWN(J612*H612,1))</f>
        <v>5889.1</v>
      </c>
      <c r="E612" s="99">
        <f>IF(H612=0,0,ROUNDDOWN(K612*H612,1))</f>
        <v>0</v>
      </c>
      <c r="F612" s="99">
        <f>IF(H612=0,0,ROUNDDOWN(L612*H612,1))</f>
        <v>0</v>
      </c>
      <c r="G612" s="16" t="s">
        <v>1611</v>
      </c>
      <c r="H612" s="105">
        <f>AC612</f>
        <v>0.12468827930174564</v>
      </c>
      <c r="I612" s="106">
        <f>K612+J612+L612</f>
        <v>47231</v>
      </c>
      <c r="J612" s="39">
        <f>중기목록표!F24</f>
        <v>47231</v>
      </c>
      <c r="M612" s="20" t="s">
        <v>1613</v>
      </c>
      <c r="N612" s="20" t="s">
        <v>1332</v>
      </c>
      <c r="X612" s="108" t="str">
        <f>중기목록표!B24&amp;" / "&amp;중기목록표!C24</f>
        <v xml:space="preserve">덤프트럭4.5ton(암) / </v>
      </c>
      <c r="Y612" s="19" t="str">
        <f ca="1">HYPERLINK("#"&amp;중기목록표!J2&amp;"!A"&amp;ROW(중기목록표!A24),"중기   21 →")</f>
        <v>중기   21 →</v>
      </c>
      <c r="Z612" s="20" t="s">
        <v>1393</v>
      </c>
      <c r="AA612" s="112" t="str">
        <f>AJ609</f>
        <v>8.02</v>
      </c>
      <c r="AB612" s="20" t="s">
        <v>1326</v>
      </c>
      <c r="AC612" s="113">
        <f>1/AJ609</f>
        <v>0.12468827930174564</v>
      </c>
      <c r="AD612" s="109"/>
      <c r="AE612" s="109"/>
      <c r="AF612" s="109"/>
      <c r="AG612" s="109"/>
      <c r="AH612" s="109"/>
      <c r="AI612" s="109"/>
      <c r="AJ612" s="109"/>
      <c r="AK612" s="109"/>
      <c r="AL612" s="109"/>
      <c r="AM612" s="109"/>
      <c r="AN612" s="109"/>
      <c r="AO612" s="109"/>
      <c r="AP612" s="109"/>
      <c r="AQ612" s="109"/>
      <c r="AR612" s="109"/>
      <c r="AS612" s="109"/>
    </row>
    <row r="613" spans="1:45" ht="12.6" customHeight="1" x14ac:dyDescent="0.3">
      <c r="A613" s="78"/>
      <c r="B613" s="78"/>
      <c r="C613" s="78"/>
      <c r="D613" s="78"/>
      <c r="E613" s="78"/>
      <c r="F613" s="78"/>
      <c r="G613" s="16" t="s">
        <v>1317</v>
      </c>
      <c r="Z613" s="109"/>
      <c r="AA613" s="109"/>
      <c r="AB613" s="109"/>
      <c r="AC613" s="109"/>
      <c r="AD613" s="109"/>
      <c r="AE613" s="109"/>
      <c r="AF613" s="109"/>
      <c r="AG613" s="109"/>
      <c r="AH613" s="109"/>
      <c r="AI613" s="109"/>
      <c r="AJ613" s="109"/>
      <c r="AK613" s="109"/>
      <c r="AL613" s="109"/>
      <c r="AM613" s="109"/>
      <c r="AN613" s="109"/>
      <c r="AO613" s="109"/>
      <c r="AP613" s="109"/>
      <c r="AQ613" s="109"/>
      <c r="AR613" s="109"/>
      <c r="AS613" s="109"/>
    </row>
    <row r="614" spans="1:45" ht="12.6" customHeight="1" x14ac:dyDescent="0.3">
      <c r="A614" s="68" t="s">
        <v>1615</v>
      </c>
      <c r="B614" s="97" t="str">
        <f>" 재 료 비  :   "&amp;TEXT(I614,"#,##0"&amp;IF(I614&lt;&gt;INT(I614),".###",""))&amp;" / Q  = "&amp;TEXT(C614,"#,##0.0")&amp;""</f>
        <v xml:space="preserve"> 재 료 비  :   8,776 / Q  = 1,094.2</v>
      </c>
      <c r="C614" s="99">
        <f>E614+D614+F614</f>
        <v>1094.2</v>
      </c>
      <c r="D614" s="99">
        <f>IF(H614=0,0,ROUNDDOWN(J614*H614,1))</f>
        <v>0</v>
      </c>
      <c r="E614" s="99">
        <f>IF(H614=0,0,ROUNDDOWN(K614*H614,1))</f>
        <v>1094.2</v>
      </c>
      <c r="F614" s="99">
        <f>IF(H614=0,0,ROUNDDOWN(L614*H614,1))</f>
        <v>0</v>
      </c>
      <c r="G614" s="16" t="s">
        <v>1614</v>
      </c>
      <c r="H614" s="105">
        <f>AC614</f>
        <v>0.12468827930174564</v>
      </c>
      <c r="I614" s="106">
        <f>K614+J614+L614</f>
        <v>8776</v>
      </c>
      <c r="K614" s="39">
        <f>중기목록표!G24</f>
        <v>8776</v>
      </c>
      <c r="M614" s="20" t="s">
        <v>1613</v>
      </c>
      <c r="N614" s="20" t="s">
        <v>1332</v>
      </c>
      <c r="X614" s="108" t="str">
        <f>중기목록표!B24&amp;" / "&amp;중기목록표!C24</f>
        <v xml:space="preserve">덤프트럭4.5ton(암) / </v>
      </c>
      <c r="Y614" s="19" t="str">
        <f ca="1">HYPERLINK("#"&amp;중기목록표!J2&amp;"!A"&amp;ROW(중기목록표!A24),"중기   21 →")</f>
        <v>중기   21 →</v>
      </c>
      <c r="Z614" s="20" t="s">
        <v>1393</v>
      </c>
      <c r="AA614" s="112" t="str">
        <f>AJ609</f>
        <v>8.02</v>
      </c>
      <c r="AB614" s="20" t="s">
        <v>1326</v>
      </c>
      <c r="AC614" s="113">
        <f>1/AJ609</f>
        <v>0.12468827930174564</v>
      </c>
      <c r="AD614" s="109"/>
      <c r="AE614" s="109"/>
      <c r="AF614" s="109"/>
      <c r="AG614" s="109"/>
      <c r="AH614" s="109"/>
      <c r="AI614" s="109"/>
      <c r="AJ614" s="109"/>
      <c r="AK614" s="109"/>
      <c r="AL614" s="109"/>
      <c r="AM614" s="109"/>
      <c r="AN614" s="109"/>
      <c r="AO614" s="109"/>
      <c r="AP614" s="109"/>
      <c r="AQ614" s="109"/>
      <c r="AR614" s="109"/>
      <c r="AS614" s="109"/>
    </row>
    <row r="615" spans="1:45" ht="12.6" customHeight="1" x14ac:dyDescent="0.3">
      <c r="A615" s="78"/>
      <c r="B615" s="78"/>
      <c r="C615" s="78"/>
      <c r="D615" s="78"/>
      <c r="E615" s="78"/>
      <c r="F615" s="78"/>
      <c r="G615" s="16" t="s">
        <v>1317</v>
      </c>
      <c r="Z615" s="109"/>
      <c r="AA615" s="109"/>
      <c r="AB615" s="109"/>
      <c r="AC615" s="109"/>
      <c r="AD615" s="109"/>
      <c r="AE615" s="109"/>
      <c r="AF615" s="109"/>
      <c r="AG615" s="109"/>
      <c r="AH615" s="109"/>
      <c r="AI615" s="109"/>
      <c r="AJ615" s="109"/>
      <c r="AK615" s="109"/>
      <c r="AL615" s="109"/>
      <c r="AM615" s="109"/>
      <c r="AN615" s="109"/>
      <c r="AO615" s="109"/>
      <c r="AP615" s="109"/>
      <c r="AQ615" s="109"/>
      <c r="AR615" s="109"/>
      <c r="AS615" s="109"/>
    </row>
    <row r="616" spans="1:45" ht="12.6" customHeight="1" x14ac:dyDescent="0.3">
      <c r="A616" s="68" t="s">
        <v>1617</v>
      </c>
      <c r="B616" s="97" t="str">
        <f>" 경    비  :   "&amp;TEXT(I616,"#,##0"&amp;IF(I616&lt;&gt;INT(I616),".###",""))&amp;" / Q  = "&amp;TEXT(C616,"#,##0.0")&amp;""</f>
        <v xml:space="preserve"> 경    비  :   8,576 / Q  = 1,069.3</v>
      </c>
      <c r="C616" s="99">
        <f>E616+D616+F616</f>
        <v>1069.3</v>
      </c>
      <c r="D616" s="99">
        <f>IF(H616=0,0,ROUNDDOWN(J616*H616,1))</f>
        <v>0</v>
      </c>
      <c r="E616" s="99">
        <f>IF(H616=0,0,ROUNDDOWN(K616*H616,1))</f>
        <v>0</v>
      </c>
      <c r="F616" s="99">
        <f>IF(H616=0,0,ROUNDDOWN(L616*H616,1))</f>
        <v>1069.3</v>
      </c>
      <c r="G616" s="16" t="s">
        <v>1616</v>
      </c>
      <c r="H616" s="105">
        <f>AC616</f>
        <v>0.12468827930174564</v>
      </c>
      <c r="I616" s="106">
        <f>K616+J616+L616</f>
        <v>8576</v>
      </c>
      <c r="L616" s="39">
        <f>중기목록표!H24</f>
        <v>8576</v>
      </c>
      <c r="M616" s="20" t="s">
        <v>1613</v>
      </c>
      <c r="N616" s="20" t="s">
        <v>1332</v>
      </c>
      <c r="X616" s="108" t="str">
        <f>중기목록표!B24&amp;" / "&amp;중기목록표!C24</f>
        <v xml:space="preserve">덤프트럭4.5ton(암) / </v>
      </c>
      <c r="Y616" s="19" t="str">
        <f ca="1">HYPERLINK("#"&amp;중기목록표!J2&amp;"!A"&amp;ROW(중기목록표!A24),"중기   21 →")</f>
        <v>중기   21 →</v>
      </c>
      <c r="Z616" s="20" t="s">
        <v>1393</v>
      </c>
      <c r="AA616" s="112" t="str">
        <f>AJ609</f>
        <v>8.02</v>
      </c>
      <c r="AB616" s="20" t="s">
        <v>1326</v>
      </c>
      <c r="AC616" s="113">
        <f>1/AJ609</f>
        <v>0.12468827930174564</v>
      </c>
      <c r="AD616" s="109"/>
      <c r="AE616" s="109"/>
      <c r="AF616" s="109"/>
      <c r="AG616" s="109"/>
      <c r="AH616" s="109"/>
      <c r="AI616" s="109"/>
      <c r="AJ616" s="109"/>
      <c r="AK616" s="109"/>
      <c r="AL616" s="109"/>
      <c r="AM616" s="109"/>
      <c r="AN616" s="109"/>
      <c r="AO616" s="109"/>
      <c r="AP616" s="109"/>
      <c r="AQ616" s="109"/>
      <c r="AR616" s="109"/>
      <c r="AS616" s="109"/>
    </row>
    <row r="617" spans="1:45" ht="12.6" customHeight="1" x14ac:dyDescent="0.3">
      <c r="A617" s="78"/>
      <c r="B617" s="78"/>
      <c r="C617" s="78"/>
      <c r="D617" s="78"/>
      <c r="E617" s="78"/>
      <c r="F617" s="78"/>
      <c r="G617" s="16" t="s">
        <v>1317</v>
      </c>
      <c r="Z617" s="109"/>
      <c r="AA617" s="109"/>
      <c r="AB617" s="109"/>
      <c r="AC617" s="109"/>
      <c r="AD617" s="109"/>
      <c r="AE617" s="109"/>
      <c r="AF617" s="109"/>
      <c r="AG617" s="109"/>
      <c r="AH617" s="109"/>
      <c r="AI617" s="109"/>
      <c r="AJ617" s="109"/>
      <c r="AK617" s="109"/>
      <c r="AL617" s="109"/>
      <c r="AM617" s="109"/>
      <c r="AN617" s="109"/>
      <c r="AO617" s="109"/>
      <c r="AP617" s="109"/>
      <c r="AQ617" s="109"/>
      <c r="AR617" s="109"/>
      <c r="AS617" s="109"/>
    </row>
    <row r="618" spans="1:45" ht="12.6" customHeight="1" x14ac:dyDescent="0.3">
      <c r="A618" s="78"/>
      <c r="B618" s="78"/>
      <c r="C618" s="78"/>
      <c r="D618" s="78"/>
      <c r="E618" s="78"/>
      <c r="F618" s="78"/>
      <c r="G618" s="16" t="s">
        <v>1317</v>
      </c>
      <c r="Z618" s="109"/>
      <c r="AA618" s="109"/>
      <c r="AB618" s="109"/>
      <c r="AC618" s="109"/>
      <c r="AD618" s="109"/>
      <c r="AE618" s="109"/>
      <c r="AF618" s="109"/>
      <c r="AG618" s="109"/>
      <c r="AH618" s="109"/>
      <c r="AI618" s="109"/>
      <c r="AJ618" s="109"/>
      <c r="AK618" s="109"/>
      <c r="AL618" s="109"/>
      <c r="AM618" s="109"/>
      <c r="AN618" s="109"/>
      <c r="AO618" s="109"/>
      <c r="AP618" s="109"/>
      <c r="AQ618" s="109"/>
      <c r="AR618" s="109"/>
      <c r="AS618" s="109"/>
    </row>
    <row r="619" spans="1:45" ht="12.6" customHeight="1" x14ac:dyDescent="0.3">
      <c r="A619" s="68"/>
      <c r="B619" s="77" t="s">
        <v>1331</v>
      </c>
      <c r="C619" s="100">
        <f>E619+D619+F619</f>
        <v>8052.6</v>
      </c>
      <c r="D619" s="100">
        <f>SUMIF(N585:N618,M619,D585:D618)</f>
        <v>5889.1</v>
      </c>
      <c r="E619" s="100">
        <f>SUMIF(N585:N618,M619,E585:E618)</f>
        <v>1094.2</v>
      </c>
      <c r="F619" s="100">
        <f>SUMIF(N585:N618,M619,F585:F618)</f>
        <v>1069.3</v>
      </c>
      <c r="G619" s="16" t="s">
        <v>1415</v>
      </c>
      <c r="M619" s="20" t="s">
        <v>1332</v>
      </c>
      <c r="N619" s="20" t="s">
        <v>1341</v>
      </c>
      <c r="Z619" s="109"/>
      <c r="AA619" s="109"/>
      <c r="AB619" s="109"/>
      <c r="AC619" s="109"/>
      <c r="AD619" s="109"/>
      <c r="AE619" s="109"/>
      <c r="AF619" s="109"/>
      <c r="AG619" s="109"/>
      <c r="AH619" s="109"/>
      <c r="AI619" s="109"/>
      <c r="AJ619" s="109"/>
      <c r="AK619" s="109"/>
      <c r="AL619" s="109"/>
      <c r="AM619" s="109"/>
      <c r="AN619" s="109"/>
      <c r="AO619" s="109"/>
      <c r="AP619" s="109"/>
      <c r="AQ619" s="109"/>
      <c r="AR619" s="109"/>
      <c r="AS619" s="109"/>
    </row>
    <row r="620" spans="1:45" ht="12.6" customHeight="1" x14ac:dyDescent="0.3">
      <c r="A620" s="78"/>
      <c r="B620" s="78"/>
      <c r="C620" s="98"/>
      <c r="D620" s="98"/>
      <c r="E620" s="98"/>
      <c r="F620" s="98"/>
      <c r="G620" s="16" t="s">
        <v>1317</v>
      </c>
      <c r="Z620" s="109"/>
      <c r="AA620" s="109"/>
      <c r="AB620" s="109"/>
      <c r="AC620" s="109"/>
      <c r="AD620" s="109"/>
      <c r="AE620" s="109"/>
      <c r="AF620" s="109"/>
      <c r="AG620" s="109"/>
      <c r="AH620" s="109"/>
      <c r="AI620" s="109"/>
      <c r="AJ620" s="109"/>
      <c r="AK620" s="109"/>
      <c r="AL620" s="109"/>
      <c r="AM620" s="109"/>
      <c r="AN620" s="109"/>
      <c r="AO620" s="109"/>
      <c r="AP620" s="109"/>
      <c r="AQ620" s="109"/>
      <c r="AR620" s="109"/>
      <c r="AS620" s="109"/>
    </row>
    <row r="621" spans="1:45" ht="12.6" customHeight="1" x14ac:dyDescent="0.3">
      <c r="A621" s="78"/>
      <c r="B621" s="78"/>
      <c r="C621" s="78"/>
      <c r="D621" s="78"/>
      <c r="E621" s="78"/>
      <c r="F621" s="78"/>
      <c r="G621" s="16" t="s">
        <v>1317</v>
      </c>
      <c r="Z621" s="109"/>
      <c r="AA621" s="109"/>
      <c r="AB621" s="109"/>
      <c r="AC621" s="109"/>
      <c r="AD621" s="109"/>
      <c r="AE621" s="109"/>
      <c r="AF621" s="109"/>
      <c r="AG621" s="109"/>
      <c r="AH621" s="109"/>
      <c r="AI621" s="109"/>
      <c r="AJ621" s="109"/>
      <c r="AK621" s="109"/>
      <c r="AL621" s="109"/>
      <c r="AM621" s="109"/>
      <c r="AN621" s="109"/>
      <c r="AO621" s="109"/>
      <c r="AP621" s="109"/>
      <c r="AQ621" s="109"/>
      <c r="AR621" s="109"/>
      <c r="AS621" s="109"/>
    </row>
    <row r="622" spans="1:45" ht="12.6" customHeight="1" x14ac:dyDescent="0.3">
      <c r="A622" s="68"/>
      <c r="B622" s="77" t="s">
        <v>1340</v>
      </c>
      <c r="C622" s="100">
        <f>E622+D622+F622</f>
        <v>17883.800000000003</v>
      </c>
      <c r="D622" s="100">
        <f>SUMIF(N563:N621,M622,D563:D621)</f>
        <v>11344.5</v>
      </c>
      <c r="E622" s="100">
        <f>SUMIF(N563:N621,M622,E563:E621)</f>
        <v>2857.2</v>
      </c>
      <c r="F622" s="100">
        <f>SUMIF(N563:N621,M622,F563:F621)</f>
        <v>3682.1000000000004</v>
      </c>
      <c r="G622" s="16" t="s">
        <v>1380</v>
      </c>
      <c r="M622" s="20" t="s">
        <v>1341</v>
      </c>
      <c r="N622" s="20" t="s">
        <v>1128</v>
      </c>
      <c r="Z622" s="109"/>
      <c r="AA622" s="109"/>
      <c r="AB622" s="109"/>
      <c r="AC622" s="109"/>
      <c r="AD622" s="109"/>
      <c r="AE622" s="109"/>
      <c r="AF622" s="109"/>
      <c r="AG622" s="109"/>
      <c r="AH622" s="109"/>
      <c r="AI622" s="109"/>
      <c r="AJ622" s="109"/>
      <c r="AK622" s="109"/>
      <c r="AL622" s="109"/>
      <c r="AM622" s="109"/>
      <c r="AN622" s="109"/>
      <c r="AO622" s="109"/>
      <c r="AP622" s="109"/>
      <c r="AQ622" s="109"/>
      <c r="AR622" s="109"/>
      <c r="AS622" s="109"/>
    </row>
    <row r="623" spans="1:45" ht="12.6" customHeight="1" x14ac:dyDescent="0.3">
      <c r="A623" s="78"/>
      <c r="B623" s="78"/>
      <c r="C623" s="98"/>
      <c r="D623" s="98"/>
      <c r="E623" s="98"/>
      <c r="F623" s="98"/>
      <c r="Z623" s="109"/>
      <c r="AA623" s="109"/>
      <c r="AB623" s="109"/>
      <c r="AC623" s="109"/>
      <c r="AD623" s="109"/>
      <c r="AE623" s="109"/>
      <c r="AF623" s="109"/>
      <c r="AG623" s="109"/>
      <c r="AH623" s="109"/>
      <c r="AI623" s="109"/>
      <c r="AJ623" s="109"/>
      <c r="AK623" s="109"/>
      <c r="AL623" s="109"/>
      <c r="AM623" s="109"/>
      <c r="AN623" s="109"/>
      <c r="AO623" s="109"/>
      <c r="AP623" s="109"/>
      <c r="AQ623" s="109"/>
      <c r="AR623" s="109"/>
      <c r="AS623" s="109"/>
    </row>
    <row r="624" spans="1:45" ht="12.6" customHeight="1" x14ac:dyDescent="0.3">
      <c r="A624" s="78"/>
      <c r="B624" s="78"/>
      <c r="C624" s="78"/>
      <c r="D624" s="78"/>
      <c r="E624" s="78"/>
      <c r="F624" s="78"/>
      <c r="Z624" s="109"/>
      <c r="AA624" s="109"/>
      <c r="AB624" s="109"/>
      <c r="AC624" s="109"/>
      <c r="AD624" s="109"/>
      <c r="AE624" s="109"/>
      <c r="AF624" s="109"/>
      <c r="AG624" s="109"/>
      <c r="AH624" s="109"/>
      <c r="AI624" s="109"/>
      <c r="AJ624" s="109"/>
      <c r="AK624" s="109"/>
      <c r="AL624" s="109"/>
      <c r="AM624" s="109"/>
      <c r="AN624" s="109"/>
      <c r="AO624" s="109"/>
      <c r="AP624" s="109"/>
      <c r="AQ624" s="109"/>
      <c r="AR624" s="109"/>
      <c r="AS624" s="109"/>
    </row>
    <row r="625" spans="1:45" ht="12.6" customHeight="1" x14ac:dyDescent="0.3">
      <c r="A625" s="78"/>
      <c r="B625" s="78"/>
      <c r="C625" s="78"/>
      <c r="D625" s="78"/>
      <c r="E625" s="78"/>
      <c r="F625" s="78"/>
      <c r="Z625" s="109"/>
      <c r="AA625" s="109"/>
      <c r="AB625" s="109"/>
      <c r="AC625" s="109"/>
      <c r="AD625" s="109"/>
      <c r="AE625" s="109"/>
      <c r="AF625" s="109"/>
      <c r="AG625" s="109"/>
      <c r="AH625" s="109"/>
      <c r="AI625" s="109"/>
      <c r="AJ625" s="109"/>
      <c r="AK625" s="109"/>
      <c r="AL625" s="109"/>
      <c r="AM625" s="109"/>
      <c r="AN625" s="109"/>
      <c r="AO625" s="109"/>
      <c r="AP625" s="109"/>
      <c r="AQ625" s="109"/>
      <c r="AR625" s="109"/>
      <c r="AS625" s="109"/>
    </row>
    <row r="626" spans="1:45" ht="12.6" customHeight="1" x14ac:dyDescent="0.3">
      <c r="A626" s="78"/>
      <c r="B626" s="78"/>
      <c r="C626" s="78"/>
      <c r="D626" s="78"/>
      <c r="E626" s="78"/>
      <c r="F626" s="78"/>
      <c r="Z626" s="109"/>
      <c r="AA626" s="109"/>
      <c r="AB626" s="109"/>
      <c r="AC626" s="109"/>
      <c r="AD626" s="109"/>
      <c r="AE626" s="109"/>
      <c r="AF626" s="109"/>
      <c r="AG626" s="109"/>
      <c r="AH626" s="109"/>
      <c r="AI626" s="109"/>
      <c r="AJ626" s="109"/>
      <c r="AK626" s="109"/>
      <c r="AL626" s="109"/>
      <c r="AM626" s="109"/>
      <c r="AN626" s="109"/>
      <c r="AO626" s="109"/>
      <c r="AP626" s="109"/>
      <c r="AQ626" s="109"/>
      <c r="AR626" s="109"/>
      <c r="AS626" s="109"/>
    </row>
    <row r="627" spans="1:45" ht="12.6" customHeight="1" x14ac:dyDescent="0.3">
      <c r="A627" s="78"/>
      <c r="B627" s="78"/>
      <c r="C627" s="78"/>
      <c r="D627" s="78"/>
      <c r="E627" s="78"/>
      <c r="F627" s="78"/>
      <c r="Z627" s="109"/>
      <c r="AA627" s="109"/>
      <c r="AB627" s="109"/>
      <c r="AC627" s="109"/>
      <c r="AD627" s="109"/>
      <c r="AE627" s="109"/>
      <c r="AF627" s="109"/>
      <c r="AG627" s="109"/>
      <c r="AH627" s="109"/>
      <c r="AI627" s="109"/>
      <c r="AJ627" s="109"/>
      <c r="AK627" s="109"/>
      <c r="AL627" s="109"/>
      <c r="AM627" s="109"/>
      <c r="AN627" s="109"/>
      <c r="AO627" s="109"/>
      <c r="AP627" s="109"/>
      <c r="AQ627" s="109"/>
      <c r="AR627" s="109"/>
      <c r="AS627" s="109"/>
    </row>
    <row r="628" spans="1:45" ht="12.6" customHeight="1" x14ac:dyDescent="0.3">
      <c r="A628" s="78"/>
      <c r="B628" s="78"/>
      <c r="C628" s="78"/>
      <c r="D628" s="78"/>
      <c r="E628" s="78"/>
      <c r="F628" s="78"/>
      <c r="Z628" s="109"/>
      <c r="AA628" s="109"/>
      <c r="AB628" s="109"/>
      <c r="AC628" s="109"/>
      <c r="AD628" s="109"/>
      <c r="AE628" s="109"/>
      <c r="AF628" s="109"/>
      <c r="AG628" s="109"/>
      <c r="AH628" s="109"/>
      <c r="AI628" s="109"/>
      <c r="AJ628" s="109"/>
      <c r="AK628" s="109"/>
      <c r="AL628" s="109"/>
      <c r="AM628" s="109"/>
      <c r="AN628" s="109"/>
      <c r="AO628" s="109"/>
      <c r="AP628" s="109"/>
      <c r="AQ628" s="109"/>
      <c r="AR628" s="109"/>
      <c r="AS628" s="109"/>
    </row>
    <row r="629" spans="1:45" ht="12.6" customHeight="1" x14ac:dyDescent="0.3">
      <c r="A629" s="78"/>
      <c r="B629" s="78"/>
      <c r="C629" s="78"/>
      <c r="D629" s="78"/>
      <c r="E629" s="78"/>
      <c r="F629" s="78"/>
      <c r="Z629" s="109"/>
      <c r="AA629" s="109"/>
      <c r="AB629" s="109"/>
      <c r="AC629" s="109"/>
      <c r="AD629" s="109"/>
      <c r="AE629" s="109"/>
      <c r="AF629" s="109"/>
      <c r="AG629" s="109"/>
      <c r="AH629" s="109"/>
      <c r="AI629" s="109"/>
      <c r="AJ629" s="109"/>
      <c r="AK629" s="109"/>
      <c r="AL629" s="109"/>
      <c r="AM629" s="109"/>
      <c r="AN629" s="109"/>
      <c r="AO629" s="109"/>
      <c r="AP629" s="109"/>
      <c r="AQ629" s="109"/>
      <c r="AR629" s="109"/>
      <c r="AS629" s="109"/>
    </row>
    <row r="630" spans="1:45" ht="12.6" customHeight="1" x14ac:dyDescent="0.3">
      <c r="A630" s="78"/>
      <c r="B630" s="78"/>
      <c r="C630" s="78"/>
      <c r="D630" s="78"/>
      <c r="E630" s="78"/>
      <c r="F630" s="78"/>
      <c r="Z630" s="109"/>
      <c r="AA630" s="109"/>
      <c r="AB630" s="109"/>
      <c r="AC630" s="109"/>
      <c r="AD630" s="109"/>
      <c r="AE630" s="109"/>
      <c r="AF630" s="109"/>
      <c r="AG630" s="109"/>
      <c r="AH630" s="109"/>
      <c r="AI630" s="109"/>
      <c r="AJ630" s="109"/>
      <c r="AK630" s="109"/>
      <c r="AL630" s="109"/>
      <c r="AM630" s="109"/>
      <c r="AN630" s="109"/>
      <c r="AO630" s="109"/>
      <c r="AP630" s="109"/>
      <c r="AQ630" s="109"/>
      <c r="AR630" s="109"/>
      <c r="AS630" s="109"/>
    </row>
    <row r="631" spans="1:45" ht="12.6" customHeight="1" x14ac:dyDescent="0.3">
      <c r="A631" s="78"/>
      <c r="B631" s="78"/>
      <c r="C631" s="78"/>
      <c r="D631" s="78"/>
      <c r="E631" s="78"/>
      <c r="F631" s="78"/>
      <c r="Z631" s="109"/>
      <c r="AA631" s="109"/>
      <c r="AB631" s="109"/>
      <c r="AC631" s="109"/>
      <c r="AD631" s="109"/>
      <c r="AE631" s="109"/>
      <c r="AF631" s="109"/>
      <c r="AG631" s="109"/>
      <c r="AH631" s="109"/>
      <c r="AI631" s="109"/>
      <c r="AJ631" s="109"/>
      <c r="AK631" s="109"/>
      <c r="AL631" s="109"/>
      <c r="AM631" s="109"/>
      <c r="AN631" s="109"/>
      <c r="AO631" s="109"/>
      <c r="AP631" s="109"/>
      <c r="AQ631" s="109"/>
      <c r="AR631" s="109"/>
      <c r="AS631" s="109"/>
    </row>
    <row r="632" spans="1:45" ht="12.6" customHeight="1" x14ac:dyDescent="0.3">
      <c r="A632" s="78"/>
      <c r="B632" s="78"/>
      <c r="C632" s="78"/>
      <c r="D632" s="78"/>
      <c r="E632" s="78"/>
      <c r="F632" s="78"/>
      <c r="Z632" s="109"/>
      <c r="AA632" s="109"/>
      <c r="AB632" s="109"/>
      <c r="AC632" s="109"/>
      <c r="AD632" s="109"/>
      <c r="AE632" s="109"/>
      <c r="AF632" s="109"/>
      <c r="AG632" s="109"/>
      <c r="AH632" s="109"/>
      <c r="AI632" s="109"/>
      <c r="AJ632" s="109"/>
      <c r="AK632" s="109"/>
      <c r="AL632" s="109"/>
      <c r="AM632" s="109"/>
      <c r="AN632" s="109"/>
      <c r="AO632" s="109"/>
      <c r="AP632" s="109"/>
      <c r="AQ632" s="109"/>
      <c r="AR632" s="109"/>
      <c r="AS632" s="109"/>
    </row>
    <row r="633" spans="1:45" ht="12.6" customHeight="1" x14ac:dyDescent="0.3">
      <c r="A633" s="58"/>
      <c r="B633" s="58"/>
      <c r="C633" s="58"/>
      <c r="D633" s="58"/>
      <c r="E633" s="58"/>
      <c r="F633" s="58"/>
      <c r="Z633" s="109"/>
      <c r="AA633" s="109"/>
      <c r="AB633" s="109"/>
      <c r="AC633" s="109"/>
      <c r="AD633" s="109"/>
      <c r="AE633" s="109"/>
      <c r="AF633" s="109"/>
      <c r="AG633" s="109"/>
      <c r="AH633" s="109"/>
      <c r="AI633" s="109"/>
      <c r="AJ633" s="109"/>
      <c r="AK633" s="109"/>
      <c r="AL633" s="109"/>
      <c r="AM633" s="109"/>
      <c r="AN633" s="109"/>
      <c r="AO633" s="109"/>
      <c r="AP633" s="109"/>
      <c r="AQ633" s="109"/>
      <c r="AR633" s="109"/>
      <c r="AS633" s="109"/>
    </row>
    <row r="634" spans="1:45" ht="12.6" customHeight="1" x14ac:dyDescent="0.3">
      <c r="A634" s="159" t="s">
        <v>1401</v>
      </c>
      <c r="B634" s="152"/>
      <c r="C634" s="55">
        <f>E634+D634+F634</f>
        <v>30398</v>
      </c>
      <c r="D634" s="54">
        <f>ROUNDDOWN(SUMIF(N532:N622,M634,D532:D622),0)</f>
        <v>18289</v>
      </c>
      <c r="E634" s="63">
        <f>ROUNDDOWN(SUMIF(N532:N622,M634,E532:E622),0)</f>
        <v>5101</v>
      </c>
      <c r="F634" s="55">
        <f>ROUNDDOWN(SUMIF(N532:N622,M634,F532:F622),0)</f>
        <v>7008</v>
      </c>
      <c r="M634" s="20" t="s">
        <v>1128</v>
      </c>
      <c r="Z634" s="109"/>
      <c r="AA634" s="109"/>
      <c r="AB634" s="109"/>
      <c r="AC634" s="109"/>
      <c r="AD634" s="109"/>
      <c r="AE634" s="109"/>
      <c r="AF634" s="109"/>
      <c r="AG634" s="109"/>
      <c r="AH634" s="109"/>
      <c r="AI634" s="109"/>
      <c r="AJ634" s="109"/>
      <c r="AK634" s="109"/>
      <c r="AL634" s="109"/>
      <c r="AM634" s="109"/>
      <c r="AN634" s="109"/>
      <c r="AO634" s="109"/>
      <c r="AP634" s="109"/>
      <c r="AQ634" s="109"/>
      <c r="AR634" s="109"/>
      <c r="AS634" s="109"/>
    </row>
    <row r="635" spans="1:45" ht="12.6" customHeight="1" x14ac:dyDescent="0.3">
      <c r="A635" s="95" t="s">
        <v>66</v>
      </c>
      <c r="B635" s="96" t="s">
        <v>66</v>
      </c>
      <c r="C635" s="158">
        <f>C704</f>
        <v>35404</v>
      </c>
      <c r="D635" s="158">
        <f>D704</f>
        <v>18430</v>
      </c>
      <c r="E635" s="158">
        <f>E704</f>
        <v>6085</v>
      </c>
      <c r="F635" s="158">
        <f>F704</f>
        <v>10889</v>
      </c>
      <c r="G635" s="36" t="str">
        <f>HYPERLINK("#G"&amp;ROW(G692),"_x0005_`BDCOD|D01251_x0007_`POSS|"&amp;ROW(G637)&amp;"_x0007_`POSE|"&amp;ROW(G692)&amp;"_x0007_`")</f>
        <v>_x0005_`BDCOD|D01251_x0007_`POSS|637_x0007_`POSE|692_x0007_`</v>
      </c>
      <c r="Z635" s="109"/>
      <c r="AA635" s="109"/>
      <c r="AB635" s="109"/>
      <c r="AC635" s="109"/>
      <c r="AD635" s="109"/>
      <c r="AE635" s="109"/>
      <c r="AF635" s="109"/>
      <c r="AG635" s="109"/>
      <c r="AH635" s="109"/>
      <c r="AI635" s="109"/>
      <c r="AJ635" s="109"/>
      <c r="AK635" s="109"/>
      <c r="AL635" s="109"/>
      <c r="AM635" s="109"/>
      <c r="AN635" s="109"/>
      <c r="AO635" s="109"/>
      <c r="AP635" s="109"/>
      <c r="AQ635" s="109"/>
      <c r="AR635" s="109"/>
      <c r="AS635" s="109"/>
    </row>
    <row r="636" spans="1:45" ht="12.6" customHeight="1" x14ac:dyDescent="0.3">
      <c r="A636" s="84"/>
      <c r="B636" s="96" t="s">
        <v>210</v>
      </c>
      <c r="C636" s="141"/>
      <c r="D636" s="141"/>
      <c r="E636" s="141"/>
      <c r="F636" s="141"/>
      <c r="M636" s="20" t="s">
        <v>209</v>
      </c>
      <c r="Z636" s="109"/>
      <c r="AA636" s="109"/>
      <c r="AB636" s="109"/>
      <c r="AC636" s="109"/>
      <c r="AD636" s="109"/>
      <c r="AE636" s="109"/>
      <c r="AF636" s="109"/>
      <c r="AG636" s="109"/>
      <c r="AH636" s="109"/>
      <c r="AI636" s="109"/>
      <c r="AJ636" s="109"/>
      <c r="AK636" s="109"/>
      <c r="AL636" s="109"/>
      <c r="AM636" s="109"/>
      <c r="AN636" s="109"/>
      <c r="AO636" s="109"/>
      <c r="AP636" s="109"/>
      <c r="AQ636" s="109"/>
      <c r="AR636" s="109"/>
      <c r="AS636" s="109"/>
    </row>
    <row r="637" spans="1:45" ht="12.6" customHeight="1" x14ac:dyDescent="0.3">
      <c r="A637" s="68"/>
      <c r="B637" s="77" t="s">
        <v>1619</v>
      </c>
      <c r="C637" s="98"/>
      <c r="D637" s="98"/>
      <c r="E637" s="98"/>
      <c r="F637" s="98"/>
      <c r="G637" s="16" t="s">
        <v>1618</v>
      </c>
      <c r="Z637" s="109"/>
      <c r="AA637" s="109"/>
      <c r="AB637" s="109"/>
      <c r="AC637" s="109"/>
      <c r="AD637" s="109"/>
      <c r="AE637" s="109"/>
      <c r="AF637" s="109"/>
      <c r="AG637" s="109"/>
      <c r="AH637" s="109"/>
      <c r="AI637" s="109"/>
      <c r="AJ637" s="109"/>
      <c r="AK637" s="109"/>
      <c r="AL637" s="109"/>
      <c r="AM637" s="109"/>
      <c r="AN637" s="109"/>
      <c r="AO637" s="109"/>
      <c r="AP637" s="109"/>
      <c r="AQ637" s="109"/>
      <c r="AR637" s="109"/>
      <c r="AS637" s="109"/>
    </row>
    <row r="638" spans="1:45" ht="12.6" customHeight="1" x14ac:dyDescent="0.3">
      <c r="A638" s="78"/>
      <c r="B638" s="78"/>
      <c r="C638" s="78"/>
      <c r="D638" s="78"/>
      <c r="E638" s="78"/>
      <c r="F638" s="78"/>
      <c r="G638" s="16" t="s">
        <v>1317</v>
      </c>
      <c r="Z638" s="109"/>
      <c r="AA638" s="109"/>
      <c r="AB638" s="109"/>
      <c r="AC638" s="109"/>
      <c r="AD638" s="109"/>
      <c r="AE638" s="109"/>
      <c r="AF638" s="109"/>
      <c r="AG638" s="109"/>
      <c r="AH638" s="109"/>
      <c r="AI638" s="109"/>
      <c r="AJ638" s="109"/>
      <c r="AK638" s="109"/>
      <c r="AL638" s="109"/>
      <c r="AM638" s="109"/>
      <c r="AN638" s="109"/>
      <c r="AO638" s="109"/>
      <c r="AP638" s="109"/>
      <c r="AQ638" s="109"/>
      <c r="AR638" s="109"/>
      <c r="AS638" s="109"/>
    </row>
    <row r="639" spans="1:45" ht="12.6" customHeight="1" x14ac:dyDescent="0.3">
      <c r="A639" s="78"/>
      <c r="B639" s="78"/>
      <c r="C639" s="78"/>
      <c r="D639" s="78"/>
      <c r="E639" s="78"/>
      <c r="F639" s="78"/>
      <c r="G639" s="16" t="s">
        <v>1317</v>
      </c>
      <c r="Z639" s="109"/>
      <c r="AA639" s="109"/>
      <c r="AB639" s="109"/>
      <c r="AC639" s="109"/>
      <c r="AD639" s="109"/>
      <c r="AE639" s="109"/>
      <c r="AF639" s="109"/>
      <c r="AG639" s="109"/>
      <c r="AH639" s="109"/>
      <c r="AI639" s="109"/>
      <c r="AJ639" s="109"/>
      <c r="AK639" s="109"/>
      <c r="AL639" s="109"/>
      <c r="AM639" s="109"/>
      <c r="AN639" s="109"/>
      <c r="AO639" s="109"/>
      <c r="AP639" s="109"/>
      <c r="AQ639" s="109"/>
      <c r="AR639" s="109"/>
      <c r="AS639" s="109"/>
    </row>
    <row r="640" spans="1:45" ht="12.6" customHeight="1" x14ac:dyDescent="0.3">
      <c r="A640" s="68"/>
      <c r="B640" s="77" t="s">
        <v>1621</v>
      </c>
      <c r="C640" s="78"/>
      <c r="D640" s="78"/>
      <c r="E640" s="78"/>
      <c r="F640" s="78"/>
      <c r="G640" s="16" t="s">
        <v>1620</v>
      </c>
      <c r="Z640" s="109"/>
      <c r="AA640" s="109"/>
      <c r="AB640" s="109"/>
      <c r="AC640" s="109"/>
      <c r="AD640" s="109"/>
      <c r="AE640" s="109"/>
      <c r="AF640" s="109"/>
      <c r="AG640" s="109"/>
      <c r="AH640" s="109"/>
      <c r="AI640" s="109"/>
      <c r="AJ640" s="109"/>
      <c r="AK640" s="109"/>
      <c r="AL640" s="109"/>
      <c r="AM640" s="109"/>
      <c r="AN640" s="109"/>
      <c r="AO640" s="109"/>
      <c r="AP640" s="109"/>
      <c r="AQ640" s="109"/>
      <c r="AR640" s="109"/>
      <c r="AS640" s="109"/>
    </row>
    <row r="641" spans="1:45" ht="12.6" customHeight="1" x14ac:dyDescent="0.3">
      <c r="A641" s="78"/>
      <c r="B641" s="78"/>
      <c r="C641" s="78"/>
      <c r="D641" s="78"/>
      <c r="E641" s="78"/>
      <c r="F641" s="78"/>
      <c r="G641" s="16" t="s">
        <v>1317</v>
      </c>
      <c r="Z641" s="109"/>
      <c r="AA641" s="109"/>
      <c r="AB641" s="109"/>
      <c r="AC641" s="109"/>
      <c r="AD641" s="109"/>
      <c r="AE641" s="109"/>
      <c r="AF641" s="109"/>
      <c r="AG641" s="109"/>
      <c r="AH641" s="109"/>
      <c r="AI641" s="109"/>
      <c r="AJ641" s="109"/>
      <c r="AK641" s="109"/>
      <c r="AL641" s="109"/>
      <c r="AM641" s="109"/>
      <c r="AN641" s="109"/>
      <c r="AO641" s="109"/>
      <c r="AP641" s="109"/>
      <c r="AQ641" s="109"/>
      <c r="AR641" s="109"/>
      <c r="AS641" s="109"/>
    </row>
    <row r="642" spans="1:45" ht="12.6" customHeight="1" x14ac:dyDescent="0.3">
      <c r="A642" s="78"/>
      <c r="B642" s="78"/>
      <c r="C642" s="78"/>
      <c r="D642" s="78"/>
      <c r="E642" s="78"/>
      <c r="F642" s="78"/>
      <c r="G642" s="16" t="s">
        <v>1317</v>
      </c>
      <c r="Z642" s="109"/>
      <c r="AA642" s="109"/>
      <c r="AB642" s="109"/>
      <c r="AC642" s="109"/>
      <c r="AD642" s="109"/>
      <c r="AE642" s="109"/>
      <c r="AF642" s="109"/>
      <c r="AG642" s="109"/>
      <c r="AH642" s="109"/>
      <c r="AI642" s="109"/>
      <c r="AJ642" s="109"/>
      <c r="AK642" s="109"/>
      <c r="AL642" s="109"/>
      <c r="AM642" s="109"/>
      <c r="AN642" s="109"/>
      <c r="AO642" s="109"/>
      <c r="AP642" s="109"/>
      <c r="AQ642" s="109"/>
      <c r="AR642" s="109"/>
      <c r="AS642" s="109"/>
    </row>
    <row r="643" spans="1:45" ht="12.6" customHeight="1" x14ac:dyDescent="0.3">
      <c r="A643" s="68"/>
      <c r="B643" s="97" t="str">
        <f>"Q = "&amp;Z643&amp;"  ㎥/hr "</f>
        <v xml:space="preserve">Q = 3.5  ㎥/hr </v>
      </c>
      <c r="C643" s="78"/>
      <c r="D643" s="78"/>
      <c r="E643" s="78"/>
      <c r="F643" s="78"/>
      <c r="G643" s="16" t="s">
        <v>1622</v>
      </c>
      <c r="Z643" s="110">
        <v>3.5</v>
      </c>
      <c r="AA643" s="20" t="s">
        <v>1326</v>
      </c>
      <c r="AB643" s="112">
        <f>Z643</f>
        <v>3.5</v>
      </c>
      <c r="AC643" s="109"/>
      <c r="AD643" s="109"/>
      <c r="AE643" s="109"/>
      <c r="AF643" s="109"/>
      <c r="AG643" s="109"/>
      <c r="AH643" s="109"/>
      <c r="AI643" s="109"/>
      <c r="AJ643" s="109"/>
      <c r="AK643" s="109"/>
      <c r="AL643" s="109"/>
      <c r="AM643" s="109"/>
      <c r="AN643" s="109"/>
      <c r="AO643" s="109"/>
      <c r="AP643" s="109"/>
      <c r="AQ643" s="109"/>
      <c r="AR643" s="109"/>
      <c r="AS643" s="109"/>
    </row>
    <row r="644" spans="1:45" ht="12.6" customHeight="1" x14ac:dyDescent="0.3">
      <c r="A644" s="78"/>
      <c r="B644" s="78"/>
      <c r="C644" s="78"/>
      <c r="D644" s="78"/>
      <c r="E644" s="78"/>
      <c r="F644" s="78"/>
      <c r="G644" s="16" t="s">
        <v>1317</v>
      </c>
      <c r="Z644" s="109"/>
      <c r="AA644" s="109"/>
      <c r="AB644" s="109"/>
      <c r="AC644" s="109"/>
      <c r="AD644" s="109"/>
      <c r="AE644" s="109"/>
      <c r="AF644" s="109"/>
      <c r="AG644" s="109"/>
      <c r="AH644" s="109"/>
      <c r="AI644" s="109"/>
      <c r="AJ644" s="109"/>
      <c r="AK644" s="109"/>
      <c r="AL644" s="109"/>
      <c r="AM644" s="109"/>
      <c r="AN644" s="109"/>
      <c r="AO644" s="109"/>
      <c r="AP644" s="109"/>
      <c r="AQ644" s="109"/>
      <c r="AR644" s="109"/>
      <c r="AS644" s="109"/>
    </row>
    <row r="645" spans="1:45" ht="12.6" customHeight="1" x14ac:dyDescent="0.3">
      <c r="A645" s="78"/>
      <c r="B645" s="78"/>
      <c r="C645" s="78"/>
      <c r="D645" s="78"/>
      <c r="E645" s="78"/>
      <c r="F645" s="78"/>
      <c r="G645" s="16" t="s">
        <v>1317</v>
      </c>
      <c r="Z645" s="109"/>
      <c r="AA645" s="109"/>
      <c r="AB645" s="109"/>
      <c r="AC645" s="109"/>
      <c r="AD645" s="109"/>
      <c r="AE645" s="109"/>
      <c r="AF645" s="109"/>
      <c r="AG645" s="109"/>
      <c r="AH645" s="109"/>
      <c r="AI645" s="109"/>
      <c r="AJ645" s="109"/>
      <c r="AK645" s="109"/>
      <c r="AL645" s="109"/>
      <c r="AM645" s="109"/>
      <c r="AN645" s="109"/>
      <c r="AO645" s="109"/>
      <c r="AP645" s="109"/>
      <c r="AQ645" s="109"/>
      <c r="AR645" s="109"/>
      <c r="AS645" s="109"/>
    </row>
    <row r="646" spans="1:45" ht="12.6" customHeight="1" x14ac:dyDescent="0.3">
      <c r="A646" s="68" t="s">
        <v>1420</v>
      </c>
      <c r="B646" s="97" t="str">
        <f>" 노 무 비  :   "&amp;TEXT(I646,"#,##0"&amp;IF(I646&lt;&gt;INT(I646),".###",""))&amp;" / Q = "&amp;TEXT(C646,"#,##0.0")&amp;""</f>
        <v xml:space="preserve"> 노 무 비  :   55,700 / Q = 15,914.2</v>
      </c>
      <c r="C646" s="99">
        <f>E646+D646+F646</f>
        <v>15914.2</v>
      </c>
      <c r="D646" s="99">
        <f>IF(H646=0,0,ROUNDDOWN(J646*H646,1))</f>
        <v>15914.2</v>
      </c>
      <c r="E646" s="99">
        <f>IF(H646=0,0,ROUNDDOWN(K646*H646,1))</f>
        <v>0</v>
      </c>
      <c r="F646" s="99">
        <f>IF(H646=0,0,ROUNDDOWN(L646*H646,1))</f>
        <v>0</v>
      </c>
      <c r="G646" s="16" t="s">
        <v>1419</v>
      </c>
      <c r="H646" s="105">
        <f>AC646</f>
        <v>0.2857142857142857</v>
      </c>
      <c r="I646" s="106">
        <f>K646+J646+L646</f>
        <v>55700</v>
      </c>
      <c r="J646" s="39">
        <f>중기목록표!F10</f>
        <v>55700</v>
      </c>
      <c r="M646" s="20" t="s">
        <v>1421</v>
      </c>
      <c r="N646" s="20" t="s">
        <v>1332</v>
      </c>
      <c r="X646" s="108" t="str">
        <f>중기목록표!B10&amp;" / "&amp;중기목록표!C10</f>
        <v xml:space="preserve">굴삭기+브레카(0.7m3) / </v>
      </c>
      <c r="Y646" s="19" t="str">
        <f ca="1">HYPERLINK("#"&amp;중기목록표!J2&amp;"!A"&amp;ROW(중기목록표!A10),"중기    7 →")</f>
        <v>중기    7 →</v>
      </c>
      <c r="Z646" s="20" t="s">
        <v>1393</v>
      </c>
      <c r="AA646" s="112">
        <f>AB643</f>
        <v>3.5</v>
      </c>
      <c r="AB646" s="20" t="s">
        <v>1326</v>
      </c>
      <c r="AC646" s="113">
        <f>1/AB643</f>
        <v>0.2857142857142857</v>
      </c>
      <c r="AD646" s="109"/>
      <c r="AE646" s="109"/>
      <c r="AF646" s="109"/>
      <c r="AG646" s="109"/>
      <c r="AH646" s="109"/>
      <c r="AI646" s="109"/>
      <c r="AJ646" s="109"/>
      <c r="AK646" s="109"/>
      <c r="AL646" s="109"/>
      <c r="AM646" s="109"/>
      <c r="AN646" s="109"/>
      <c r="AO646" s="109"/>
      <c r="AP646" s="109"/>
      <c r="AQ646" s="109"/>
      <c r="AR646" s="109"/>
      <c r="AS646" s="109"/>
    </row>
    <row r="647" spans="1:45" ht="12.6" customHeight="1" x14ac:dyDescent="0.3">
      <c r="A647" s="78"/>
      <c r="B647" s="78"/>
      <c r="C647" s="78"/>
      <c r="D647" s="78"/>
      <c r="E647" s="78"/>
      <c r="F647" s="78"/>
      <c r="G647" s="16" t="s">
        <v>1317</v>
      </c>
      <c r="Z647" s="109"/>
      <c r="AA647" s="109"/>
      <c r="AB647" s="109"/>
      <c r="AC647" s="109"/>
      <c r="AD647" s="109"/>
      <c r="AE647" s="109"/>
      <c r="AF647" s="109"/>
      <c r="AG647" s="109"/>
      <c r="AH647" s="109"/>
      <c r="AI647" s="109"/>
      <c r="AJ647" s="109"/>
      <c r="AK647" s="109"/>
      <c r="AL647" s="109"/>
      <c r="AM647" s="109"/>
      <c r="AN647" s="109"/>
      <c r="AO647" s="109"/>
      <c r="AP647" s="109"/>
      <c r="AQ647" s="109"/>
      <c r="AR647" s="109"/>
      <c r="AS647" s="109"/>
    </row>
    <row r="648" spans="1:45" ht="12.6" customHeight="1" x14ac:dyDescent="0.3">
      <c r="A648" s="78"/>
      <c r="B648" s="78"/>
      <c r="C648" s="78"/>
      <c r="D648" s="78"/>
      <c r="E648" s="78"/>
      <c r="F648" s="78"/>
      <c r="G648" s="16" t="s">
        <v>1317</v>
      </c>
      <c r="Z648" s="109"/>
      <c r="AA648" s="109"/>
      <c r="AB648" s="109"/>
      <c r="AC648" s="109"/>
      <c r="AD648" s="109"/>
      <c r="AE648" s="109"/>
      <c r="AF648" s="109"/>
      <c r="AG648" s="109"/>
      <c r="AH648" s="109"/>
      <c r="AI648" s="109"/>
      <c r="AJ648" s="109"/>
      <c r="AK648" s="109"/>
      <c r="AL648" s="109"/>
      <c r="AM648" s="109"/>
      <c r="AN648" s="109"/>
      <c r="AO648" s="109"/>
      <c r="AP648" s="109"/>
      <c r="AQ648" s="109"/>
      <c r="AR648" s="109"/>
      <c r="AS648" s="109"/>
    </row>
    <row r="649" spans="1:45" ht="12.6" customHeight="1" x14ac:dyDescent="0.3">
      <c r="A649" s="68" t="s">
        <v>1423</v>
      </c>
      <c r="B649" s="97" t="str">
        <f>" 재 료 비  :   "&amp;TEXT(I649,"#,##0"&amp;IF(I649&lt;&gt;INT(I649),".###",""))&amp;" / Q = "&amp;TEXT(C649,"#,##0.0")&amp;""</f>
        <v xml:space="preserve"> 재 료 비  :   17,116 / Q = 4,890.2</v>
      </c>
      <c r="C649" s="99">
        <f>E649+D649+F649</f>
        <v>4890.2</v>
      </c>
      <c r="D649" s="99">
        <f>IF(H649=0,0,ROUNDDOWN(J649*H649,1))</f>
        <v>0</v>
      </c>
      <c r="E649" s="99">
        <f>IF(H649=0,0,ROUNDDOWN(K649*H649,1))</f>
        <v>4890.2</v>
      </c>
      <c r="F649" s="99">
        <f>IF(H649=0,0,ROUNDDOWN(L649*H649,1))</f>
        <v>0</v>
      </c>
      <c r="G649" s="16" t="s">
        <v>1422</v>
      </c>
      <c r="H649" s="105">
        <f>AC649</f>
        <v>0.2857142857142857</v>
      </c>
      <c r="I649" s="106">
        <f>K649+J649+L649</f>
        <v>17116</v>
      </c>
      <c r="K649" s="39">
        <f>중기목록표!G10</f>
        <v>17116</v>
      </c>
      <c r="M649" s="20" t="s">
        <v>1421</v>
      </c>
      <c r="N649" s="20" t="s">
        <v>1332</v>
      </c>
      <c r="X649" s="108" t="str">
        <f>중기목록표!B10&amp;" / "&amp;중기목록표!C10</f>
        <v xml:space="preserve">굴삭기+브레카(0.7m3) / </v>
      </c>
      <c r="Y649" s="19" t="str">
        <f ca="1">HYPERLINK("#"&amp;중기목록표!J2&amp;"!A"&amp;ROW(중기목록표!A10),"중기    7 →")</f>
        <v>중기    7 →</v>
      </c>
      <c r="Z649" s="20" t="s">
        <v>1393</v>
      </c>
      <c r="AA649" s="112">
        <f>AB643</f>
        <v>3.5</v>
      </c>
      <c r="AB649" s="20" t="s">
        <v>1326</v>
      </c>
      <c r="AC649" s="113">
        <f>1/AB643</f>
        <v>0.2857142857142857</v>
      </c>
      <c r="AD649" s="109"/>
      <c r="AE649" s="109"/>
      <c r="AF649" s="109"/>
      <c r="AG649" s="109"/>
      <c r="AH649" s="109"/>
      <c r="AI649" s="109"/>
      <c r="AJ649" s="109"/>
      <c r="AK649" s="109"/>
      <c r="AL649" s="109"/>
      <c r="AM649" s="109"/>
      <c r="AN649" s="109"/>
      <c r="AO649" s="109"/>
      <c r="AP649" s="109"/>
      <c r="AQ649" s="109"/>
      <c r="AR649" s="109"/>
      <c r="AS649" s="109"/>
    </row>
    <row r="650" spans="1:45" ht="12.6" customHeight="1" x14ac:dyDescent="0.3">
      <c r="A650" s="78"/>
      <c r="B650" s="78"/>
      <c r="C650" s="78"/>
      <c r="D650" s="78"/>
      <c r="E650" s="78"/>
      <c r="F650" s="78"/>
      <c r="G650" s="16" t="s">
        <v>1317</v>
      </c>
      <c r="Z650" s="109"/>
      <c r="AA650" s="109"/>
      <c r="AB650" s="109"/>
      <c r="AC650" s="109"/>
      <c r="AD650" s="109"/>
      <c r="AE650" s="109"/>
      <c r="AF650" s="109"/>
      <c r="AG650" s="109"/>
      <c r="AH650" s="109"/>
      <c r="AI650" s="109"/>
      <c r="AJ650" s="109"/>
      <c r="AK650" s="109"/>
      <c r="AL650" s="109"/>
      <c r="AM650" s="109"/>
      <c r="AN650" s="109"/>
      <c r="AO650" s="109"/>
      <c r="AP650" s="109"/>
      <c r="AQ650" s="109"/>
      <c r="AR650" s="109"/>
      <c r="AS650" s="109"/>
    </row>
    <row r="651" spans="1:45" ht="12.6" customHeight="1" x14ac:dyDescent="0.3">
      <c r="A651" s="78"/>
      <c r="B651" s="78"/>
      <c r="C651" s="78"/>
      <c r="D651" s="78"/>
      <c r="E651" s="78"/>
      <c r="F651" s="78"/>
      <c r="G651" s="16" t="s">
        <v>1317</v>
      </c>
      <c r="Z651" s="109"/>
      <c r="AA651" s="109"/>
      <c r="AB651" s="109"/>
      <c r="AC651" s="109"/>
      <c r="AD651" s="109"/>
      <c r="AE651" s="109"/>
      <c r="AF651" s="109"/>
      <c r="AG651" s="109"/>
      <c r="AH651" s="109"/>
      <c r="AI651" s="109"/>
      <c r="AJ651" s="109"/>
      <c r="AK651" s="109"/>
      <c r="AL651" s="109"/>
      <c r="AM651" s="109"/>
      <c r="AN651" s="109"/>
      <c r="AO651" s="109"/>
      <c r="AP651" s="109"/>
      <c r="AQ651" s="109"/>
      <c r="AR651" s="109"/>
      <c r="AS651" s="109"/>
    </row>
    <row r="652" spans="1:45" ht="12.6" customHeight="1" x14ac:dyDescent="0.3">
      <c r="A652" s="68" t="s">
        <v>1425</v>
      </c>
      <c r="B652" s="97" t="str">
        <f>" 경    비  :   "&amp;TEXT(I652,"#,##0"&amp;IF(I652&lt;&gt;INT(I652),".###",""))&amp;" / Q = "&amp;TEXT(C652,"#,##0.0")&amp;""</f>
        <v xml:space="preserve"> 경    비  :   33,897 / Q = 9,684.8</v>
      </c>
      <c r="C652" s="99">
        <f>E652+D652+F652</f>
        <v>9684.7999999999993</v>
      </c>
      <c r="D652" s="99">
        <f>IF(H652=0,0,ROUNDDOWN(J652*H652,1))</f>
        <v>0</v>
      </c>
      <c r="E652" s="99">
        <f>IF(H652=0,0,ROUNDDOWN(K652*H652,1))</f>
        <v>0</v>
      </c>
      <c r="F652" s="99">
        <f>IF(H652=0,0,ROUNDDOWN(L652*H652,1))</f>
        <v>9684.7999999999993</v>
      </c>
      <c r="G652" s="16" t="s">
        <v>1424</v>
      </c>
      <c r="H652" s="105">
        <f>AC652</f>
        <v>0.2857142857142857</v>
      </c>
      <c r="I652" s="106">
        <f>K652+J652+L652</f>
        <v>33897</v>
      </c>
      <c r="L652" s="39">
        <f>중기목록표!H10</f>
        <v>33897</v>
      </c>
      <c r="M652" s="20" t="s">
        <v>1421</v>
      </c>
      <c r="N652" s="20" t="s">
        <v>1332</v>
      </c>
      <c r="X652" s="108" t="str">
        <f>중기목록표!B10&amp;" / "&amp;중기목록표!C10</f>
        <v xml:space="preserve">굴삭기+브레카(0.7m3) / </v>
      </c>
      <c r="Y652" s="19" t="str">
        <f ca="1">HYPERLINK("#"&amp;중기목록표!J2&amp;"!A"&amp;ROW(중기목록표!A10),"중기    7 →")</f>
        <v>중기    7 →</v>
      </c>
      <c r="Z652" s="20" t="s">
        <v>1393</v>
      </c>
      <c r="AA652" s="112">
        <f>AB643</f>
        <v>3.5</v>
      </c>
      <c r="AB652" s="20" t="s">
        <v>1326</v>
      </c>
      <c r="AC652" s="113">
        <f>1/AB643</f>
        <v>0.2857142857142857</v>
      </c>
      <c r="AD652" s="109"/>
      <c r="AE652" s="109"/>
      <c r="AF652" s="109"/>
      <c r="AG652" s="109"/>
      <c r="AH652" s="109"/>
      <c r="AI652" s="109"/>
      <c r="AJ652" s="109"/>
      <c r="AK652" s="109"/>
      <c r="AL652" s="109"/>
      <c r="AM652" s="109"/>
      <c r="AN652" s="109"/>
      <c r="AO652" s="109"/>
      <c r="AP652" s="109"/>
      <c r="AQ652" s="109"/>
      <c r="AR652" s="109"/>
      <c r="AS652" s="109"/>
    </row>
    <row r="653" spans="1:45" ht="12.6" customHeight="1" x14ac:dyDescent="0.3">
      <c r="A653" s="78"/>
      <c r="B653" s="78"/>
      <c r="C653" s="78"/>
      <c r="D653" s="78"/>
      <c r="E653" s="78"/>
      <c r="F653" s="78"/>
      <c r="G653" s="16" t="s">
        <v>1317</v>
      </c>
      <c r="Z653" s="109"/>
      <c r="AA653" s="109"/>
      <c r="AB653" s="109"/>
      <c r="AC653" s="109"/>
      <c r="AD653" s="109"/>
      <c r="AE653" s="109"/>
      <c r="AF653" s="109"/>
      <c r="AG653" s="109"/>
      <c r="AH653" s="109"/>
      <c r="AI653" s="109"/>
      <c r="AJ653" s="109"/>
      <c r="AK653" s="109"/>
      <c r="AL653" s="109"/>
      <c r="AM653" s="109"/>
      <c r="AN653" s="109"/>
      <c r="AO653" s="109"/>
      <c r="AP653" s="109"/>
      <c r="AQ653" s="109"/>
      <c r="AR653" s="109"/>
      <c r="AS653" s="109"/>
    </row>
    <row r="654" spans="1:45" ht="12.6" customHeight="1" x14ac:dyDescent="0.3">
      <c r="A654" s="78"/>
      <c r="B654" s="78"/>
      <c r="C654" s="78"/>
      <c r="D654" s="78"/>
      <c r="E654" s="78"/>
      <c r="F654" s="78"/>
      <c r="G654" s="16" t="s">
        <v>1317</v>
      </c>
      <c r="Z654" s="109"/>
      <c r="AA654" s="109"/>
      <c r="AB654" s="109"/>
      <c r="AC654" s="109"/>
      <c r="AD654" s="109"/>
      <c r="AE654" s="109"/>
      <c r="AF654" s="109"/>
      <c r="AG654" s="109"/>
      <c r="AH654" s="109"/>
      <c r="AI654" s="109"/>
      <c r="AJ654" s="109"/>
      <c r="AK654" s="109"/>
      <c r="AL654" s="109"/>
      <c r="AM654" s="109"/>
      <c r="AN654" s="109"/>
      <c r="AO654" s="109"/>
      <c r="AP654" s="109"/>
      <c r="AQ654" s="109"/>
      <c r="AR654" s="109"/>
      <c r="AS654" s="109"/>
    </row>
    <row r="655" spans="1:45" ht="12.6" customHeight="1" x14ac:dyDescent="0.3">
      <c r="A655" s="78"/>
      <c r="B655" s="78"/>
      <c r="C655" s="78"/>
      <c r="D655" s="78"/>
      <c r="E655" s="78"/>
      <c r="F655" s="78"/>
      <c r="G655" s="16" t="s">
        <v>1317</v>
      </c>
      <c r="Z655" s="109"/>
      <c r="AA655" s="109"/>
      <c r="AB655" s="109"/>
      <c r="AC655" s="109"/>
      <c r="AD655" s="109"/>
      <c r="AE655" s="109"/>
      <c r="AF655" s="109"/>
      <c r="AG655" s="109"/>
      <c r="AH655" s="109"/>
      <c r="AI655" s="109"/>
      <c r="AJ655" s="109"/>
      <c r="AK655" s="109"/>
      <c r="AL655" s="109"/>
      <c r="AM655" s="109"/>
      <c r="AN655" s="109"/>
      <c r="AO655" s="109"/>
      <c r="AP655" s="109"/>
      <c r="AQ655" s="109"/>
      <c r="AR655" s="109"/>
      <c r="AS655" s="109"/>
    </row>
    <row r="656" spans="1:45" ht="12.6" customHeight="1" x14ac:dyDescent="0.3">
      <c r="A656" s="78"/>
      <c r="B656" s="78"/>
      <c r="C656" s="78"/>
      <c r="D656" s="78"/>
      <c r="E656" s="78"/>
      <c r="F656" s="78"/>
      <c r="G656" s="16" t="s">
        <v>1317</v>
      </c>
      <c r="Z656" s="109"/>
      <c r="AA656" s="109"/>
      <c r="AB656" s="109"/>
      <c r="AC656" s="109"/>
      <c r="AD656" s="109"/>
      <c r="AE656" s="109"/>
      <c r="AF656" s="109"/>
      <c r="AG656" s="109"/>
      <c r="AH656" s="109"/>
      <c r="AI656" s="109"/>
      <c r="AJ656" s="109"/>
      <c r="AK656" s="109"/>
      <c r="AL656" s="109"/>
      <c r="AM656" s="109"/>
      <c r="AN656" s="109"/>
      <c r="AO656" s="109"/>
      <c r="AP656" s="109"/>
      <c r="AQ656" s="109"/>
      <c r="AR656" s="109"/>
      <c r="AS656" s="109"/>
    </row>
    <row r="657" spans="1:45" ht="12.6" customHeight="1" x14ac:dyDescent="0.3">
      <c r="A657" s="68"/>
      <c r="B657" s="77" t="s">
        <v>1331</v>
      </c>
      <c r="C657" s="100">
        <f>E657+D657+F657</f>
        <v>30489.200000000001</v>
      </c>
      <c r="D657" s="100">
        <f>SUMIF(N637:N656,M657,D637:D656)</f>
        <v>15914.2</v>
      </c>
      <c r="E657" s="100">
        <f>SUMIF(N637:N656,M657,E637:E656)</f>
        <v>4890.2</v>
      </c>
      <c r="F657" s="100">
        <f>SUMIF(N637:N656,M657,F637:F656)</f>
        <v>9684.7999999999993</v>
      </c>
      <c r="G657" s="16" t="s">
        <v>1415</v>
      </c>
      <c r="M657" s="20" t="s">
        <v>1332</v>
      </c>
      <c r="N657" s="20" t="s">
        <v>1341</v>
      </c>
      <c r="Z657" s="109"/>
      <c r="AA657" s="109"/>
      <c r="AB657" s="109"/>
      <c r="AC657" s="109"/>
      <c r="AD657" s="109"/>
      <c r="AE657" s="109"/>
      <c r="AF657" s="109"/>
      <c r="AG657" s="109"/>
      <c r="AH657" s="109"/>
      <c r="AI657" s="109"/>
      <c r="AJ657" s="109"/>
      <c r="AK657" s="109"/>
      <c r="AL657" s="109"/>
      <c r="AM657" s="109"/>
      <c r="AN657" s="109"/>
      <c r="AO657" s="109"/>
      <c r="AP657" s="109"/>
      <c r="AQ657" s="109"/>
      <c r="AR657" s="109"/>
      <c r="AS657" s="109"/>
    </row>
    <row r="658" spans="1:45" ht="12.6" customHeight="1" x14ac:dyDescent="0.3">
      <c r="A658" s="78"/>
      <c r="B658" s="78"/>
      <c r="C658" s="98"/>
      <c r="D658" s="98"/>
      <c r="E658" s="98"/>
      <c r="F658" s="98"/>
      <c r="G658" s="16" t="s">
        <v>1317</v>
      </c>
      <c r="Z658" s="109"/>
      <c r="AA658" s="109"/>
      <c r="AB658" s="109"/>
      <c r="AC658" s="109"/>
      <c r="AD658" s="109"/>
      <c r="AE658" s="109"/>
      <c r="AF658" s="109"/>
      <c r="AG658" s="109"/>
      <c r="AH658" s="109"/>
      <c r="AI658" s="109"/>
      <c r="AJ658" s="109"/>
      <c r="AK658" s="109"/>
      <c r="AL658" s="109"/>
      <c r="AM658" s="109"/>
      <c r="AN658" s="109"/>
      <c r="AO658" s="109"/>
      <c r="AP658" s="109"/>
      <c r="AQ658" s="109"/>
      <c r="AR658" s="109"/>
      <c r="AS658" s="109"/>
    </row>
    <row r="659" spans="1:45" ht="12.6" customHeight="1" x14ac:dyDescent="0.3">
      <c r="A659" s="78"/>
      <c r="B659" s="78"/>
      <c r="C659" s="78"/>
      <c r="D659" s="78"/>
      <c r="E659" s="78"/>
      <c r="F659" s="78"/>
      <c r="G659" s="16" t="s">
        <v>1317</v>
      </c>
      <c r="Z659" s="109"/>
      <c r="AA659" s="109"/>
      <c r="AB659" s="109"/>
      <c r="AC659" s="109"/>
      <c r="AD659" s="109"/>
      <c r="AE659" s="109"/>
      <c r="AF659" s="109"/>
      <c r="AG659" s="109"/>
      <c r="AH659" s="109"/>
      <c r="AI659" s="109"/>
      <c r="AJ659" s="109"/>
      <c r="AK659" s="109"/>
      <c r="AL659" s="109"/>
      <c r="AM659" s="109"/>
      <c r="AN659" s="109"/>
      <c r="AO659" s="109"/>
      <c r="AP659" s="109"/>
      <c r="AQ659" s="109"/>
      <c r="AR659" s="109"/>
      <c r="AS659" s="109"/>
    </row>
    <row r="660" spans="1:45" ht="12.6" customHeight="1" x14ac:dyDescent="0.3">
      <c r="A660" s="68"/>
      <c r="B660" s="77" t="s">
        <v>1624</v>
      </c>
      <c r="C660" s="78"/>
      <c r="D660" s="78"/>
      <c r="E660" s="78"/>
      <c r="F660" s="78"/>
      <c r="G660" s="16" t="s">
        <v>1623</v>
      </c>
      <c r="Z660" s="109"/>
      <c r="AA660" s="109"/>
      <c r="AB660" s="109"/>
      <c r="AC660" s="109"/>
      <c r="AD660" s="109"/>
      <c r="AE660" s="109"/>
      <c r="AF660" s="109"/>
      <c r="AG660" s="109"/>
      <c r="AH660" s="109"/>
      <c r="AI660" s="109"/>
      <c r="AJ660" s="109"/>
      <c r="AK660" s="109"/>
      <c r="AL660" s="109"/>
      <c r="AM660" s="109"/>
      <c r="AN660" s="109"/>
      <c r="AO660" s="109"/>
      <c r="AP660" s="109"/>
      <c r="AQ660" s="109"/>
      <c r="AR660" s="109"/>
      <c r="AS660" s="109"/>
    </row>
    <row r="661" spans="1:45" ht="12.6" customHeight="1" x14ac:dyDescent="0.3">
      <c r="A661" s="78"/>
      <c r="B661" s="78"/>
      <c r="C661" s="78"/>
      <c r="D661" s="78"/>
      <c r="E661" s="78"/>
      <c r="F661" s="78"/>
      <c r="G661" s="16" t="s">
        <v>1317</v>
      </c>
      <c r="Z661" s="109"/>
      <c r="AA661" s="109"/>
      <c r="AB661" s="109"/>
      <c r="AC661" s="109"/>
      <c r="AD661" s="109"/>
      <c r="AE661" s="109"/>
      <c r="AF661" s="109"/>
      <c r="AG661" s="109"/>
      <c r="AH661" s="109"/>
      <c r="AI661" s="109"/>
      <c r="AJ661" s="109"/>
      <c r="AK661" s="109"/>
      <c r="AL661" s="109"/>
      <c r="AM661" s="109"/>
      <c r="AN661" s="109"/>
      <c r="AO661" s="109"/>
      <c r="AP661" s="109"/>
      <c r="AQ661" s="109"/>
      <c r="AR661" s="109"/>
      <c r="AS661" s="109"/>
    </row>
    <row r="662" spans="1:45" ht="12.6" customHeight="1" x14ac:dyDescent="0.3">
      <c r="A662" s="68"/>
      <c r="B662" s="97" t="str">
        <f>" S = "&amp;Z662&amp;""</f>
        <v xml:space="preserve"> S = 0.006</v>
      </c>
      <c r="C662" s="78"/>
      <c r="D662" s="78"/>
      <c r="E662" s="78"/>
      <c r="F662" s="78"/>
      <c r="G662" s="16" t="s">
        <v>1428</v>
      </c>
      <c r="Z662" s="110">
        <v>6.0000000000000001E-3</v>
      </c>
      <c r="AA662" s="20" t="s">
        <v>1326</v>
      </c>
      <c r="AB662" s="112">
        <f>Z662</f>
        <v>6.0000000000000001E-3</v>
      </c>
      <c r="AC662" s="109"/>
      <c r="AD662" s="109"/>
      <c r="AE662" s="109"/>
      <c r="AF662" s="109"/>
      <c r="AG662" s="109"/>
      <c r="AH662" s="109"/>
      <c r="AI662" s="109"/>
      <c r="AJ662" s="109"/>
      <c r="AK662" s="109"/>
      <c r="AL662" s="109"/>
      <c r="AM662" s="109"/>
      <c r="AN662" s="109"/>
      <c r="AO662" s="109"/>
      <c r="AP662" s="109"/>
      <c r="AQ662" s="109"/>
      <c r="AR662" s="109"/>
      <c r="AS662" s="109"/>
    </row>
    <row r="663" spans="1:45" ht="12.6" customHeight="1" x14ac:dyDescent="0.3">
      <c r="A663" s="78"/>
      <c r="B663" s="78"/>
      <c r="C663" s="78"/>
      <c r="D663" s="78"/>
      <c r="E663" s="78"/>
      <c r="F663" s="78"/>
      <c r="G663" s="16" t="s">
        <v>1317</v>
      </c>
      <c r="Z663" s="109"/>
      <c r="AA663" s="109"/>
      <c r="AB663" s="109"/>
      <c r="AC663" s="109"/>
      <c r="AD663" s="109"/>
      <c r="AE663" s="109"/>
      <c r="AF663" s="109"/>
      <c r="AG663" s="109"/>
      <c r="AH663" s="109"/>
      <c r="AI663" s="109"/>
      <c r="AJ663" s="109"/>
      <c r="AK663" s="109"/>
      <c r="AL663" s="109"/>
      <c r="AM663" s="109"/>
      <c r="AN663" s="109"/>
      <c r="AO663" s="109"/>
      <c r="AP663" s="109"/>
      <c r="AQ663" s="109"/>
      <c r="AR663" s="109"/>
      <c r="AS663" s="109"/>
    </row>
    <row r="664" spans="1:45" ht="12.6" customHeight="1" x14ac:dyDescent="0.3">
      <c r="A664" s="68" t="s">
        <v>1430</v>
      </c>
      <c r="B664" s="97" t="str">
        <f>"     S*"&amp;TEXT(I664,"#,##0"&amp;IF(I664&lt;&gt;INT(I664),".###",""))&amp;"/ Q = "&amp;TEXT(C664,"#,##0.0")&amp;" W/㎥ "</f>
        <v xml:space="preserve">     S*223,000/ Q = 382.2 W/㎥ </v>
      </c>
      <c r="C664" s="99">
        <f>E664+D664+F664</f>
        <v>382.2</v>
      </c>
      <c r="D664" s="99">
        <f>IF(H664=0,0,ROUNDDOWN(J664*H664,1))</f>
        <v>0</v>
      </c>
      <c r="E664" s="99">
        <f>IF(H664=0,0,ROUNDDOWN(K664*H664,1))</f>
        <v>382.2</v>
      </c>
      <c r="F664" s="99">
        <f>IF(H664=0,0,ROUNDDOWN(L664*H664,1))</f>
        <v>0</v>
      </c>
      <c r="G664" s="16" t="s">
        <v>1625</v>
      </c>
      <c r="H664" s="105">
        <f>AD664</f>
        <v>1.7142857142857144E-3</v>
      </c>
      <c r="I664" s="106">
        <f>K664+J664+L664</f>
        <v>223000</v>
      </c>
      <c r="K664" s="39">
        <f>재료비목록표!E23</f>
        <v>223000</v>
      </c>
      <c r="M664" s="20" t="s">
        <v>1431</v>
      </c>
      <c r="N664" s="20" t="s">
        <v>1332</v>
      </c>
      <c r="X664" s="108" t="str">
        <f>재료비목록표!B23&amp;" / "&amp;재료비목록표!C23</f>
        <v>치즐 / 0.7m3</v>
      </c>
      <c r="Y664" s="19" t="str">
        <f ca="1">HYPERLINK("#"&amp;재료비목록표!G2&amp;"!A"&amp;ROW(재료비목록표!A23),"자재   20 →")</f>
        <v>자재   20 →</v>
      </c>
      <c r="Z664" s="112">
        <f>AB662</f>
        <v>6.0000000000000001E-3</v>
      </c>
      <c r="AA664" s="20" t="s">
        <v>1432</v>
      </c>
      <c r="AB664" s="112">
        <f>AB643</f>
        <v>3.5</v>
      </c>
      <c r="AC664" s="20" t="s">
        <v>1326</v>
      </c>
      <c r="AD664" s="113">
        <f>AB662*1/AB643</f>
        <v>1.7142857142857144E-3</v>
      </c>
      <c r="AE664" s="109"/>
      <c r="AF664" s="109"/>
      <c r="AG664" s="109"/>
      <c r="AH664" s="109"/>
      <c r="AI664" s="109"/>
      <c r="AJ664" s="109"/>
      <c r="AK664" s="109"/>
      <c r="AL664" s="109"/>
      <c r="AM664" s="109"/>
      <c r="AN664" s="109"/>
      <c r="AO664" s="109"/>
      <c r="AP664" s="109"/>
      <c r="AQ664" s="109"/>
      <c r="AR664" s="109"/>
      <c r="AS664" s="109"/>
    </row>
    <row r="665" spans="1:45" ht="12.6" customHeight="1" x14ac:dyDescent="0.3">
      <c r="A665" s="78"/>
      <c r="B665" s="78"/>
      <c r="C665" s="78"/>
      <c r="D665" s="78"/>
      <c r="E665" s="78"/>
      <c r="F665" s="78"/>
      <c r="G665" s="16" t="s">
        <v>1317</v>
      </c>
      <c r="Z665" s="109"/>
      <c r="AA665" s="109"/>
      <c r="AB665" s="109"/>
      <c r="AC665" s="109"/>
      <c r="AD665" s="109"/>
      <c r="AE665" s="109"/>
      <c r="AF665" s="109"/>
      <c r="AG665" s="109"/>
      <c r="AH665" s="109"/>
      <c r="AI665" s="109"/>
      <c r="AJ665" s="109"/>
      <c r="AK665" s="109"/>
      <c r="AL665" s="109"/>
      <c r="AM665" s="109"/>
      <c r="AN665" s="109"/>
      <c r="AO665" s="109"/>
      <c r="AP665" s="109"/>
      <c r="AQ665" s="109"/>
      <c r="AR665" s="109"/>
      <c r="AS665" s="109"/>
    </row>
    <row r="666" spans="1:45" ht="12.6" customHeight="1" x14ac:dyDescent="0.3">
      <c r="A666" s="68"/>
      <c r="B666" s="77" t="s">
        <v>1331</v>
      </c>
      <c r="C666" s="100">
        <f>E666+D666+F666</f>
        <v>382.2</v>
      </c>
      <c r="D666" s="100">
        <f>SUMIF(N658:N665,M666,D658:D665)</f>
        <v>0</v>
      </c>
      <c r="E666" s="100">
        <f>SUMIF(N658:N665,M666,E658:E665)</f>
        <v>382.2</v>
      </c>
      <c r="F666" s="100">
        <f>SUMIF(N658:N665,M666,F658:F665)</f>
        <v>0</v>
      </c>
      <c r="G666" s="16" t="s">
        <v>1415</v>
      </c>
      <c r="M666" s="20" t="s">
        <v>1332</v>
      </c>
      <c r="N666" s="20" t="s">
        <v>1341</v>
      </c>
      <c r="Z666" s="109"/>
      <c r="AA666" s="109"/>
      <c r="AB666" s="109"/>
      <c r="AC666" s="109"/>
      <c r="AD666" s="109"/>
      <c r="AE666" s="109"/>
      <c r="AF666" s="109"/>
      <c r="AG666" s="109"/>
      <c r="AH666" s="109"/>
      <c r="AI666" s="109"/>
      <c r="AJ666" s="109"/>
      <c r="AK666" s="109"/>
      <c r="AL666" s="109"/>
      <c r="AM666" s="109"/>
      <c r="AN666" s="109"/>
      <c r="AO666" s="109"/>
      <c r="AP666" s="109"/>
      <c r="AQ666" s="109"/>
      <c r="AR666" s="109"/>
      <c r="AS666" s="109"/>
    </row>
    <row r="667" spans="1:45" ht="12.6" customHeight="1" x14ac:dyDescent="0.3">
      <c r="A667" s="78"/>
      <c r="B667" s="78"/>
      <c r="C667" s="98"/>
      <c r="D667" s="98"/>
      <c r="E667" s="98"/>
      <c r="F667" s="98"/>
      <c r="G667" s="16" t="s">
        <v>1317</v>
      </c>
      <c r="Z667" s="109"/>
      <c r="AA667" s="109"/>
      <c r="AB667" s="109"/>
      <c r="AC667" s="109"/>
      <c r="AD667" s="109"/>
      <c r="AE667" s="109"/>
      <c r="AF667" s="109"/>
      <c r="AG667" s="109"/>
      <c r="AH667" s="109"/>
      <c r="AI667" s="109"/>
      <c r="AJ667" s="109"/>
      <c r="AK667" s="109"/>
      <c r="AL667" s="109"/>
      <c r="AM667" s="109"/>
      <c r="AN667" s="109"/>
      <c r="AO667" s="109"/>
      <c r="AP667" s="109"/>
      <c r="AQ667" s="109"/>
      <c r="AR667" s="109"/>
      <c r="AS667" s="109"/>
    </row>
    <row r="668" spans="1:45" ht="12.6" customHeight="1" x14ac:dyDescent="0.3">
      <c r="A668" s="78"/>
      <c r="B668" s="78"/>
      <c r="C668" s="78"/>
      <c r="D668" s="78"/>
      <c r="E668" s="78"/>
      <c r="F668" s="78"/>
      <c r="G668" s="16" t="s">
        <v>1317</v>
      </c>
      <c r="Z668" s="109"/>
      <c r="AA668" s="109"/>
      <c r="AB668" s="109"/>
      <c r="AC668" s="109"/>
      <c r="AD668" s="109"/>
      <c r="AE668" s="109"/>
      <c r="AF668" s="109"/>
      <c r="AG668" s="109"/>
      <c r="AH668" s="109"/>
      <c r="AI668" s="109"/>
      <c r="AJ668" s="109"/>
      <c r="AK668" s="109"/>
      <c r="AL668" s="109"/>
      <c r="AM668" s="109"/>
      <c r="AN668" s="109"/>
      <c r="AO668" s="109"/>
      <c r="AP668" s="109"/>
      <c r="AQ668" s="109"/>
      <c r="AR668" s="109"/>
      <c r="AS668" s="109"/>
    </row>
    <row r="669" spans="1:45" ht="12.6" customHeight="1" x14ac:dyDescent="0.3">
      <c r="A669" s="68"/>
      <c r="B669" s="77" t="s">
        <v>1435</v>
      </c>
      <c r="C669" s="78"/>
      <c r="D669" s="78"/>
      <c r="E669" s="78"/>
      <c r="F669" s="78"/>
      <c r="G669" s="16" t="s">
        <v>1434</v>
      </c>
      <c r="Z669" s="109"/>
      <c r="AA669" s="109"/>
      <c r="AB669" s="109"/>
      <c r="AC669" s="109"/>
      <c r="AD669" s="109"/>
      <c r="AE669" s="109"/>
      <c r="AF669" s="109"/>
      <c r="AG669" s="109"/>
      <c r="AH669" s="109"/>
      <c r="AI669" s="109"/>
      <c r="AJ669" s="109"/>
      <c r="AK669" s="109"/>
      <c r="AL669" s="109"/>
      <c r="AM669" s="109"/>
      <c r="AN669" s="109"/>
      <c r="AO669" s="109"/>
      <c r="AP669" s="109"/>
      <c r="AQ669" s="109"/>
      <c r="AR669" s="109"/>
      <c r="AS669" s="109"/>
    </row>
    <row r="670" spans="1:45" ht="12.6" customHeight="1" x14ac:dyDescent="0.3">
      <c r="A670" s="78"/>
      <c r="B670" s="78"/>
      <c r="C670" s="78"/>
      <c r="D670" s="78"/>
      <c r="E670" s="78"/>
      <c r="F670" s="78"/>
      <c r="G670" s="16" t="s">
        <v>1317</v>
      </c>
      <c r="Z670" s="109"/>
      <c r="AA670" s="109"/>
      <c r="AB670" s="109"/>
      <c r="AC670" s="109"/>
      <c r="AD670" s="109"/>
      <c r="AE670" s="109"/>
      <c r="AF670" s="109"/>
      <c r="AG670" s="109"/>
      <c r="AH670" s="109"/>
      <c r="AI670" s="109"/>
      <c r="AJ670" s="109"/>
      <c r="AK670" s="109"/>
      <c r="AL670" s="109"/>
      <c r="AM670" s="109"/>
      <c r="AN670" s="109"/>
      <c r="AO670" s="109"/>
      <c r="AP670" s="109"/>
      <c r="AQ670" s="109"/>
      <c r="AR670" s="109"/>
      <c r="AS670" s="109"/>
    </row>
    <row r="671" spans="1:45" ht="12.6" customHeight="1" x14ac:dyDescent="0.3">
      <c r="A671" s="78"/>
      <c r="B671" s="78"/>
      <c r="C671" s="78"/>
      <c r="D671" s="78"/>
      <c r="E671" s="78"/>
      <c r="F671" s="78"/>
      <c r="G671" s="16" t="s">
        <v>1317</v>
      </c>
      <c r="Z671" s="109"/>
      <c r="AA671" s="109"/>
      <c r="AB671" s="109"/>
      <c r="AC671" s="109"/>
      <c r="AD671" s="109"/>
      <c r="AE671" s="109"/>
      <c r="AF671" s="109"/>
      <c r="AG671" s="109"/>
      <c r="AH671" s="109"/>
      <c r="AI671" s="109"/>
      <c r="AJ671" s="109"/>
      <c r="AK671" s="109"/>
      <c r="AL671" s="109"/>
      <c r="AM671" s="109"/>
      <c r="AN671" s="109"/>
      <c r="AO671" s="109"/>
      <c r="AP671" s="109"/>
      <c r="AQ671" s="109"/>
      <c r="AR671" s="109"/>
      <c r="AS671" s="109"/>
    </row>
    <row r="672" spans="1:45" ht="12.6" customHeight="1" x14ac:dyDescent="0.3">
      <c r="A672" s="68"/>
      <c r="B672" s="97" t="str">
        <f>" q = "&amp;Z672&amp;" , k = "&amp;AD672&amp;" ,  E = "&amp;AH672&amp;""</f>
        <v xml:space="preserve"> q = 0.7 , k = 0.55 ,  E = 0.45</v>
      </c>
      <c r="C672" s="78"/>
      <c r="D672" s="78"/>
      <c r="E672" s="78"/>
      <c r="F672" s="78"/>
      <c r="G672" s="16" t="s">
        <v>1436</v>
      </c>
      <c r="Z672" s="110">
        <v>0.7</v>
      </c>
      <c r="AA672" s="20" t="s">
        <v>1326</v>
      </c>
      <c r="AB672" s="112">
        <f>Z672</f>
        <v>0.7</v>
      </c>
      <c r="AC672" s="20" t="s">
        <v>1385</v>
      </c>
      <c r="AD672" s="110">
        <v>0.55000000000000004</v>
      </c>
      <c r="AE672" s="20" t="s">
        <v>1326</v>
      </c>
      <c r="AF672" s="112">
        <f>AD672</f>
        <v>0.55000000000000004</v>
      </c>
      <c r="AG672" s="20" t="s">
        <v>1385</v>
      </c>
      <c r="AH672" s="110">
        <v>0.45</v>
      </c>
      <c r="AI672" s="20" t="s">
        <v>1326</v>
      </c>
      <c r="AJ672" s="112">
        <f>AH672</f>
        <v>0.45</v>
      </c>
      <c r="AK672" s="20" t="s">
        <v>1385</v>
      </c>
      <c r="AL672" s="109"/>
      <c r="AM672" s="109"/>
      <c r="AN672" s="109"/>
      <c r="AO672" s="109"/>
      <c r="AP672" s="109"/>
      <c r="AQ672" s="109"/>
      <c r="AR672" s="109"/>
      <c r="AS672" s="109"/>
    </row>
    <row r="673" spans="1:45" ht="12.6" customHeight="1" x14ac:dyDescent="0.3">
      <c r="A673" s="78"/>
      <c r="B673" s="78"/>
      <c r="C673" s="78"/>
      <c r="D673" s="78"/>
      <c r="E673" s="78"/>
      <c r="F673" s="78"/>
      <c r="G673" s="16" t="s">
        <v>1317</v>
      </c>
      <c r="Z673" s="109"/>
      <c r="AA673" s="109"/>
      <c r="AB673" s="109"/>
      <c r="AC673" s="109"/>
      <c r="AD673" s="109"/>
      <c r="AE673" s="109"/>
      <c r="AF673" s="109"/>
      <c r="AG673" s="109"/>
      <c r="AH673" s="109"/>
      <c r="AI673" s="109"/>
      <c r="AJ673" s="109"/>
      <c r="AK673" s="109"/>
      <c r="AL673" s="109"/>
      <c r="AM673" s="109"/>
      <c r="AN673" s="109"/>
      <c r="AO673" s="109"/>
      <c r="AP673" s="109"/>
      <c r="AQ673" s="109"/>
      <c r="AR673" s="109"/>
      <c r="AS673" s="109"/>
    </row>
    <row r="674" spans="1:45" ht="12.6" customHeight="1" x14ac:dyDescent="0.3">
      <c r="A674" s="68"/>
      <c r="B674" s="97" t="str">
        <f>" f = "&amp;Z674&amp;" / "&amp;AB674&amp;"  = "&amp;AD674&amp;""</f>
        <v xml:space="preserve"> f = 1 / 1.4  = 0.71</v>
      </c>
      <c r="C674" s="78"/>
      <c r="D674" s="78"/>
      <c r="E674" s="78"/>
      <c r="F674" s="78"/>
      <c r="G674" s="16" t="s">
        <v>1437</v>
      </c>
      <c r="Z674" s="111">
        <v>1</v>
      </c>
      <c r="AA674" s="20" t="s">
        <v>1387</v>
      </c>
      <c r="AB674" s="110">
        <v>1.4</v>
      </c>
      <c r="AC674" s="20" t="s">
        <v>1326</v>
      </c>
      <c r="AD674" s="112" t="str">
        <f>TEXT(ROUND(Z674/AB674,2),"0.00")</f>
        <v>0.71</v>
      </c>
      <c r="AE674" s="109"/>
      <c r="AF674" s="109"/>
      <c r="AG674" s="109"/>
      <c r="AH674" s="109"/>
      <c r="AI674" s="109"/>
      <c r="AJ674" s="109"/>
      <c r="AK674" s="109"/>
      <c r="AL674" s="109"/>
      <c r="AM674" s="109"/>
      <c r="AN674" s="109"/>
      <c r="AO674" s="109"/>
      <c r="AP674" s="109"/>
      <c r="AQ674" s="109"/>
      <c r="AR674" s="109"/>
      <c r="AS674" s="109"/>
    </row>
    <row r="675" spans="1:45" ht="12.6" customHeight="1" x14ac:dyDescent="0.3">
      <c r="A675" s="78"/>
      <c r="B675" s="78"/>
      <c r="C675" s="78"/>
      <c r="D675" s="78"/>
      <c r="E675" s="78"/>
      <c r="F675" s="78"/>
      <c r="G675" s="16" t="s">
        <v>1317</v>
      </c>
      <c r="Z675" s="109"/>
      <c r="AA675" s="109"/>
      <c r="AB675" s="109"/>
      <c r="AC675" s="109"/>
      <c r="AD675" s="109"/>
      <c r="AE675" s="109"/>
      <c r="AF675" s="109"/>
      <c r="AG675" s="109"/>
      <c r="AH675" s="109"/>
      <c r="AI675" s="109"/>
      <c r="AJ675" s="109"/>
      <c r="AK675" s="109"/>
      <c r="AL675" s="109"/>
      <c r="AM675" s="109"/>
      <c r="AN675" s="109"/>
      <c r="AO675" s="109"/>
      <c r="AP675" s="109"/>
      <c r="AQ675" s="109"/>
      <c r="AR675" s="109"/>
      <c r="AS675" s="109"/>
    </row>
    <row r="676" spans="1:45" ht="12.6" customHeight="1" x14ac:dyDescent="0.3">
      <c r="A676" s="68"/>
      <c r="B676" s="97" t="str">
        <f>" Cm = "&amp;Z676&amp;"  (135°) "</f>
        <v xml:space="preserve"> Cm = 20  (135°) </v>
      </c>
      <c r="C676" s="78"/>
      <c r="D676" s="78"/>
      <c r="E676" s="78"/>
      <c r="F676" s="78"/>
      <c r="G676" s="16" t="s">
        <v>1626</v>
      </c>
      <c r="Z676" s="111">
        <v>20</v>
      </c>
      <c r="AA676" s="20" t="s">
        <v>1326</v>
      </c>
      <c r="AB676" s="112">
        <f>Z676</f>
        <v>20</v>
      </c>
      <c r="AC676" s="109"/>
      <c r="AD676" s="109"/>
      <c r="AE676" s="109"/>
      <c r="AF676" s="109"/>
      <c r="AG676" s="109"/>
      <c r="AH676" s="109"/>
      <c r="AI676" s="109"/>
      <c r="AJ676" s="109"/>
      <c r="AK676" s="109"/>
      <c r="AL676" s="109"/>
      <c r="AM676" s="109"/>
      <c r="AN676" s="109"/>
      <c r="AO676" s="109"/>
      <c r="AP676" s="109"/>
      <c r="AQ676" s="109"/>
      <c r="AR676" s="109"/>
      <c r="AS676" s="109"/>
    </row>
    <row r="677" spans="1:45" ht="12.6" customHeight="1" x14ac:dyDescent="0.3">
      <c r="A677" s="78"/>
      <c r="B677" s="78"/>
      <c r="C677" s="78"/>
      <c r="D677" s="78"/>
      <c r="E677" s="78"/>
      <c r="F677" s="78"/>
      <c r="G677" s="16" t="s">
        <v>1317</v>
      </c>
      <c r="Z677" s="109"/>
      <c r="AA677" s="109"/>
      <c r="AB677" s="109"/>
      <c r="AC677" s="109"/>
      <c r="AD677" s="109"/>
      <c r="AE677" s="109"/>
      <c r="AF677" s="109"/>
      <c r="AG677" s="109"/>
      <c r="AH677" s="109"/>
      <c r="AI677" s="109"/>
      <c r="AJ677" s="109"/>
      <c r="AK677" s="109"/>
      <c r="AL677" s="109"/>
      <c r="AM677" s="109"/>
      <c r="AN677" s="109"/>
      <c r="AO677" s="109"/>
      <c r="AP677" s="109"/>
      <c r="AQ677" s="109"/>
      <c r="AR677" s="109"/>
      <c r="AS677" s="109"/>
    </row>
    <row r="678" spans="1:45" ht="12.6" customHeight="1" x14ac:dyDescent="0.3">
      <c r="A678" s="78"/>
      <c r="B678" s="78"/>
      <c r="C678" s="78"/>
      <c r="D678" s="78"/>
      <c r="E678" s="78"/>
      <c r="F678" s="78"/>
      <c r="G678" s="16" t="s">
        <v>1317</v>
      </c>
      <c r="Z678" s="109"/>
      <c r="AA678" s="109"/>
      <c r="AB678" s="109"/>
      <c r="AC678" s="109"/>
      <c r="AD678" s="109"/>
      <c r="AE678" s="109"/>
      <c r="AF678" s="109"/>
      <c r="AG678" s="109"/>
      <c r="AH678" s="109"/>
      <c r="AI678" s="109"/>
      <c r="AJ678" s="109"/>
      <c r="AK678" s="109"/>
      <c r="AL678" s="109"/>
      <c r="AM678" s="109"/>
      <c r="AN678" s="109"/>
      <c r="AO678" s="109"/>
      <c r="AP678" s="109"/>
      <c r="AQ678" s="109"/>
      <c r="AR678" s="109"/>
      <c r="AS678" s="109"/>
    </row>
    <row r="679" spans="1:45" ht="12.6" customHeight="1" x14ac:dyDescent="0.3">
      <c r="A679" s="68"/>
      <c r="B679" s="97" t="str">
        <f>" Q1 = "&amp;Z679&amp;"*q*k*f*E/Cm = "&amp;AL679&amp;" ㎥/hr "</f>
        <v xml:space="preserve"> Q1 = 3600*q*k*f*E/Cm = 22.14 ㎥/hr </v>
      </c>
      <c r="C679" s="78"/>
      <c r="D679" s="78"/>
      <c r="E679" s="78"/>
      <c r="F679" s="78"/>
      <c r="G679" s="16" t="s">
        <v>1439</v>
      </c>
      <c r="Z679" s="111">
        <v>3600</v>
      </c>
      <c r="AA679" s="20" t="s">
        <v>1390</v>
      </c>
      <c r="AB679" s="112">
        <f>AB672</f>
        <v>0.7</v>
      </c>
      <c r="AC679" s="20" t="s">
        <v>1390</v>
      </c>
      <c r="AD679" s="112">
        <f>AF672</f>
        <v>0.55000000000000004</v>
      </c>
      <c r="AE679" s="20" t="s">
        <v>1390</v>
      </c>
      <c r="AF679" s="112" t="str">
        <f>AD674</f>
        <v>0.71</v>
      </c>
      <c r="AG679" s="20" t="s">
        <v>1390</v>
      </c>
      <c r="AH679" s="112">
        <f>AJ672</f>
        <v>0.45</v>
      </c>
      <c r="AI679" s="20" t="s">
        <v>1387</v>
      </c>
      <c r="AJ679" s="112">
        <f>AB676</f>
        <v>20</v>
      </c>
      <c r="AK679" s="20" t="s">
        <v>1326</v>
      </c>
      <c r="AL679" s="112" t="str">
        <f>TEXT(ROUND(Z679*AB672*AF672*AD674*AJ672/AB676,2),"0.00")</f>
        <v>22.14</v>
      </c>
      <c r="AM679" s="109"/>
      <c r="AN679" s="109"/>
      <c r="AO679" s="109"/>
      <c r="AP679" s="109"/>
      <c r="AQ679" s="109"/>
      <c r="AR679" s="109"/>
      <c r="AS679" s="109"/>
    </row>
    <row r="680" spans="1:45" ht="12.6" customHeight="1" x14ac:dyDescent="0.3">
      <c r="A680" s="78"/>
      <c r="B680" s="78"/>
      <c r="C680" s="78"/>
      <c r="D680" s="78"/>
      <c r="E680" s="78"/>
      <c r="F680" s="78"/>
      <c r="G680" s="16" t="s">
        <v>1317</v>
      </c>
      <c r="Z680" s="109"/>
      <c r="AA680" s="109"/>
      <c r="AB680" s="109"/>
      <c r="AC680" s="109"/>
      <c r="AD680" s="109"/>
      <c r="AE680" s="109"/>
      <c r="AF680" s="109"/>
      <c r="AG680" s="109"/>
      <c r="AH680" s="109"/>
      <c r="AI680" s="109"/>
      <c r="AJ680" s="109"/>
      <c r="AK680" s="109"/>
      <c r="AL680" s="109"/>
      <c r="AM680" s="109"/>
      <c r="AN680" s="109"/>
      <c r="AO680" s="109"/>
      <c r="AP680" s="109"/>
      <c r="AQ680" s="109"/>
      <c r="AR680" s="109"/>
      <c r="AS680" s="109"/>
    </row>
    <row r="681" spans="1:45" ht="12.6" customHeight="1" x14ac:dyDescent="0.3">
      <c r="A681" s="78"/>
      <c r="B681" s="78"/>
      <c r="C681" s="78"/>
      <c r="D681" s="78"/>
      <c r="E681" s="78"/>
      <c r="F681" s="78"/>
      <c r="G681" s="16" t="s">
        <v>1317</v>
      </c>
      <c r="Z681" s="109"/>
      <c r="AA681" s="109"/>
      <c r="AB681" s="109"/>
      <c r="AC681" s="109"/>
      <c r="AD681" s="109"/>
      <c r="AE681" s="109"/>
      <c r="AF681" s="109"/>
      <c r="AG681" s="109"/>
      <c r="AH681" s="109"/>
      <c r="AI681" s="109"/>
      <c r="AJ681" s="109"/>
      <c r="AK681" s="109"/>
      <c r="AL681" s="109"/>
      <c r="AM681" s="109"/>
      <c r="AN681" s="109"/>
      <c r="AO681" s="109"/>
      <c r="AP681" s="109"/>
      <c r="AQ681" s="109"/>
      <c r="AR681" s="109"/>
      <c r="AS681" s="109"/>
    </row>
    <row r="682" spans="1:45" ht="12.6" customHeight="1" x14ac:dyDescent="0.3">
      <c r="A682" s="68" t="s">
        <v>1441</v>
      </c>
      <c r="B682" s="97" t="str">
        <f>" 노 무 비  :   "&amp;TEXT(I682,"#,##0"&amp;IF(I682&lt;&gt;INT(I682),".###",""))&amp;" / Q1  = "&amp;TEXT(C682,"#,##0.0")&amp;""</f>
        <v xml:space="preserve"> 노 무 비  :   55,700 / Q1  = 2,515.8</v>
      </c>
      <c r="C682" s="99">
        <f>E682+D682+F682</f>
        <v>2515.8000000000002</v>
      </c>
      <c r="D682" s="99">
        <f>IF(H682=0,0,ROUNDDOWN(J682*H682,1))</f>
        <v>2515.8000000000002</v>
      </c>
      <c r="E682" s="99">
        <f>IF(H682=0,0,ROUNDDOWN(K682*H682,1))</f>
        <v>0</v>
      </c>
      <c r="F682" s="99">
        <f>IF(H682=0,0,ROUNDDOWN(L682*H682,1))</f>
        <v>0</v>
      </c>
      <c r="G682" s="16" t="s">
        <v>1440</v>
      </c>
      <c r="H682" s="105">
        <f>AC682</f>
        <v>4.5167118337850046E-2</v>
      </c>
      <c r="I682" s="106">
        <f>K682+J682+L682</f>
        <v>55700</v>
      </c>
      <c r="J682" s="39">
        <f>중기목록표!F9</f>
        <v>55700</v>
      </c>
      <c r="M682" s="20" t="s">
        <v>1442</v>
      </c>
      <c r="N682" s="20" t="s">
        <v>1332</v>
      </c>
      <c r="X682" s="108" t="str">
        <f>중기목록표!B9&amp;" / "&amp;중기목록표!C9</f>
        <v>굴삭기(0.7m3) / 0.7㎥,(암석)</v>
      </c>
      <c r="Y682" s="19" t="str">
        <f ca="1">HYPERLINK("#"&amp;중기목록표!J2&amp;"!A"&amp;ROW(중기목록표!A9),"중기    6 →")</f>
        <v>중기    6 →</v>
      </c>
      <c r="Z682" s="20" t="s">
        <v>1393</v>
      </c>
      <c r="AA682" s="112" t="str">
        <f>AL679</f>
        <v>22.14</v>
      </c>
      <c r="AB682" s="20" t="s">
        <v>1326</v>
      </c>
      <c r="AC682" s="113">
        <f>1/AL679</f>
        <v>4.5167118337850046E-2</v>
      </c>
      <c r="AD682" s="109"/>
      <c r="AE682" s="109"/>
      <c r="AF682" s="109"/>
      <c r="AG682" s="109"/>
      <c r="AH682" s="109"/>
      <c r="AI682" s="109"/>
      <c r="AJ682" s="109"/>
      <c r="AK682" s="109"/>
      <c r="AL682" s="109"/>
      <c r="AM682" s="109"/>
      <c r="AN682" s="109"/>
      <c r="AO682" s="109"/>
      <c r="AP682" s="109"/>
      <c r="AQ682" s="109"/>
      <c r="AR682" s="109"/>
      <c r="AS682" s="109"/>
    </row>
    <row r="683" spans="1:45" ht="12.6" customHeight="1" x14ac:dyDescent="0.3">
      <c r="A683" s="78"/>
      <c r="B683" s="78"/>
      <c r="C683" s="78"/>
      <c r="D683" s="78"/>
      <c r="E683" s="78"/>
      <c r="F683" s="78"/>
      <c r="G683" s="16" t="s">
        <v>1317</v>
      </c>
      <c r="Z683" s="109"/>
      <c r="AA683" s="109"/>
      <c r="AB683" s="109"/>
      <c r="AC683" s="109"/>
      <c r="AD683" s="109"/>
      <c r="AE683" s="109"/>
      <c r="AF683" s="109"/>
      <c r="AG683" s="109"/>
      <c r="AH683" s="109"/>
      <c r="AI683" s="109"/>
      <c r="AJ683" s="109"/>
      <c r="AK683" s="109"/>
      <c r="AL683" s="109"/>
      <c r="AM683" s="109"/>
      <c r="AN683" s="109"/>
      <c r="AO683" s="109"/>
      <c r="AP683" s="109"/>
      <c r="AQ683" s="109"/>
      <c r="AR683" s="109"/>
      <c r="AS683" s="109"/>
    </row>
    <row r="684" spans="1:45" ht="12.6" customHeight="1" x14ac:dyDescent="0.3">
      <c r="A684" s="78"/>
      <c r="B684" s="78"/>
      <c r="C684" s="78"/>
      <c r="D684" s="78"/>
      <c r="E684" s="78"/>
      <c r="F684" s="78"/>
      <c r="G684" s="16" t="s">
        <v>1317</v>
      </c>
      <c r="Z684" s="109"/>
      <c r="AA684" s="109"/>
      <c r="AB684" s="109"/>
      <c r="AC684" s="109"/>
      <c r="AD684" s="109"/>
      <c r="AE684" s="109"/>
      <c r="AF684" s="109"/>
      <c r="AG684" s="109"/>
      <c r="AH684" s="109"/>
      <c r="AI684" s="109"/>
      <c r="AJ684" s="109"/>
      <c r="AK684" s="109"/>
      <c r="AL684" s="109"/>
      <c r="AM684" s="109"/>
      <c r="AN684" s="109"/>
      <c r="AO684" s="109"/>
      <c r="AP684" s="109"/>
      <c r="AQ684" s="109"/>
      <c r="AR684" s="109"/>
      <c r="AS684" s="109"/>
    </row>
    <row r="685" spans="1:45" ht="12.6" customHeight="1" x14ac:dyDescent="0.3">
      <c r="A685" s="68" t="s">
        <v>1444</v>
      </c>
      <c r="B685" s="97" t="str">
        <f>" 재 료 비  :   "&amp;TEXT(I685,"#,##0"&amp;IF(I685&lt;&gt;INT(I685),".###",""))&amp;" / Q1  = "&amp;TEXT(C685,"#,##0.0")&amp;""</f>
        <v xml:space="preserve"> 재 료 비  :   18,001 / Q1  = 813.0</v>
      </c>
      <c r="C685" s="99">
        <f>E685+D685+F685</f>
        <v>813</v>
      </c>
      <c r="D685" s="99">
        <f>IF(H685=0,0,ROUNDDOWN(J685*H685,1))</f>
        <v>0</v>
      </c>
      <c r="E685" s="99">
        <f>IF(H685=0,0,ROUNDDOWN(K685*H685,1))</f>
        <v>813</v>
      </c>
      <c r="F685" s="99">
        <f>IF(H685=0,0,ROUNDDOWN(L685*H685,1))</f>
        <v>0</v>
      </c>
      <c r="G685" s="16" t="s">
        <v>1443</v>
      </c>
      <c r="H685" s="105">
        <f>AC685</f>
        <v>4.5167118337850046E-2</v>
      </c>
      <c r="I685" s="106">
        <f>K685+J685+L685</f>
        <v>18001</v>
      </c>
      <c r="K685" s="39">
        <f>중기목록표!G9</f>
        <v>18001</v>
      </c>
      <c r="M685" s="20" t="s">
        <v>1442</v>
      </c>
      <c r="N685" s="20" t="s">
        <v>1332</v>
      </c>
      <c r="X685" s="108" t="str">
        <f>중기목록표!B9&amp;" / "&amp;중기목록표!C9</f>
        <v>굴삭기(0.7m3) / 0.7㎥,(암석)</v>
      </c>
      <c r="Y685" s="19" t="str">
        <f ca="1">HYPERLINK("#"&amp;중기목록표!J2&amp;"!A"&amp;ROW(중기목록표!A9),"중기    6 →")</f>
        <v>중기    6 →</v>
      </c>
      <c r="Z685" s="20" t="s">
        <v>1393</v>
      </c>
      <c r="AA685" s="112" t="str">
        <f>AL679</f>
        <v>22.14</v>
      </c>
      <c r="AB685" s="20" t="s">
        <v>1326</v>
      </c>
      <c r="AC685" s="113">
        <f>1/AL679</f>
        <v>4.5167118337850046E-2</v>
      </c>
      <c r="AD685" s="109"/>
      <c r="AE685" s="109"/>
      <c r="AF685" s="109"/>
      <c r="AG685" s="109"/>
      <c r="AH685" s="109"/>
      <c r="AI685" s="109"/>
      <c r="AJ685" s="109"/>
      <c r="AK685" s="109"/>
      <c r="AL685" s="109"/>
      <c r="AM685" s="109"/>
      <c r="AN685" s="109"/>
      <c r="AO685" s="109"/>
      <c r="AP685" s="109"/>
      <c r="AQ685" s="109"/>
      <c r="AR685" s="109"/>
      <c r="AS685" s="109"/>
    </row>
    <row r="686" spans="1:45" ht="12.6" customHeight="1" x14ac:dyDescent="0.3">
      <c r="A686" s="78"/>
      <c r="B686" s="78"/>
      <c r="C686" s="78"/>
      <c r="D686" s="78"/>
      <c r="E686" s="78"/>
      <c r="F686" s="78"/>
      <c r="G686" s="16" t="s">
        <v>1317</v>
      </c>
      <c r="Z686" s="109"/>
      <c r="AA686" s="109"/>
      <c r="AB686" s="109"/>
      <c r="AC686" s="109"/>
      <c r="AD686" s="109"/>
      <c r="AE686" s="109"/>
      <c r="AF686" s="109"/>
      <c r="AG686" s="109"/>
      <c r="AH686" s="109"/>
      <c r="AI686" s="109"/>
      <c r="AJ686" s="109"/>
      <c r="AK686" s="109"/>
      <c r="AL686" s="109"/>
      <c r="AM686" s="109"/>
      <c r="AN686" s="109"/>
      <c r="AO686" s="109"/>
      <c r="AP686" s="109"/>
      <c r="AQ686" s="109"/>
      <c r="AR686" s="109"/>
      <c r="AS686" s="109"/>
    </row>
    <row r="687" spans="1:45" ht="12.6" customHeight="1" x14ac:dyDescent="0.3">
      <c r="A687" s="78"/>
      <c r="B687" s="78"/>
      <c r="C687" s="78"/>
      <c r="D687" s="78"/>
      <c r="E687" s="78"/>
      <c r="F687" s="78"/>
      <c r="G687" s="16" t="s">
        <v>1317</v>
      </c>
      <c r="Z687" s="109"/>
      <c r="AA687" s="109"/>
      <c r="AB687" s="109"/>
      <c r="AC687" s="109"/>
      <c r="AD687" s="109"/>
      <c r="AE687" s="109"/>
      <c r="AF687" s="109"/>
      <c r="AG687" s="109"/>
      <c r="AH687" s="109"/>
      <c r="AI687" s="109"/>
      <c r="AJ687" s="109"/>
      <c r="AK687" s="109"/>
      <c r="AL687" s="109"/>
      <c r="AM687" s="109"/>
      <c r="AN687" s="109"/>
      <c r="AO687" s="109"/>
      <c r="AP687" s="109"/>
      <c r="AQ687" s="109"/>
      <c r="AR687" s="109"/>
      <c r="AS687" s="109"/>
    </row>
    <row r="688" spans="1:45" ht="12.6" customHeight="1" x14ac:dyDescent="0.3">
      <c r="A688" s="68" t="s">
        <v>1446</v>
      </c>
      <c r="B688" s="97" t="str">
        <f>" 경    비  :   "&amp;TEXT(I688,"#,##0"&amp;IF(I688&lt;&gt;INT(I688),".###",""))&amp;" / Q1  = "&amp;TEXT(C688,"#,##0.0")&amp;""</f>
        <v xml:space="preserve"> 경    비  :   26,677 / Q1  = 1,204.9</v>
      </c>
      <c r="C688" s="99">
        <f>E688+D688+F688</f>
        <v>1204.9000000000001</v>
      </c>
      <c r="D688" s="99">
        <f>IF(H688=0,0,ROUNDDOWN(J688*H688,1))</f>
        <v>0</v>
      </c>
      <c r="E688" s="99">
        <f>IF(H688=0,0,ROUNDDOWN(K688*H688,1))</f>
        <v>0</v>
      </c>
      <c r="F688" s="99">
        <f>IF(H688=0,0,ROUNDDOWN(L688*H688,1))</f>
        <v>1204.9000000000001</v>
      </c>
      <c r="G688" s="16" t="s">
        <v>1445</v>
      </c>
      <c r="H688" s="105">
        <f>AC688</f>
        <v>4.5167118337850046E-2</v>
      </c>
      <c r="I688" s="106">
        <f>K688+J688+L688</f>
        <v>26677</v>
      </c>
      <c r="L688" s="39">
        <f>중기목록표!H9</f>
        <v>26677</v>
      </c>
      <c r="M688" s="20" t="s">
        <v>1442</v>
      </c>
      <c r="N688" s="20" t="s">
        <v>1332</v>
      </c>
      <c r="X688" s="108" t="str">
        <f>중기목록표!B9&amp;" / "&amp;중기목록표!C9</f>
        <v>굴삭기(0.7m3) / 0.7㎥,(암석)</v>
      </c>
      <c r="Y688" s="19" t="str">
        <f ca="1">HYPERLINK("#"&amp;중기목록표!J2&amp;"!A"&amp;ROW(중기목록표!A9),"중기    6 →")</f>
        <v>중기    6 →</v>
      </c>
      <c r="Z688" s="20" t="s">
        <v>1393</v>
      </c>
      <c r="AA688" s="112" t="str">
        <f>AL679</f>
        <v>22.14</v>
      </c>
      <c r="AB688" s="20" t="s">
        <v>1326</v>
      </c>
      <c r="AC688" s="113">
        <f>1/AL679</f>
        <v>4.5167118337850046E-2</v>
      </c>
      <c r="AD688" s="109"/>
      <c r="AE688" s="109"/>
      <c r="AF688" s="109"/>
      <c r="AG688" s="109"/>
      <c r="AH688" s="109"/>
      <c r="AI688" s="109"/>
      <c r="AJ688" s="109"/>
      <c r="AK688" s="109"/>
      <c r="AL688" s="109"/>
      <c r="AM688" s="109"/>
      <c r="AN688" s="109"/>
      <c r="AO688" s="109"/>
      <c r="AP688" s="109"/>
      <c r="AQ688" s="109"/>
      <c r="AR688" s="109"/>
      <c r="AS688" s="109"/>
    </row>
    <row r="689" spans="1:45" ht="12.6" customHeight="1" x14ac:dyDescent="0.3">
      <c r="A689" s="78"/>
      <c r="B689" s="78"/>
      <c r="C689" s="78"/>
      <c r="D689" s="78"/>
      <c r="E689" s="78"/>
      <c r="F689" s="78"/>
      <c r="G689" s="16" t="s">
        <v>1317</v>
      </c>
      <c r="Z689" s="109"/>
      <c r="AA689" s="109"/>
      <c r="AB689" s="109"/>
      <c r="AC689" s="109"/>
      <c r="AD689" s="109"/>
      <c r="AE689" s="109"/>
      <c r="AF689" s="109"/>
      <c r="AG689" s="109"/>
      <c r="AH689" s="109"/>
      <c r="AI689" s="109"/>
      <c r="AJ689" s="109"/>
      <c r="AK689" s="109"/>
      <c r="AL689" s="109"/>
      <c r="AM689" s="109"/>
      <c r="AN689" s="109"/>
      <c r="AO689" s="109"/>
      <c r="AP689" s="109"/>
      <c r="AQ689" s="109"/>
      <c r="AR689" s="109"/>
      <c r="AS689" s="109"/>
    </row>
    <row r="690" spans="1:45" ht="12.6" customHeight="1" x14ac:dyDescent="0.3">
      <c r="A690" s="68"/>
      <c r="B690" s="77" t="s">
        <v>1331</v>
      </c>
      <c r="C690" s="100">
        <f>E690+D690+F690</f>
        <v>4533.7000000000007</v>
      </c>
      <c r="D690" s="100">
        <f>SUMIF(N667:N689,M690,D667:D689)</f>
        <v>2515.8000000000002</v>
      </c>
      <c r="E690" s="100">
        <f>SUMIF(N667:N689,M690,E667:E689)</f>
        <v>813</v>
      </c>
      <c r="F690" s="100">
        <f>SUMIF(N667:N689,M690,F667:F689)</f>
        <v>1204.9000000000001</v>
      </c>
      <c r="G690" s="16" t="s">
        <v>1415</v>
      </c>
      <c r="M690" s="20" t="s">
        <v>1332</v>
      </c>
      <c r="N690" s="20" t="s">
        <v>1341</v>
      </c>
      <c r="Z690" s="109"/>
      <c r="AA690" s="109"/>
      <c r="AB690" s="109"/>
      <c r="AC690" s="109"/>
      <c r="AD690" s="109"/>
      <c r="AE690" s="109"/>
      <c r="AF690" s="109"/>
      <c r="AG690" s="109"/>
      <c r="AH690" s="109"/>
      <c r="AI690" s="109"/>
      <c r="AJ690" s="109"/>
      <c r="AK690" s="109"/>
      <c r="AL690" s="109"/>
      <c r="AM690" s="109"/>
      <c r="AN690" s="109"/>
      <c r="AO690" s="109"/>
      <c r="AP690" s="109"/>
      <c r="AQ690" s="109"/>
      <c r="AR690" s="109"/>
      <c r="AS690" s="109"/>
    </row>
    <row r="691" spans="1:45" ht="12.6" customHeight="1" x14ac:dyDescent="0.3">
      <c r="A691" s="78"/>
      <c r="B691" s="78"/>
      <c r="C691" s="98"/>
      <c r="D691" s="98"/>
      <c r="E691" s="98"/>
      <c r="F691" s="98"/>
      <c r="G691" s="16" t="s">
        <v>1317</v>
      </c>
      <c r="Z691" s="109"/>
      <c r="AA691" s="109"/>
      <c r="AB691" s="109"/>
      <c r="AC691" s="109"/>
      <c r="AD691" s="109"/>
      <c r="AE691" s="109"/>
      <c r="AF691" s="109"/>
      <c r="AG691" s="109"/>
      <c r="AH691" s="109"/>
      <c r="AI691" s="109"/>
      <c r="AJ691" s="109"/>
      <c r="AK691" s="109"/>
      <c r="AL691" s="109"/>
      <c r="AM691" s="109"/>
      <c r="AN691" s="109"/>
      <c r="AO691" s="109"/>
      <c r="AP691" s="109"/>
      <c r="AQ691" s="109"/>
      <c r="AR691" s="109"/>
      <c r="AS691" s="109"/>
    </row>
    <row r="692" spans="1:45" ht="12.6" customHeight="1" x14ac:dyDescent="0.3">
      <c r="A692" s="68"/>
      <c r="B692" s="77" t="s">
        <v>1340</v>
      </c>
      <c r="C692" s="100">
        <f>E692+D692+F692</f>
        <v>35405.1</v>
      </c>
      <c r="D692" s="100">
        <f>SUMIF(N637:N691,M692,D637:D691)</f>
        <v>18430</v>
      </c>
      <c r="E692" s="100">
        <f>SUMIF(N637:N691,M692,E637:E691)</f>
        <v>6085.4</v>
      </c>
      <c r="F692" s="100">
        <f>SUMIF(N637:N691,M692,F637:F691)</f>
        <v>10889.699999999999</v>
      </c>
      <c r="G692" s="16" t="s">
        <v>1380</v>
      </c>
      <c r="M692" s="20" t="s">
        <v>1341</v>
      </c>
      <c r="N692" s="20" t="s">
        <v>1128</v>
      </c>
      <c r="Z692" s="109"/>
      <c r="AA692" s="109"/>
      <c r="AB692" s="109"/>
      <c r="AC692" s="109"/>
      <c r="AD692" s="109"/>
      <c r="AE692" s="109"/>
      <c r="AF692" s="109"/>
      <c r="AG692" s="109"/>
      <c r="AH692" s="109"/>
      <c r="AI692" s="109"/>
      <c r="AJ692" s="109"/>
      <c r="AK692" s="109"/>
      <c r="AL692" s="109"/>
      <c r="AM692" s="109"/>
      <c r="AN692" s="109"/>
      <c r="AO692" s="109"/>
      <c r="AP692" s="109"/>
      <c r="AQ692" s="109"/>
      <c r="AR692" s="109"/>
      <c r="AS692" s="109"/>
    </row>
    <row r="693" spans="1:45" ht="12.6" customHeight="1" x14ac:dyDescent="0.3">
      <c r="A693" s="78"/>
      <c r="B693" s="78"/>
      <c r="C693" s="98"/>
      <c r="D693" s="98"/>
      <c r="E693" s="98"/>
      <c r="F693" s="98"/>
      <c r="Z693" s="109"/>
      <c r="AA693" s="109"/>
      <c r="AB693" s="109"/>
      <c r="AC693" s="109"/>
      <c r="AD693" s="109"/>
      <c r="AE693" s="109"/>
      <c r="AF693" s="109"/>
      <c r="AG693" s="109"/>
      <c r="AH693" s="109"/>
      <c r="AI693" s="109"/>
      <c r="AJ693" s="109"/>
      <c r="AK693" s="109"/>
      <c r="AL693" s="109"/>
      <c r="AM693" s="109"/>
      <c r="AN693" s="109"/>
      <c r="AO693" s="109"/>
      <c r="AP693" s="109"/>
      <c r="AQ693" s="109"/>
      <c r="AR693" s="109"/>
      <c r="AS693" s="109"/>
    </row>
    <row r="694" spans="1:45" ht="12.6" customHeight="1" x14ac:dyDescent="0.3">
      <c r="A694" s="78"/>
      <c r="B694" s="78"/>
      <c r="C694" s="78"/>
      <c r="D694" s="78"/>
      <c r="E694" s="78"/>
      <c r="F694" s="78"/>
      <c r="Z694" s="109"/>
      <c r="AA694" s="109"/>
      <c r="AB694" s="109"/>
      <c r="AC694" s="109"/>
      <c r="AD694" s="109"/>
      <c r="AE694" s="109"/>
      <c r="AF694" s="109"/>
      <c r="AG694" s="109"/>
      <c r="AH694" s="109"/>
      <c r="AI694" s="109"/>
      <c r="AJ694" s="109"/>
      <c r="AK694" s="109"/>
      <c r="AL694" s="109"/>
      <c r="AM694" s="109"/>
      <c r="AN694" s="109"/>
      <c r="AO694" s="109"/>
      <c r="AP694" s="109"/>
      <c r="AQ694" s="109"/>
      <c r="AR694" s="109"/>
      <c r="AS694" s="109"/>
    </row>
    <row r="695" spans="1:45" ht="12.6" customHeight="1" x14ac:dyDescent="0.3">
      <c r="A695" s="78"/>
      <c r="B695" s="78"/>
      <c r="C695" s="78"/>
      <c r="D695" s="78"/>
      <c r="E695" s="78"/>
      <c r="F695" s="78"/>
      <c r="Z695" s="109"/>
      <c r="AA695" s="109"/>
      <c r="AB695" s="109"/>
      <c r="AC695" s="109"/>
      <c r="AD695" s="109"/>
      <c r="AE695" s="109"/>
      <c r="AF695" s="109"/>
      <c r="AG695" s="109"/>
      <c r="AH695" s="109"/>
      <c r="AI695" s="109"/>
      <c r="AJ695" s="109"/>
      <c r="AK695" s="109"/>
      <c r="AL695" s="109"/>
      <c r="AM695" s="109"/>
      <c r="AN695" s="109"/>
      <c r="AO695" s="109"/>
      <c r="AP695" s="109"/>
      <c r="AQ695" s="109"/>
      <c r="AR695" s="109"/>
      <c r="AS695" s="109"/>
    </row>
    <row r="696" spans="1:45" ht="12.6" customHeight="1" x14ac:dyDescent="0.3">
      <c r="A696" s="78"/>
      <c r="B696" s="78"/>
      <c r="C696" s="78"/>
      <c r="D696" s="78"/>
      <c r="E696" s="78"/>
      <c r="F696" s="78"/>
      <c r="Z696" s="109"/>
      <c r="AA696" s="109"/>
      <c r="AB696" s="109"/>
      <c r="AC696" s="109"/>
      <c r="AD696" s="109"/>
      <c r="AE696" s="109"/>
      <c r="AF696" s="109"/>
      <c r="AG696" s="109"/>
      <c r="AH696" s="109"/>
      <c r="AI696" s="109"/>
      <c r="AJ696" s="109"/>
      <c r="AK696" s="109"/>
      <c r="AL696" s="109"/>
      <c r="AM696" s="109"/>
      <c r="AN696" s="109"/>
      <c r="AO696" s="109"/>
      <c r="AP696" s="109"/>
      <c r="AQ696" s="109"/>
      <c r="AR696" s="109"/>
      <c r="AS696" s="109"/>
    </row>
    <row r="697" spans="1:45" ht="12.6" customHeight="1" x14ac:dyDescent="0.3">
      <c r="A697" s="78"/>
      <c r="B697" s="78"/>
      <c r="C697" s="78"/>
      <c r="D697" s="78"/>
      <c r="E697" s="78"/>
      <c r="F697" s="78"/>
      <c r="Z697" s="109"/>
      <c r="AA697" s="109"/>
      <c r="AB697" s="109"/>
      <c r="AC697" s="109"/>
      <c r="AD697" s="109"/>
      <c r="AE697" s="109"/>
      <c r="AF697" s="109"/>
      <c r="AG697" s="109"/>
      <c r="AH697" s="109"/>
      <c r="AI697" s="109"/>
      <c r="AJ697" s="109"/>
      <c r="AK697" s="109"/>
      <c r="AL697" s="109"/>
      <c r="AM697" s="109"/>
      <c r="AN697" s="109"/>
      <c r="AO697" s="109"/>
      <c r="AP697" s="109"/>
      <c r="AQ697" s="109"/>
      <c r="AR697" s="109"/>
      <c r="AS697" s="109"/>
    </row>
    <row r="698" spans="1:45" ht="12.6" customHeight="1" x14ac:dyDescent="0.3">
      <c r="A698" s="78"/>
      <c r="B698" s="78"/>
      <c r="C698" s="78"/>
      <c r="D698" s="78"/>
      <c r="E698" s="78"/>
      <c r="F698" s="78"/>
      <c r="Z698" s="109"/>
      <c r="AA698" s="109"/>
      <c r="AB698" s="109"/>
      <c r="AC698" s="109"/>
      <c r="AD698" s="109"/>
      <c r="AE698" s="109"/>
      <c r="AF698" s="109"/>
      <c r="AG698" s="109"/>
      <c r="AH698" s="109"/>
      <c r="AI698" s="109"/>
      <c r="AJ698" s="109"/>
      <c r="AK698" s="109"/>
      <c r="AL698" s="109"/>
      <c r="AM698" s="109"/>
      <c r="AN698" s="109"/>
      <c r="AO698" s="109"/>
      <c r="AP698" s="109"/>
      <c r="AQ698" s="109"/>
      <c r="AR698" s="109"/>
      <c r="AS698" s="109"/>
    </row>
    <row r="699" spans="1:45" ht="12.6" customHeight="1" x14ac:dyDescent="0.3">
      <c r="A699" s="78"/>
      <c r="B699" s="78"/>
      <c r="C699" s="78"/>
      <c r="D699" s="78"/>
      <c r="E699" s="78"/>
      <c r="F699" s="78"/>
      <c r="Z699" s="109"/>
      <c r="AA699" s="109"/>
      <c r="AB699" s="109"/>
      <c r="AC699" s="109"/>
      <c r="AD699" s="109"/>
      <c r="AE699" s="109"/>
      <c r="AF699" s="109"/>
      <c r="AG699" s="109"/>
      <c r="AH699" s="109"/>
      <c r="AI699" s="109"/>
      <c r="AJ699" s="109"/>
      <c r="AK699" s="109"/>
      <c r="AL699" s="109"/>
      <c r="AM699" s="109"/>
      <c r="AN699" s="109"/>
      <c r="AO699" s="109"/>
      <c r="AP699" s="109"/>
      <c r="AQ699" s="109"/>
      <c r="AR699" s="109"/>
      <c r="AS699" s="109"/>
    </row>
    <row r="700" spans="1:45" ht="12.6" customHeight="1" x14ac:dyDescent="0.3">
      <c r="A700" s="78"/>
      <c r="B700" s="78"/>
      <c r="C700" s="78"/>
      <c r="D700" s="78"/>
      <c r="E700" s="78"/>
      <c r="F700" s="78"/>
      <c r="Z700" s="109"/>
      <c r="AA700" s="109"/>
      <c r="AB700" s="109"/>
      <c r="AC700" s="109"/>
      <c r="AD700" s="109"/>
      <c r="AE700" s="109"/>
      <c r="AF700" s="109"/>
      <c r="AG700" s="109"/>
      <c r="AH700" s="109"/>
      <c r="AI700" s="109"/>
      <c r="AJ700" s="109"/>
      <c r="AK700" s="109"/>
      <c r="AL700" s="109"/>
      <c r="AM700" s="109"/>
      <c r="AN700" s="109"/>
      <c r="AO700" s="109"/>
      <c r="AP700" s="109"/>
      <c r="AQ700" s="109"/>
      <c r="AR700" s="109"/>
      <c r="AS700" s="109"/>
    </row>
    <row r="701" spans="1:45" ht="12.6" customHeight="1" x14ac:dyDescent="0.3">
      <c r="A701" s="78"/>
      <c r="B701" s="78"/>
      <c r="C701" s="78"/>
      <c r="D701" s="78"/>
      <c r="E701" s="78"/>
      <c r="F701" s="78"/>
      <c r="Z701" s="109"/>
      <c r="AA701" s="109"/>
      <c r="AB701" s="109"/>
      <c r="AC701" s="109"/>
      <c r="AD701" s="109"/>
      <c r="AE701" s="109"/>
      <c r="AF701" s="109"/>
      <c r="AG701" s="109"/>
      <c r="AH701" s="109"/>
      <c r="AI701" s="109"/>
      <c r="AJ701" s="109"/>
      <c r="AK701" s="109"/>
      <c r="AL701" s="109"/>
      <c r="AM701" s="109"/>
      <c r="AN701" s="109"/>
      <c r="AO701" s="109"/>
      <c r="AP701" s="109"/>
      <c r="AQ701" s="109"/>
      <c r="AR701" s="109"/>
      <c r="AS701" s="109"/>
    </row>
    <row r="702" spans="1:45" ht="12.6" customHeight="1" x14ac:dyDescent="0.3">
      <c r="A702" s="78"/>
      <c r="B702" s="78"/>
      <c r="C702" s="78"/>
      <c r="D702" s="78"/>
      <c r="E702" s="78"/>
      <c r="F702" s="78"/>
      <c r="Z702" s="109"/>
      <c r="AA702" s="109"/>
      <c r="AB702" s="109"/>
      <c r="AC702" s="109"/>
      <c r="AD702" s="109"/>
      <c r="AE702" s="109"/>
      <c r="AF702" s="109"/>
      <c r="AG702" s="109"/>
      <c r="AH702" s="109"/>
      <c r="AI702" s="109"/>
      <c r="AJ702" s="109"/>
      <c r="AK702" s="109"/>
      <c r="AL702" s="109"/>
      <c r="AM702" s="109"/>
      <c r="AN702" s="109"/>
      <c r="AO702" s="109"/>
      <c r="AP702" s="109"/>
      <c r="AQ702" s="109"/>
      <c r="AR702" s="109"/>
      <c r="AS702" s="109"/>
    </row>
    <row r="703" spans="1:45" ht="12.6" customHeight="1" x14ac:dyDescent="0.3">
      <c r="A703" s="58"/>
      <c r="B703" s="58"/>
      <c r="C703" s="58"/>
      <c r="D703" s="58"/>
      <c r="E703" s="58"/>
      <c r="F703" s="58"/>
      <c r="Z703" s="109"/>
      <c r="AA703" s="109"/>
      <c r="AB703" s="109"/>
      <c r="AC703" s="109"/>
      <c r="AD703" s="109"/>
      <c r="AE703" s="109"/>
      <c r="AF703" s="109"/>
      <c r="AG703" s="109"/>
      <c r="AH703" s="109"/>
      <c r="AI703" s="109"/>
      <c r="AJ703" s="109"/>
      <c r="AK703" s="109"/>
      <c r="AL703" s="109"/>
      <c r="AM703" s="109"/>
      <c r="AN703" s="109"/>
      <c r="AO703" s="109"/>
      <c r="AP703" s="109"/>
      <c r="AQ703" s="109"/>
      <c r="AR703" s="109"/>
      <c r="AS703" s="109"/>
    </row>
    <row r="704" spans="1:45" ht="12.6" customHeight="1" x14ac:dyDescent="0.3">
      <c r="A704" s="159" t="s">
        <v>1401</v>
      </c>
      <c r="B704" s="152"/>
      <c r="C704" s="55">
        <f>E704+D704+F704</f>
        <v>35404</v>
      </c>
      <c r="D704" s="54">
        <f>ROUNDDOWN(SUMIF(N637:N692,M704,D637:D692),0)</f>
        <v>18430</v>
      </c>
      <c r="E704" s="63">
        <f>ROUNDDOWN(SUMIF(N637:N692,M704,E637:E692),0)</f>
        <v>6085</v>
      </c>
      <c r="F704" s="55">
        <f>ROUNDDOWN(SUMIF(N637:N692,M704,F637:F692),0)</f>
        <v>10889</v>
      </c>
      <c r="M704" s="20" t="s">
        <v>1128</v>
      </c>
      <c r="Z704" s="109"/>
      <c r="AA704" s="109"/>
      <c r="AB704" s="109"/>
      <c r="AC704" s="109"/>
      <c r="AD704" s="109"/>
      <c r="AE704" s="109"/>
      <c r="AF704" s="109"/>
      <c r="AG704" s="109"/>
      <c r="AH704" s="109"/>
      <c r="AI704" s="109"/>
      <c r="AJ704" s="109"/>
      <c r="AK704" s="109"/>
      <c r="AL704" s="109"/>
      <c r="AM704" s="109"/>
      <c r="AN704" s="109"/>
      <c r="AO704" s="109"/>
      <c r="AP704" s="109"/>
      <c r="AQ704" s="109"/>
      <c r="AR704" s="109"/>
      <c r="AS704" s="109"/>
    </row>
    <row r="705" spans="1:45" ht="12.6" customHeight="1" x14ac:dyDescent="0.3">
      <c r="A705" s="95" t="s">
        <v>71</v>
      </c>
      <c r="B705" s="96" t="s">
        <v>71</v>
      </c>
      <c r="C705" s="158">
        <f>C739</f>
        <v>1939</v>
      </c>
      <c r="D705" s="158">
        <f>D739</f>
        <v>1116</v>
      </c>
      <c r="E705" s="158">
        <f>E739</f>
        <v>360</v>
      </c>
      <c r="F705" s="158">
        <f>F739</f>
        <v>463</v>
      </c>
      <c r="G705" s="36" t="str">
        <f>HYPERLINK("#G"&amp;ROW(G734),"_x0005_`BDCOD|D01341_x0007_`POSS|"&amp;ROW(G707)&amp;"_x0007_`POSE|"&amp;ROW(G734)&amp;"_x0007_`")</f>
        <v>_x0005_`BDCOD|D01341_x0007_`POSS|707_x0007_`POSE|734_x0007_`</v>
      </c>
      <c r="Z705" s="109"/>
      <c r="AA705" s="109"/>
      <c r="AB705" s="109"/>
      <c r="AC705" s="109"/>
      <c r="AD705" s="109"/>
      <c r="AE705" s="109"/>
      <c r="AF705" s="109"/>
      <c r="AG705" s="109"/>
      <c r="AH705" s="109"/>
      <c r="AI705" s="109"/>
      <c r="AJ705" s="109"/>
      <c r="AK705" s="109"/>
      <c r="AL705" s="109"/>
      <c r="AM705" s="109"/>
      <c r="AN705" s="109"/>
      <c r="AO705" s="109"/>
      <c r="AP705" s="109"/>
      <c r="AQ705" s="109"/>
      <c r="AR705" s="109"/>
      <c r="AS705" s="109"/>
    </row>
    <row r="706" spans="1:45" ht="12.6" customHeight="1" x14ac:dyDescent="0.3">
      <c r="A706" s="84"/>
      <c r="B706" s="96" t="s">
        <v>213</v>
      </c>
      <c r="C706" s="141"/>
      <c r="D706" s="141"/>
      <c r="E706" s="141"/>
      <c r="F706" s="141"/>
      <c r="M706" s="20" t="s">
        <v>212</v>
      </c>
      <c r="Z706" s="109"/>
      <c r="AA706" s="109"/>
      <c r="AB706" s="109"/>
      <c r="AC706" s="109"/>
      <c r="AD706" s="109"/>
      <c r="AE706" s="109"/>
      <c r="AF706" s="109"/>
      <c r="AG706" s="109"/>
      <c r="AH706" s="109"/>
      <c r="AI706" s="109"/>
      <c r="AJ706" s="109"/>
      <c r="AK706" s="109"/>
      <c r="AL706" s="109"/>
      <c r="AM706" s="109"/>
      <c r="AN706" s="109"/>
      <c r="AO706" s="109"/>
      <c r="AP706" s="109"/>
      <c r="AQ706" s="109"/>
      <c r="AR706" s="109"/>
      <c r="AS706" s="109"/>
    </row>
    <row r="707" spans="1:45" ht="12.6" customHeight="1" x14ac:dyDescent="0.3">
      <c r="A707" s="78"/>
      <c r="B707" s="78"/>
      <c r="C707" s="98"/>
      <c r="D707" s="98"/>
      <c r="E707" s="98"/>
      <c r="F707" s="98"/>
      <c r="G707" s="16" t="s">
        <v>1317</v>
      </c>
      <c r="Z707" s="109"/>
      <c r="AA707" s="109"/>
      <c r="AB707" s="109"/>
      <c r="AC707" s="109"/>
      <c r="AD707" s="109"/>
      <c r="AE707" s="109"/>
      <c r="AF707" s="109"/>
      <c r="AG707" s="109"/>
      <c r="AH707" s="109"/>
      <c r="AI707" s="109"/>
      <c r="AJ707" s="109"/>
      <c r="AK707" s="109"/>
      <c r="AL707" s="109"/>
      <c r="AM707" s="109"/>
      <c r="AN707" s="109"/>
      <c r="AO707" s="109"/>
      <c r="AP707" s="109"/>
      <c r="AQ707" s="109"/>
      <c r="AR707" s="109"/>
      <c r="AS707" s="109"/>
    </row>
    <row r="708" spans="1:45" ht="12.6" customHeight="1" x14ac:dyDescent="0.3">
      <c r="A708" s="68"/>
      <c r="B708" s="77" t="s">
        <v>1628</v>
      </c>
      <c r="C708" s="78"/>
      <c r="D708" s="78"/>
      <c r="E708" s="78"/>
      <c r="F708" s="78"/>
      <c r="G708" s="16" t="s">
        <v>1627</v>
      </c>
      <c r="Z708" s="109"/>
      <c r="AA708" s="109"/>
      <c r="AB708" s="109"/>
      <c r="AC708" s="109"/>
      <c r="AD708" s="109"/>
      <c r="AE708" s="109"/>
      <c r="AF708" s="109"/>
      <c r="AG708" s="109"/>
      <c r="AH708" s="109"/>
      <c r="AI708" s="109"/>
      <c r="AJ708" s="109"/>
      <c r="AK708" s="109"/>
      <c r="AL708" s="109"/>
      <c r="AM708" s="109"/>
      <c r="AN708" s="109"/>
      <c r="AO708" s="109"/>
      <c r="AP708" s="109"/>
      <c r="AQ708" s="109"/>
      <c r="AR708" s="109"/>
      <c r="AS708" s="109"/>
    </row>
    <row r="709" spans="1:45" ht="12.6" customHeight="1" x14ac:dyDescent="0.3">
      <c r="A709" s="78"/>
      <c r="B709" s="78"/>
      <c r="C709" s="78"/>
      <c r="D709" s="78"/>
      <c r="E709" s="78"/>
      <c r="F709" s="78"/>
      <c r="G709" s="16" t="s">
        <v>1317</v>
      </c>
      <c r="Z709" s="109"/>
      <c r="AA709" s="109"/>
      <c r="AB709" s="109"/>
      <c r="AC709" s="109"/>
      <c r="AD709" s="109"/>
      <c r="AE709" s="109"/>
      <c r="AF709" s="109"/>
      <c r="AG709" s="109"/>
      <c r="AH709" s="109"/>
      <c r="AI709" s="109"/>
      <c r="AJ709" s="109"/>
      <c r="AK709" s="109"/>
      <c r="AL709" s="109"/>
      <c r="AM709" s="109"/>
      <c r="AN709" s="109"/>
      <c r="AO709" s="109"/>
      <c r="AP709" s="109"/>
      <c r="AQ709" s="109"/>
      <c r="AR709" s="109"/>
      <c r="AS709" s="109"/>
    </row>
    <row r="710" spans="1:45" ht="12.6" customHeight="1" x14ac:dyDescent="0.3">
      <c r="A710" s="68"/>
      <c r="B710" s="77" t="s">
        <v>1630</v>
      </c>
      <c r="C710" s="78"/>
      <c r="D710" s="78"/>
      <c r="E710" s="78"/>
      <c r="F710" s="78"/>
      <c r="G710" s="16" t="s">
        <v>1629</v>
      </c>
      <c r="Z710" s="109"/>
      <c r="AA710" s="109"/>
      <c r="AB710" s="109"/>
      <c r="AC710" s="109"/>
      <c r="AD710" s="109"/>
      <c r="AE710" s="109"/>
      <c r="AF710" s="109"/>
      <c r="AG710" s="109"/>
      <c r="AH710" s="109"/>
      <c r="AI710" s="109"/>
      <c r="AJ710" s="109"/>
      <c r="AK710" s="109"/>
      <c r="AL710" s="109"/>
      <c r="AM710" s="109"/>
      <c r="AN710" s="109"/>
      <c r="AO710" s="109"/>
      <c r="AP710" s="109"/>
      <c r="AQ710" s="109"/>
      <c r="AR710" s="109"/>
      <c r="AS710" s="109"/>
    </row>
    <row r="711" spans="1:45" ht="12.6" customHeight="1" x14ac:dyDescent="0.3">
      <c r="A711" s="78"/>
      <c r="B711" s="78"/>
      <c r="C711" s="78"/>
      <c r="D711" s="78"/>
      <c r="E711" s="78"/>
      <c r="F711" s="78"/>
      <c r="G711" s="16" t="s">
        <v>1317</v>
      </c>
      <c r="Z711" s="109"/>
      <c r="AA711" s="109"/>
      <c r="AB711" s="109"/>
      <c r="AC711" s="109"/>
      <c r="AD711" s="109"/>
      <c r="AE711" s="109"/>
      <c r="AF711" s="109"/>
      <c r="AG711" s="109"/>
      <c r="AH711" s="109"/>
      <c r="AI711" s="109"/>
      <c r="AJ711" s="109"/>
      <c r="AK711" s="109"/>
      <c r="AL711" s="109"/>
      <c r="AM711" s="109"/>
      <c r="AN711" s="109"/>
      <c r="AO711" s="109"/>
      <c r="AP711" s="109"/>
      <c r="AQ711" s="109"/>
      <c r="AR711" s="109"/>
      <c r="AS711" s="109"/>
    </row>
    <row r="712" spans="1:45" ht="12.6" customHeight="1" x14ac:dyDescent="0.3">
      <c r="A712" s="68"/>
      <c r="B712" s="97" t="str">
        <f>" q (버킷용량(m3))  = "&amp;Z712&amp;" , f (체적환산계수)  = "&amp;AD712&amp;"/"&amp;AF712&amp;" = "&amp;AH712&amp;""</f>
        <v xml:space="preserve"> q (버킷용량(m3))  = 0.7 , f (체적환산계수)  = 1/1.25 = 0.80</v>
      </c>
      <c r="C712" s="78"/>
      <c r="D712" s="78"/>
      <c r="E712" s="78"/>
      <c r="F712" s="78"/>
      <c r="G712" s="16" t="s">
        <v>1631</v>
      </c>
      <c r="Z712" s="110">
        <v>0.7</v>
      </c>
      <c r="AA712" s="20" t="s">
        <v>1326</v>
      </c>
      <c r="AB712" s="112">
        <f>Z712</f>
        <v>0.7</v>
      </c>
      <c r="AC712" s="20" t="s">
        <v>1385</v>
      </c>
      <c r="AD712" s="111">
        <v>1</v>
      </c>
      <c r="AE712" s="20" t="s">
        <v>1387</v>
      </c>
      <c r="AF712" s="110">
        <v>1.25</v>
      </c>
      <c r="AG712" s="20" t="s">
        <v>1326</v>
      </c>
      <c r="AH712" s="112" t="str">
        <f>TEXT(ROUND(AD712/AF712,2),"0.00")</f>
        <v>0.80</v>
      </c>
      <c r="AI712" s="20" t="s">
        <v>1385</v>
      </c>
      <c r="AJ712" s="109"/>
      <c r="AK712" s="109"/>
      <c r="AL712" s="109"/>
      <c r="AM712" s="109"/>
      <c r="AN712" s="109"/>
      <c r="AO712" s="109"/>
      <c r="AP712" s="109"/>
      <c r="AQ712" s="109"/>
      <c r="AR712" s="109"/>
      <c r="AS712" s="109"/>
    </row>
    <row r="713" spans="1:45" ht="12.6" customHeight="1" x14ac:dyDescent="0.3">
      <c r="A713" s="78"/>
      <c r="B713" s="78"/>
      <c r="C713" s="78"/>
      <c r="D713" s="78"/>
      <c r="E713" s="78"/>
      <c r="F713" s="78"/>
      <c r="G713" s="16" t="s">
        <v>1317</v>
      </c>
      <c r="Z713" s="109"/>
      <c r="AA713" s="109"/>
      <c r="AB713" s="109"/>
      <c r="AC713" s="109"/>
      <c r="AD713" s="109"/>
      <c r="AE713" s="109"/>
      <c r="AF713" s="109"/>
      <c r="AG713" s="109"/>
      <c r="AH713" s="109"/>
      <c r="AI713" s="109"/>
      <c r="AJ713" s="109"/>
      <c r="AK713" s="109"/>
      <c r="AL713" s="109"/>
      <c r="AM713" s="109"/>
      <c r="AN713" s="109"/>
      <c r="AO713" s="109"/>
      <c r="AP713" s="109"/>
      <c r="AQ713" s="109"/>
      <c r="AR713" s="109"/>
      <c r="AS713" s="109"/>
    </row>
    <row r="714" spans="1:45" ht="12.6" customHeight="1" x14ac:dyDescent="0.3">
      <c r="A714" s="68"/>
      <c r="B714" s="97" t="str">
        <f>" K (버킷계수)  = "&amp;Z714&amp;""</f>
        <v xml:space="preserve"> K (버킷계수)  = 0.9</v>
      </c>
      <c r="C714" s="78"/>
      <c r="D714" s="78"/>
      <c r="E714" s="78"/>
      <c r="F714" s="78"/>
      <c r="G714" s="16" t="s">
        <v>1632</v>
      </c>
      <c r="Z714" s="110">
        <v>0.9</v>
      </c>
      <c r="AA714" s="20" t="s">
        <v>1326</v>
      </c>
      <c r="AB714" s="112">
        <f>Z714</f>
        <v>0.9</v>
      </c>
      <c r="AC714" s="109"/>
      <c r="AD714" s="109"/>
      <c r="AE714" s="109"/>
      <c r="AF714" s="109"/>
      <c r="AG714" s="109"/>
      <c r="AH714" s="109"/>
      <c r="AI714" s="109"/>
      <c r="AJ714" s="109"/>
      <c r="AK714" s="109"/>
      <c r="AL714" s="109"/>
      <c r="AM714" s="109"/>
      <c r="AN714" s="109"/>
      <c r="AO714" s="109"/>
      <c r="AP714" s="109"/>
      <c r="AQ714" s="109"/>
      <c r="AR714" s="109"/>
      <c r="AS714" s="109"/>
    </row>
    <row r="715" spans="1:45" ht="12.6" customHeight="1" x14ac:dyDescent="0.3">
      <c r="A715" s="78"/>
      <c r="B715" s="78"/>
      <c r="C715" s="78"/>
      <c r="D715" s="78"/>
      <c r="E715" s="78"/>
      <c r="F715" s="78"/>
      <c r="G715" s="16" t="s">
        <v>1317</v>
      </c>
      <c r="Z715" s="109"/>
      <c r="AA715" s="109"/>
      <c r="AB715" s="109"/>
      <c r="AC715" s="109"/>
      <c r="AD715" s="109"/>
      <c r="AE715" s="109"/>
      <c r="AF715" s="109"/>
      <c r="AG715" s="109"/>
      <c r="AH715" s="109"/>
      <c r="AI715" s="109"/>
      <c r="AJ715" s="109"/>
      <c r="AK715" s="109"/>
      <c r="AL715" s="109"/>
      <c r="AM715" s="109"/>
      <c r="AN715" s="109"/>
      <c r="AO715" s="109"/>
      <c r="AP715" s="109"/>
      <c r="AQ715" s="109"/>
      <c r="AR715" s="109"/>
      <c r="AS715" s="109"/>
    </row>
    <row r="716" spans="1:45" ht="12.6" customHeight="1" x14ac:dyDescent="0.3">
      <c r="A716" s="68"/>
      <c r="B716" s="97" t="str">
        <f>" Cm (사이클 시간(초))  = "&amp;Z716&amp;" sec (135˚) , E (작업효율)  = "&amp;AD716&amp;""</f>
        <v xml:space="preserve"> Cm (사이클 시간(초))  = 20 sec (135˚) , E (작업효율)  = 0.55</v>
      </c>
      <c r="C716" s="78"/>
      <c r="D716" s="78"/>
      <c r="E716" s="78"/>
      <c r="F716" s="78"/>
      <c r="G716" s="16" t="s">
        <v>1633</v>
      </c>
      <c r="Z716" s="111">
        <v>20</v>
      </c>
      <c r="AA716" s="20" t="s">
        <v>1326</v>
      </c>
      <c r="AB716" s="112">
        <f>Z716</f>
        <v>20</v>
      </c>
      <c r="AC716" s="20" t="s">
        <v>1385</v>
      </c>
      <c r="AD716" s="110">
        <v>0.55000000000000004</v>
      </c>
      <c r="AE716" s="20" t="s">
        <v>1326</v>
      </c>
      <c r="AF716" s="112">
        <f>AD716</f>
        <v>0.55000000000000004</v>
      </c>
      <c r="AG716" s="20" t="s">
        <v>1385</v>
      </c>
      <c r="AH716" s="109"/>
      <c r="AI716" s="109"/>
      <c r="AJ716" s="109"/>
      <c r="AK716" s="109"/>
      <c r="AL716" s="109"/>
      <c r="AM716" s="109"/>
      <c r="AN716" s="109"/>
      <c r="AO716" s="109"/>
      <c r="AP716" s="109"/>
      <c r="AQ716" s="109"/>
      <c r="AR716" s="109"/>
      <c r="AS716" s="109"/>
    </row>
    <row r="717" spans="1:45" ht="12.6" customHeight="1" x14ac:dyDescent="0.3">
      <c r="A717" s="78"/>
      <c r="B717" s="78"/>
      <c r="C717" s="78"/>
      <c r="D717" s="78"/>
      <c r="E717" s="78"/>
      <c r="F717" s="78"/>
      <c r="G717" s="16" t="s">
        <v>1433</v>
      </c>
      <c r="Z717" s="109"/>
      <c r="AA717" s="109"/>
      <c r="AB717" s="109"/>
      <c r="AC717" s="109"/>
      <c r="AD717" s="109"/>
      <c r="AE717" s="109"/>
      <c r="AF717" s="109"/>
      <c r="AG717" s="109"/>
      <c r="AH717" s="109"/>
      <c r="AI717" s="109"/>
      <c r="AJ717" s="109"/>
      <c r="AK717" s="109"/>
      <c r="AL717" s="109"/>
      <c r="AM717" s="109"/>
      <c r="AN717" s="109"/>
      <c r="AO717" s="109"/>
      <c r="AP717" s="109"/>
      <c r="AQ717" s="109"/>
      <c r="AR717" s="109"/>
      <c r="AS717" s="109"/>
    </row>
    <row r="718" spans="1:45" ht="12.6" customHeight="1" x14ac:dyDescent="0.3">
      <c r="A718" s="68"/>
      <c r="B718" s="97" t="str">
        <f>" Q (시간당작업량)  = "&amp;Z718&amp;"*q*K*f*E/Cm = "&amp;AL718&amp;" m3/hr "</f>
        <v xml:space="preserve"> Q (시간당작업량)  = 3600*q*K*f*E/Cm = 49.90 m3/hr </v>
      </c>
      <c r="C718" s="78"/>
      <c r="D718" s="78"/>
      <c r="E718" s="78"/>
      <c r="F718" s="78"/>
      <c r="G718" s="16" t="s">
        <v>1516</v>
      </c>
      <c r="Z718" s="111">
        <v>3600</v>
      </c>
      <c r="AA718" s="20" t="s">
        <v>1390</v>
      </c>
      <c r="AB718" s="112">
        <f>AB712</f>
        <v>0.7</v>
      </c>
      <c r="AC718" s="20" t="s">
        <v>1390</v>
      </c>
      <c r="AD718" s="112">
        <f>AB714</f>
        <v>0.9</v>
      </c>
      <c r="AE718" s="20" t="s">
        <v>1390</v>
      </c>
      <c r="AF718" s="112" t="str">
        <f>AH712</f>
        <v>0.80</v>
      </c>
      <c r="AG718" s="20" t="s">
        <v>1390</v>
      </c>
      <c r="AH718" s="112">
        <f>AF716</f>
        <v>0.55000000000000004</v>
      </c>
      <c r="AI718" s="20" t="s">
        <v>1387</v>
      </c>
      <c r="AJ718" s="112">
        <f>AB716</f>
        <v>20</v>
      </c>
      <c r="AK718" s="20" t="s">
        <v>1326</v>
      </c>
      <c r="AL718" s="112" t="str">
        <f>TEXT(ROUND(Z718*AB712*AB714*AH712*AF716/AB716,2),"0.00")</f>
        <v>49.90</v>
      </c>
      <c r="AM718" s="109"/>
      <c r="AN718" s="109"/>
      <c r="AO718" s="109"/>
      <c r="AP718" s="109"/>
      <c r="AQ718" s="109"/>
      <c r="AR718" s="109"/>
      <c r="AS718" s="109"/>
    </row>
    <row r="719" spans="1:45" ht="12.6" customHeight="1" x14ac:dyDescent="0.3">
      <c r="A719" s="78"/>
      <c r="B719" s="78"/>
      <c r="C719" s="78"/>
      <c r="D719" s="78"/>
      <c r="E719" s="78"/>
      <c r="F719" s="78"/>
      <c r="G719" s="16" t="s">
        <v>1317</v>
      </c>
      <c r="Z719" s="109"/>
      <c r="AA719" s="109"/>
      <c r="AB719" s="109"/>
      <c r="AC719" s="109"/>
      <c r="AD719" s="109"/>
      <c r="AE719" s="109"/>
      <c r="AF719" s="109"/>
      <c r="AG719" s="109"/>
      <c r="AH719" s="109"/>
      <c r="AI719" s="109"/>
      <c r="AJ719" s="109"/>
      <c r="AK719" s="109"/>
      <c r="AL719" s="109"/>
      <c r="AM719" s="109"/>
      <c r="AN719" s="109"/>
      <c r="AO719" s="109"/>
      <c r="AP719" s="109"/>
      <c r="AQ719" s="109"/>
      <c r="AR719" s="109"/>
      <c r="AS719" s="109"/>
    </row>
    <row r="720" spans="1:45" ht="12.6" customHeight="1" x14ac:dyDescent="0.3">
      <c r="A720" s="78"/>
      <c r="B720" s="78"/>
      <c r="C720" s="78"/>
      <c r="D720" s="78"/>
      <c r="E720" s="78"/>
      <c r="F720" s="78"/>
      <c r="G720" s="16" t="s">
        <v>1317</v>
      </c>
      <c r="Z720" s="109"/>
      <c r="AA720" s="109"/>
      <c r="AB720" s="109"/>
      <c r="AC720" s="109"/>
      <c r="AD720" s="109"/>
      <c r="AE720" s="109"/>
      <c r="AF720" s="109"/>
      <c r="AG720" s="109"/>
      <c r="AH720" s="109"/>
      <c r="AI720" s="109"/>
      <c r="AJ720" s="109"/>
      <c r="AK720" s="109"/>
      <c r="AL720" s="109"/>
      <c r="AM720" s="109"/>
      <c r="AN720" s="109"/>
      <c r="AO720" s="109"/>
      <c r="AP720" s="109"/>
      <c r="AQ720" s="109"/>
      <c r="AR720" s="109"/>
      <c r="AS720" s="109"/>
    </row>
    <row r="721" spans="1:45" ht="12.6" customHeight="1" x14ac:dyDescent="0.3">
      <c r="A721" s="68" t="s">
        <v>1473</v>
      </c>
      <c r="B721" s="97" t="str">
        <f>" 노 무 비  : "&amp;TEXT(I721,"#,##0"&amp;IF(I721&lt;&gt;INT(I721),".###",""))&amp;" / Q = "&amp;TEXT(C721,"#,##0.0")&amp;""</f>
        <v xml:space="preserve"> 노 무 비  : 55,700 / Q = 1,116.2</v>
      </c>
      <c r="C721" s="99">
        <f>E721+D721+F721</f>
        <v>1116.2</v>
      </c>
      <c r="D721" s="99">
        <f>IF(H721=0,0,ROUNDDOWN(J721*H721,1))</f>
        <v>1116.2</v>
      </c>
      <c r="E721" s="99">
        <f>IF(H721=0,0,ROUNDDOWN(K721*H721,1))</f>
        <v>0</v>
      </c>
      <c r="F721" s="99">
        <f>IF(H721=0,0,ROUNDDOWN(L721*H721,1))</f>
        <v>0</v>
      </c>
      <c r="G721" s="16" t="s">
        <v>1634</v>
      </c>
      <c r="H721" s="105">
        <f>AC721</f>
        <v>2.004008016032064E-2</v>
      </c>
      <c r="I721" s="106">
        <f>K721+J721+L721</f>
        <v>55700</v>
      </c>
      <c r="J721" s="39">
        <f>중기목록표!F7</f>
        <v>55700</v>
      </c>
      <c r="M721" s="20" t="s">
        <v>1193</v>
      </c>
      <c r="N721" s="20" t="s">
        <v>1332</v>
      </c>
      <c r="X721" s="108" t="str">
        <f>중기목록표!B7&amp;" / "&amp;중기목록표!C7</f>
        <v xml:space="preserve">굴삭기(0.7m3) / </v>
      </c>
      <c r="Y721" s="19" t="str">
        <f ca="1">HYPERLINK("#"&amp;중기목록표!J2&amp;"!A"&amp;ROW(중기목록표!A7),"중기    4 →")</f>
        <v>중기    4 →</v>
      </c>
      <c r="Z721" s="20" t="s">
        <v>1393</v>
      </c>
      <c r="AA721" s="112" t="str">
        <f>AL718</f>
        <v>49.90</v>
      </c>
      <c r="AB721" s="20" t="s">
        <v>1326</v>
      </c>
      <c r="AC721" s="113">
        <f>1/AL718</f>
        <v>2.004008016032064E-2</v>
      </c>
      <c r="AD721" s="109"/>
      <c r="AE721" s="109"/>
      <c r="AF721" s="109"/>
      <c r="AG721" s="109"/>
      <c r="AH721" s="109"/>
      <c r="AI721" s="109"/>
      <c r="AJ721" s="109"/>
      <c r="AK721" s="109"/>
      <c r="AL721" s="109"/>
      <c r="AM721" s="109"/>
      <c r="AN721" s="109"/>
      <c r="AO721" s="109"/>
      <c r="AP721" s="109"/>
      <c r="AQ721" s="109"/>
      <c r="AR721" s="109"/>
      <c r="AS721" s="109"/>
    </row>
    <row r="722" spans="1:45" ht="12.6" customHeight="1" x14ac:dyDescent="0.3">
      <c r="A722" s="78"/>
      <c r="B722" s="78"/>
      <c r="C722" s="78"/>
      <c r="D722" s="78"/>
      <c r="E722" s="78"/>
      <c r="F722" s="78"/>
      <c r="G722" s="16" t="s">
        <v>1317</v>
      </c>
      <c r="Z722" s="109"/>
      <c r="AA722" s="109"/>
      <c r="AB722" s="109"/>
      <c r="AC722" s="109"/>
      <c r="AD722" s="109"/>
      <c r="AE722" s="109"/>
      <c r="AF722" s="109"/>
      <c r="AG722" s="109"/>
      <c r="AH722" s="109"/>
      <c r="AI722" s="109"/>
      <c r="AJ722" s="109"/>
      <c r="AK722" s="109"/>
      <c r="AL722" s="109"/>
      <c r="AM722" s="109"/>
      <c r="AN722" s="109"/>
      <c r="AO722" s="109"/>
      <c r="AP722" s="109"/>
      <c r="AQ722" s="109"/>
      <c r="AR722" s="109"/>
      <c r="AS722" s="109"/>
    </row>
    <row r="723" spans="1:45" ht="12.6" customHeight="1" x14ac:dyDescent="0.3">
      <c r="A723" s="78"/>
      <c r="B723" s="78"/>
      <c r="C723" s="78"/>
      <c r="D723" s="78"/>
      <c r="E723" s="78"/>
      <c r="F723" s="78"/>
      <c r="G723" s="16" t="s">
        <v>1317</v>
      </c>
      <c r="Z723" s="109"/>
      <c r="AA723" s="109"/>
      <c r="AB723" s="109"/>
      <c r="AC723" s="109"/>
      <c r="AD723" s="109"/>
      <c r="AE723" s="109"/>
      <c r="AF723" s="109"/>
      <c r="AG723" s="109"/>
      <c r="AH723" s="109"/>
      <c r="AI723" s="109"/>
      <c r="AJ723" s="109"/>
      <c r="AK723" s="109"/>
      <c r="AL723" s="109"/>
      <c r="AM723" s="109"/>
      <c r="AN723" s="109"/>
      <c r="AO723" s="109"/>
      <c r="AP723" s="109"/>
      <c r="AQ723" s="109"/>
      <c r="AR723" s="109"/>
      <c r="AS723" s="109"/>
    </row>
    <row r="724" spans="1:45" ht="12.6" customHeight="1" x14ac:dyDescent="0.3">
      <c r="A724" s="78"/>
      <c r="B724" s="78"/>
      <c r="C724" s="78"/>
      <c r="D724" s="78"/>
      <c r="E724" s="78"/>
      <c r="F724" s="78"/>
      <c r="G724" s="16" t="s">
        <v>1317</v>
      </c>
      <c r="Z724" s="109"/>
      <c r="AA724" s="109"/>
      <c r="AB724" s="109"/>
      <c r="AC724" s="109"/>
      <c r="AD724" s="109"/>
      <c r="AE724" s="109"/>
      <c r="AF724" s="109"/>
      <c r="AG724" s="109"/>
      <c r="AH724" s="109"/>
      <c r="AI724" s="109"/>
      <c r="AJ724" s="109"/>
      <c r="AK724" s="109"/>
      <c r="AL724" s="109"/>
      <c r="AM724" s="109"/>
      <c r="AN724" s="109"/>
      <c r="AO724" s="109"/>
      <c r="AP724" s="109"/>
      <c r="AQ724" s="109"/>
      <c r="AR724" s="109"/>
      <c r="AS724" s="109"/>
    </row>
    <row r="725" spans="1:45" ht="12.6" customHeight="1" x14ac:dyDescent="0.3">
      <c r="A725" s="68" t="s">
        <v>1475</v>
      </c>
      <c r="B725" s="97" t="str">
        <f>" 재 료 비  : "&amp;TEXT(I725,"#,##0"&amp;IF(I725&lt;&gt;INT(I725),".###",""))&amp;" / Q = "&amp;TEXT(C725,"#,##0.0")&amp;""</f>
        <v xml:space="preserve"> 재 료 비  : 18,001 / Q = 360.7</v>
      </c>
      <c r="C725" s="99">
        <f>E725+D725+F725</f>
        <v>360.7</v>
      </c>
      <c r="D725" s="99">
        <f>IF(H725=0,0,ROUNDDOWN(J725*H725,1))</f>
        <v>0</v>
      </c>
      <c r="E725" s="99">
        <f>IF(H725=0,0,ROUNDDOWN(K725*H725,1))</f>
        <v>360.7</v>
      </c>
      <c r="F725" s="99">
        <f>IF(H725=0,0,ROUNDDOWN(L725*H725,1))</f>
        <v>0</v>
      </c>
      <c r="G725" s="16" t="s">
        <v>1635</v>
      </c>
      <c r="H725" s="105">
        <f>AC725</f>
        <v>2.004008016032064E-2</v>
      </c>
      <c r="I725" s="106">
        <f>K725+J725+L725</f>
        <v>18001</v>
      </c>
      <c r="K725" s="39">
        <f>중기목록표!G7</f>
        <v>18001</v>
      </c>
      <c r="M725" s="20" t="s">
        <v>1193</v>
      </c>
      <c r="N725" s="20" t="s">
        <v>1332</v>
      </c>
      <c r="X725" s="108" t="str">
        <f>중기목록표!B7&amp;" / "&amp;중기목록표!C7</f>
        <v xml:space="preserve">굴삭기(0.7m3) / </v>
      </c>
      <c r="Y725" s="19" t="str">
        <f ca="1">HYPERLINK("#"&amp;중기목록표!J2&amp;"!A"&amp;ROW(중기목록표!A7),"중기    4 →")</f>
        <v>중기    4 →</v>
      </c>
      <c r="Z725" s="20" t="s">
        <v>1393</v>
      </c>
      <c r="AA725" s="112" t="str">
        <f>AL718</f>
        <v>49.90</v>
      </c>
      <c r="AB725" s="20" t="s">
        <v>1326</v>
      </c>
      <c r="AC725" s="113">
        <f>1/AL718</f>
        <v>2.004008016032064E-2</v>
      </c>
      <c r="AD725" s="109"/>
      <c r="AE725" s="109"/>
      <c r="AF725" s="109"/>
      <c r="AG725" s="109"/>
      <c r="AH725" s="109"/>
      <c r="AI725" s="109"/>
      <c r="AJ725" s="109"/>
      <c r="AK725" s="109"/>
      <c r="AL725" s="109"/>
      <c r="AM725" s="109"/>
      <c r="AN725" s="109"/>
      <c r="AO725" s="109"/>
      <c r="AP725" s="109"/>
      <c r="AQ725" s="109"/>
      <c r="AR725" s="109"/>
      <c r="AS725" s="109"/>
    </row>
    <row r="726" spans="1:45" ht="12.6" customHeight="1" x14ac:dyDescent="0.3">
      <c r="A726" s="78"/>
      <c r="B726" s="78"/>
      <c r="C726" s="78"/>
      <c r="D726" s="78"/>
      <c r="E726" s="78"/>
      <c r="F726" s="78"/>
      <c r="G726" s="16" t="s">
        <v>1317</v>
      </c>
      <c r="Z726" s="109"/>
      <c r="AA726" s="109"/>
      <c r="AB726" s="109"/>
      <c r="AC726" s="109"/>
      <c r="AD726" s="109"/>
      <c r="AE726" s="109"/>
      <c r="AF726" s="109"/>
      <c r="AG726" s="109"/>
      <c r="AH726" s="109"/>
      <c r="AI726" s="109"/>
      <c r="AJ726" s="109"/>
      <c r="AK726" s="109"/>
      <c r="AL726" s="109"/>
      <c r="AM726" s="109"/>
      <c r="AN726" s="109"/>
      <c r="AO726" s="109"/>
      <c r="AP726" s="109"/>
      <c r="AQ726" s="109"/>
      <c r="AR726" s="109"/>
      <c r="AS726" s="109"/>
    </row>
    <row r="727" spans="1:45" ht="12.6" customHeight="1" x14ac:dyDescent="0.3">
      <c r="A727" s="78"/>
      <c r="B727" s="78"/>
      <c r="C727" s="78"/>
      <c r="D727" s="78"/>
      <c r="E727" s="78"/>
      <c r="F727" s="78"/>
      <c r="G727" s="16" t="s">
        <v>1317</v>
      </c>
      <c r="Z727" s="109"/>
      <c r="AA727" s="109"/>
      <c r="AB727" s="109"/>
      <c r="AC727" s="109"/>
      <c r="AD727" s="109"/>
      <c r="AE727" s="109"/>
      <c r="AF727" s="109"/>
      <c r="AG727" s="109"/>
      <c r="AH727" s="109"/>
      <c r="AI727" s="109"/>
      <c r="AJ727" s="109"/>
      <c r="AK727" s="109"/>
      <c r="AL727" s="109"/>
      <c r="AM727" s="109"/>
      <c r="AN727" s="109"/>
      <c r="AO727" s="109"/>
      <c r="AP727" s="109"/>
      <c r="AQ727" s="109"/>
      <c r="AR727" s="109"/>
      <c r="AS727" s="109"/>
    </row>
    <row r="728" spans="1:45" ht="12.6" customHeight="1" x14ac:dyDescent="0.3">
      <c r="A728" s="78"/>
      <c r="B728" s="78"/>
      <c r="C728" s="78"/>
      <c r="D728" s="78"/>
      <c r="E728" s="78"/>
      <c r="F728" s="78"/>
      <c r="G728" s="16" t="s">
        <v>1317</v>
      </c>
      <c r="Z728" s="109"/>
      <c r="AA728" s="109"/>
      <c r="AB728" s="109"/>
      <c r="AC728" s="109"/>
      <c r="AD728" s="109"/>
      <c r="AE728" s="109"/>
      <c r="AF728" s="109"/>
      <c r="AG728" s="109"/>
      <c r="AH728" s="109"/>
      <c r="AI728" s="109"/>
      <c r="AJ728" s="109"/>
      <c r="AK728" s="109"/>
      <c r="AL728" s="109"/>
      <c r="AM728" s="109"/>
      <c r="AN728" s="109"/>
      <c r="AO728" s="109"/>
      <c r="AP728" s="109"/>
      <c r="AQ728" s="109"/>
      <c r="AR728" s="109"/>
      <c r="AS728" s="109"/>
    </row>
    <row r="729" spans="1:45" ht="12.6" customHeight="1" x14ac:dyDescent="0.3">
      <c r="A729" s="68" t="s">
        <v>1477</v>
      </c>
      <c r="B729" s="97" t="str">
        <f>" 경    비  : "&amp;TEXT(I729,"#,##0"&amp;IF(I729&lt;&gt;INT(I729),".###",""))&amp;" / Q = "&amp;TEXT(C729,"#,##0.0")&amp;""</f>
        <v xml:space="preserve"> 경    비  : 23,128 / Q = 463.4</v>
      </c>
      <c r="C729" s="99">
        <f>E729+D729+F729</f>
        <v>463.4</v>
      </c>
      <c r="D729" s="99">
        <f>IF(H729=0,0,ROUNDDOWN(J729*H729,1))</f>
        <v>0</v>
      </c>
      <c r="E729" s="99">
        <f>IF(H729=0,0,ROUNDDOWN(K729*H729,1))</f>
        <v>0</v>
      </c>
      <c r="F729" s="99">
        <f>IF(H729=0,0,ROUNDDOWN(L729*H729,1))</f>
        <v>463.4</v>
      </c>
      <c r="G729" s="16" t="s">
        <v>1636</v>
      </c>
      <c r="H729" s="105">
        <f>AC729</f>
        <v>2.004008016032064E-2</v>
      </c>
      <c r="I729" s="106">
        <f>K729+J729+L729</f>
        <v>23128</v>
      </c>
      <c r="L729" s="39">
        <f>중기목록표!H7</f>
        <v>23128</v>
      </c>
      <c r="M729" s="20" t="s">
        <v>1193</v>
      </c>
      <c r="N729" s="20" t="s">
        <v>1332</v>
      </c>
      <c r="X729" s="108" t="str">
        <f>중기목록표!B7&amp;" / "&amp;중기목록표!C7</f>
        <v xml:space="preserve">굴삭기(0.7m3) / </v>
      </c>
      <c r="Y729" s="19" t="str">
        <f ca="1">HYPERLINK("#"&amp;중기목록표!J2&amp;"!A"&amp;ROW(중기목록표!A7),"중기    4 →")</f>
        <v>중기    4 →</v>
      </c>
      <c r="Z729" s="20" t="s">
        <v>1393</v>
      </c>
      <c r="AA729" s="112" t="str">
        <f>AL718</f>
        <v>49.90</v>
      </c>
      <c r="AB729" s="20" t="s">
        <v>1326</v>
      </c>
      <c r="AC729" s="113">
        <f>1/AL718</f>
        <v>2.004008016032064E-2</v>
      </c>
      <c r="AD729" s="109"/>
      <c r="AE729" s="109"/>
      <c r="AF729" s="109"/>
      <c r="AG729" s="109"/>
      <c r="AH729" s="109"/>
      <c r="AI729" s="109"/>
      <c r="AJ729" s="109"/>
      <c r="AK729" s="109"/>
      <c r="AL729" s="109"/>
      <c r="AM729" s="109"/>
      <c r="AN729" s="109"/>
      <c r="AO729" s="109"/>
      <c r="AP729" s="109"/>
      <c r="AQ729" s="109"/>
      <c r="AR729" s="109"/>
      <c r="AS729" s="109"/>
    </row>
    <row r="730" spans="1:45" ht="12.6" customHeight="1" x14ac:dyDescent="0.3">
      <c r="A730" s="78"/>
      <c r="B730" s="78"/>
      <c r="C730" s="78"/>
      <c r="D730" s="78"/>
      <c r="E730" s="78"/>
      <c r="F730" s="78"/>
      <c r="G730" s="16" t="s">
        <v>1317</v>
      </c>
      <c r="Z730" s="109"/>
      <c r="AA730" s="109"/>
      <c r="AB730" s="109"/>
      <c r="AC730" s="109"/>
      <c r="AD730" s="109"/>
      <c r="AE730" s="109"/>
      <c r="AF730" s="109"/>
      <c r="AG730" s="109"/>
      <c r="AH730" s="109"/>
      <c r="AI730" s="109"/>
      <c r="AJ730" s="109"/>
      <c r="AK730" s="109"/>
      <c r="AL730" s="109"/>
      <c r="AM730" s="109"/>
      <c r="AN730" s="109"/>
      <c r="AO730" s="109"/>
      <c r="AP730" s="109"/>
      <c r="AQ730" s="109"/>
      <c r="AR730" s="109"/>
      <c r="AS730" s="109"/>
    </row>
    <row r="731" spans="1:45" ht="12.6" customHeight="1" x14ac:dyDescent="0.3">
      <c r="A731" s="78"/>
      <c r="B731" s="78"/>
      <c r="C731" s="78"/>
      <c r="D731" s="78"/>
      <c r="E731" s="78"/>
      <c r="F731" s="78"/>
      <c r="G731" s="16" t="s">
        <v>1317</v>
      </c>
      <c r="Z731" s="109"/>
      <c r="AA731" s="109"/>
      <c r="AB731" s="109"/>
      <c r="AC731" s="109"/>
      <c r="AD731" s="109"/>
      <c r="AE731" s="109"/>
      <c r="AF731" s="109"/>
      <c r="AG731" s="109"/>
      <c r="AH731" s="109"/>
      <c r="AI731" s="109"/>
      <c r="AJ731" s="109"/>
      <c r="AK731" s="109"/>
      <c r="AL731" s="109"/>
      <c r="AM731" s="109"/>
      <c r="AN731" s="109"/>
      <c r="AO731" s="109"/>
      <c r="AP731" s="109"/>
      <c r="AQ731" s="109"/>
      <c r="AR731" s="109"/>
      <c r="AS731" s="109"/>
    </row>
    <row r="732" spans="1:45" ht="12.6" customHeight="1" x14ac:dyDescent="0.3">
      <c r="A732" s="78"/>
      <c r="B732" s="78"/>
      <c r="C732" s="78"/>
      <c r="D732" s="78"/>
      <c r="E732" s="78"/>
      <c r="F732" s="78"/>
      <c r="G732" s="16" t="s">
        <v>1317</v>
      </c>
      <c r="Z732" s="109"/>
      <c r="AA732" s="109"/>
      <c r="AB732" s="109"/>
      <c r="AC732" s="109"/>
      <c r="AD732" s="109"/>
      <c r="AE732" s="109"/>
      <c r="AF732" s="109"/>
      <c r="AG732" s="109"/>
      <c r="AH732" s="109"/>
      <c r="AI732" s="109"/>
      <c r="AJ732" s="109"/>
      <c r="AK732" s="109"/>
      <c r="AL732" s="109"/>
      <c r="AM732" s="109"/>
      <c r="AN732" s="109"/>
      <c r="AO732" s="109"/>
      <c r="AP732" s="109"/>
      <c r="AQ732" s="109"/>
      <c r="AR732" s="109"/>
      <c r="AS732" s="109"/>
    </row>
    <row r="733" spans="1:45" ht="12.6" customHeight="1" x14ac:dyDescent="0.3">
      <c r="A733" s="78"/>
      <c r="B733" s="78"/>
      <c r="C733" s="78"/>
      <c r="D733" s="78"/>
      <c r="E733" s="78"/>
      <c r="F733" s="78"/>
      <c r="G733" s="16" t="s">
        <v>1317</v>
      </c>
      <c r="Z733" s="109"/>
      <c r="AA733" s="109"/>
      <c r="AB733" s="109"/>
      <c r="AC733" s="109"/>
      <c r="AD733" s="109"/>
      <c r="AE733" s="109"/>
      <c r="AF733" s="109"/>
      <c r="AG733" s="109"/>
      <c r="AH733" s="109"/>
      <c r="AI733" s="109"/>
      <c r="AJ733" s="109"/>
      <c r="AK733" s="109"/>
      <c r="AL733" s="109"/>
      <c r="AM733" s="109"/>
      <c r="AN733" s="109"/>
      <c r="AO733" s="109"/>
      <c r="AP733" s="109"/>
      <c r="AQ733" s="109"/>
      <c r="AR733" s="109"/>
      <c r="AS733" s="109"/>
    </row>
    <row r="734" spans="1:45" ht="12.6" customHeight="1" x14ac:dyDescent="0.3">
      <c r="A734" s="68"/>
      <c r="B734" s="77" t="s">
        <v>1331</v>
      </c>
      <c r="C734" s="100">
        <f>E734+D734+F734</f>
        <v>1940.3000000000002</v>
      </c>
      <c r="D734" s="100">
        <f>SUMIF(N707:N733,M734,D707:D733)</f>
        <v>1116.2</v>
      </c>
      <c r="E734" s="100">
        <f>SUMIF(N707:N733,M734,E707:E733)</f>
        <v>360.7</v>
      </c>
      <c r="F734" s="100">
        <f>SUMIF(N707:N733,M734,F707:F733)</f>
        <v>463.4</v>
      </c>
      <c r="G734" s="16" t="s">
        <v>1415</v>
      </c>
      <c r="M734" s="20" t="s">
        <v>1332</v>
      </c>
      <c r="N734" s="20" t="s">
        <v>1128</v>
      </c>
      <c r="Z734" s="109"/>
      <c r="AA734" s="109"/>
      <c r="AB734" s="109"/>
      <c r="AC734" s="109"/>
      <c r="AD734" s="109"/>
      <c r="AE734" s="109"/>
      <c r="AF734" s="109"/>
      <c r="AG734" s="109"/>
      <c r="AH734" s="109"/>
      <c r="AI734" s="109"/>
      <c r="AJ734" s="109"/>
      <c r="AK734" s="109"/>
      <c r="AL734" s="109"/>
      <c r="AM734" s="109"/>
      <c r="AN734" s="109"/>
      <c r="AO734" s="109"/>
      <c r="AP734" s="109"/>
      <c r="AQ734" s="109"/>
      <c r="AR734" s="109"/>
      <c r="AS734" s="109"/>
    </row>
    <row r="735" spans="1:45" ht="12.6" customHeight="1" x14ac:dyDescent="0.3">
      <c r="A735" s="78"/>
      <c r="B735" s="78"/>
      <c r="C735" s="98"/>
      <c r="D735" s="98"/>
      <c r="E735" s="98"/>
      <c r="F735" s="98"/>
      <c r="Z735" s="109"/>
      <c r="AA735" s="109"/>
      <c r="AB735" s="109"/>
      <c r="AC735" s="109"/>
      <c r="AD735" s="109"/>
      <c r="AE735" s="109"/>
      <c r="AF735" s="109"/>
      <c r="AG735" s="109"/>
      <c r="AH735" s="109"/>
      <c r="AI735" s="109"/>
      <c r="AJ735" s="109"/>
      <c r="AK735" s="109"/>
      <c r="AL735" s="109"/>
      <c r="AM735" s="109"/>
      <c r="AN735" s="109"/>
      <c r="AO735" s="109"/>
      <c r="AP735" s="109"/>
      <c r="AQ735" s="109"/>
      <c r="AR735" s="109"/>
      <c r="AS735" s="109"/>
    </row>
    <row r="736" spans="1:45" ht="12.6" customHeight="1" x14ac:dyDescent="0.3">
      <c r="A736" s="78"/>
      <c r="B736" s="78"/>
      <c r="C736" s="78"/>
      <c r="D736" s="78"/>
      <c r="E736" s="78"/>
      <c r="F736" s="78"/>
      <c r="Z736" s="109"/>
      <c r="AA736" s="109"/>
      <c r="AB736" s="109"/>
      <c r="AC736" s="109"/>
      <c r="AD736" s="109"/>
      <c r="AE736" s="109"/>
      <c r="AF736" s="109"/>
      <c r="AG736" s="109"/>
      <c r="AH736" s="109"/>
      <c r="AI736" s="109"/>
      <c r="AJ736" s="109"/>
      <c r="AK736" s="109"/>
      <c r="AL736" s="109"/>
      <c r="AM736" s="109"/>
      <c r="AN736" s="109"/>
      <c r="AO736" s="109"/>
      <c r="AP736" s="109"/>
      <c r="AQ736" s="109"/>
      <c r="AR736" s="109"/>
      <c r="AS736" s="109"/>
    </row>
    <row r="737" spans="1:45" ht="12.6" customHeight="1" x14ac:dyDescent="0.3">
      <c r="A737" s="78"/>
      <c r="B737" s="78"/>
      <c r="C737" s="78"/>
      <c r="D737" s="78"/>
      <c r="E737" s="78"/>
      <c r="F737" s="78"/>
      <c r="Z737" s="109"/>
      <c r="AA737" s="109"/>
      <c r="AB737" s="109"/>
      <c r="AC737" s="109"/>
      <c r="AD737" s="109"/>
      <c r="AE737" s="109"/>
      <c r="AF737" s="109"/>
      <c r="AG737" s="109"/>
      <c r="AH737" s="109"/>
      <c r="AI737" s="109"/>
      <c r="AJ737" s="109"/>
      <c r="AK737" s="109"/>
      <c r="AL737" s="109"/>
      <c r="AM737" s="109"/>
      <c r="AN737" s="109"/>
      <c r="AO737" s="109"/>
      <c r="AP737" s="109"/>
      <c r="AQ737" s="109"/>
      <c r="AR737" s="109"/>
      <c r="AS737" s="109"/>
    </row>
    <row r="738" spans="1:45" ht="12.6" customHeight="1" x14ac:dyDescent="0.3">
      <c r="A738" s="58"/>
      <c r="B738" s="58"/>
      <c r="C738" s="58"/>
      <c r="D738" s="58"/>
      <c r="E738" s="58"/>
      <c r="F738" s="58"/>
      <c r="Z738" s="109"/>
      <c r="AA738" s="109"/>
      <c r="AB738" s="109"/>
      <c r="AC738" s="109"/>
      <c r="AD738" s="109"/>
      <c r="AE738" s="109"/>
      <c r="AF738" s="109"/>
      <c r="AG738" s="109"/>
      <c r="AH738" s="109"/>
      <c r="AI738" s="109"/>
      <c r="AJ738" s="109"/>
      <c r="AK738" s="109"/>
      <c r="AL738" s="109"/>
      <c r="AM738" s="109"/>
      <c r="AN738" s="109"/>
      <c r="AO738" s="109"/>
      <c r="AP738" s="109"/>
      <c r="AQ738" s="109"/>
      <c r="AR738" s="109"/>
      <c r="AS738" s="109"/>
    </row>
    <row r="739" spans="1:45" ht="12.6" customHeight="1" x14ac:dyDescent="0.3">
      <c r="A739" s="159" t="s">
        <v>1401</v>
      </c>
      <c r="B739" s="152"/>
      <c r="C739" s="55">
        <f>E739+D739+F739</f>
        <v>1939</v>
      </c>
      <c r="D739" s="54">
        <f>ROUNDDOWN(SUMIF(N707:N734,M739,D707:D734),0)</f>
        <v>1116</v>
      </c>
      <c r="E739" s="63">
        <f>ROUNDDOWN(SUMIF(N707:N734,M739,E707:E734),0)</f>
        <v>360</v>
      </c>
      <c r="F739" s="55">
        <f>ROUNDDOWN(SUMIF(N707:N734,M739,F707:F734),0)</f>
        <v>463</v>
      </c>
      <c r="M739" s="20" t="s">
        <v>1128</v>
      </c>
      <c r="Z739" s="109"/>
      <c r="AA739" s="109"/>
      <c r="AB739" s="109"/>
      <c r="AC739" s="109"/>
      <c r="AD739" s="109"/>
      <c r="AE739" s="109"/>
      <c r="AF739" s="109"/>
      <c r="AG739" s="109"/>
      <c r="AH739" s="109"/>
      <c r="AI739" s="109"/>
      <c r="AJ739" s="109"/>
      <c r="AK739" s="109"/>
      <c r="AL739" s="109"/>
      <c r="AM739" s="109"/>
      <c r="AN739" s="109"/>
      <c r="AO739" s="109"/>
      <c r="AP739" s="109"/>
      <c r="AQ739" s="109"/>
      <c r="AR739" s="109"/>
      <c r="AS739" s="109"/>
    </row>
    <row r="740" spans="1:45" ht="12.6" customHeight="1" x14ac:dyDescent="0.3">
      <c r="A740" s="95" t="s">
        <v>75</v>
      </c>
      <c r="B740" s="96" t="s">
        <v>75</v>
      </c>
      <c r="C740" s="158">
        <f>C774</f>
        <v>1641</v>
      </c>
      <c r="D740" s="158">
        <f>D774</f>
        <v>944</v>
      </c>
      <c r="E740" s="158">
        <f>E774</f>
        <v>305</v>
      </c>
      <c r="F740" s="158">
        <f>F774</f>
        <v>392</v>
      </c>
      <c r="G740" s="36" t="str">
        <f>HYPERLINK("#G"&amp;ROW(G767),"_x0005_`BDCOD|D01343_x0007_`POSS|"&amp;ROW(G742)&amp;"_x0007_`POSE|"&amp;ROW(G767)&amp;"_x0007_`")</f>
        <v>_x0005_`BDCOD|D01343_x0007_`POSS|742_x0007_`POSE|767_x0007_`</v>
      </c>
      <c r="Z740" s="109"/>
      <c r="AA740" s="109"/>
      <c r="AB740" s="109"/>
      <c r="AC740" s="109"/>
      <c r="AD740" s="109"/>
      <c r="AE740" s="109"/>
      <c r="AF740" s="109"/>
      <c r="AG740" s="109"/>
      <c r="AH740" s="109"/>
      <c r="AI740" s="109"/>
      <c r="AJ740" s="109"/>
      <c r="AK740" s="109"/>
      <c r="AL740" s="109"/>
      <c r="AM740" s="109"/>
      <c r="AN740" s="109"/>
      <c r="AO740" s="109"/>
      <c r="AP740" s="109"/>
      <c r="AQ740" s="109"/>
      <c r="AR740" s="109"/>
      <c r="AS740" s="109"/>
    </row>
    <row r="741" spans="1:45" ht="12.6" customHeight="1" x14ac:dyDescent="0.3">
      <c r="A741" s="84"/>
      <c r="B741" s="96" t="s">
        <v>216</v>
      </c>
      <c r="C741" s="141"/>
      <c r="D741" s="141"/>
      <c r="E741" s="141"/>
      <c r="F741" s="141"/>
      <c r="M741" s="20" t="s">
        <v>215</v>
      </c>
      <c r="Z741" s="109"/>
      <c r="AA741" s="109"/>
      <c r="AB741" s="109"/>
      <c r="AC741" s="109"/>
      <c r="AD741" s="109"/>
      <c r="AE741" s="109"/>
      <c r="AF741" s="109"/>
      <c r="AG741" s="109"/>
      <c r="AH741" s="109"/>
      <c r="AI741" s="109"/>
      <c r="AJ741" s="109"/>
      <c r="AK741" s="109"/>
      <c r="AL741" s="109"/>
      <c r="AM741" s="109"/>
      <c r="AN741" s="109"/>
      <c r="AO741" s="109"/>
      <c r="AP741" s="109"/>
      <c r="AQ741" s="109"/>
      <c r="AR741" s="109"/>
      <c r="AS741" s="109"/>
    </row>
    <row r="742" spans="1:45" ht="12.6" customHeight="1" x14ac:dyDescent="0.3">
      <c r="A742" s="78"/>
      <c r="B742" s="78"/>
      <c r="C742" s="98"/>
      <c r="D742" s="98"/>
      <c r="E742" s="98"/>
      <c r="F742" s="98"/>
      <c r="G742" s="16" t="s">
        <v>1317</v>
      </c>
      <c r="Z742" s="109"/>
      <c r="AA742" s="109"/>
      <c r="AB742" s="109"/>
      <c r="AC742" s="109"/>
      <c r="AD742" s="109"/>
      <c r="AE742" s="109"/>
      <c r="AF742" s="109"/>
      <c r="AG742" s="109"/>
      <c r="AH742" s="109"/>
      <c r="AI742" s="109"/>
      <c r="AJ742" s="109"/>
      <c r="AK742" s="109"/>
      <c r="AL742" s="109"/>
      <c r="AM742" s="109"/>
      <c r="AN742" s="109"/>
      <c r="AO742" s="109"/>
      <c r="AP742" s="109"/>
      <c r="AQ742" s="109"/>
      <c r="AR742" s="109"/>
      <c r="AS742" s="109"/>
    </row>
    <row r="743" spans="1:45" ht="12.6" customHeight="1" x14ac:dyDescent="0.3">
      <c r="A743" s="68"/>
      <c r="B743" s="77" t="s">
        <v>1638</v>
      </c>
      <c r="C743" s="78"/>
      <c r="D743" s="78"/>
      <c r="E743" s="78"/>
      <c r="F743" s="78"/>
      <c r="G743" s="16" t="s">
        <v>1637</v>
      </c>
      <c r="Z743" s="109"/>
      <c r="AA743" s="109"/>
      <c r="AB743" s="109"/>
      <c r="AC743" s="109"/>
      <c r="AD743" s="109"/>
      <c r="AE743" s="109"/>
      <c r="AF743" s="109"/>
      <c r="AG743" s="109"/>
      <c r="AH743" s="109"/>
      <c r="AI743" s="109"/>
      <c r="AJ743" s="109"/>
      <c r="AK743" s="109"/>
      <c r="AL743" s="109"/>
      <c r="AM743" s="109"/>
      <c r="AN743" s="109"/>
      <c r="AO743" s="109"/>
      <c r="AP743" s="109"/>
      <c r="AQ743" s="109"/>
      <c r="AR743" s="109"/>
      <c r="AS743" s="109"/>
    </row>
    <row r="744" spans="1:45" ht="12.6" customHeight="1" x14ac:dyDescent="0.3">
      <c r="A744" s="78"/>
      <c r="B744" s="78"/>
      <c r="C744" s="78"/>
      <c r="D744" s="78"/>
      <c r="E744" s="78"/>
      <c r="F744" s="78"/>
      <c r="G744" s="16" t="s">
        <v>1317</v>
      </c>
      <c r="Z744" s="109"/>
      <c r="AA744" s="109"/>
      <c r="AB744" s="109"/>
      <c r="AC744" s="109"/>
      <c r="AD744" s="109"/>
      <c r="AE744" s="109"/>
      <c r="AF744" s="109"/>
      <c r="AG744" s="109"/>
      <c r="AH744" s="109"/>
      <c r="AI744" s="109"/>
      <c r="AJ744" s="109"/>
      <c r="AK744" s="109"/>
      <c r="AL744" s="109"/>
      <c r="AM744" s="109"/>
      <c r="AN744" s="109"/>
      <c r="AO744" s="109"/>
      <c r="AP744" s="109"/>
      <c r="AQ744" s="109"/>
      <c r="AR744" s="109"/>
      <c r="AS744" s="109"/>
    </row>
    <row r="745" spans="1:45" ht="12.6" customHeight="1" x14ac:dyDescent="0.3">
      <c r="A745" s="68"/>
      <c r="B745" s="77" t="s">
        <v>1640</v>
      </c>
      <c r="C745" s="78"/>
      <c r="D745" s="78"/>
      <c r="E745" s="78"/>
      <c r="F745" s="78"/>
      <c r="G745" s="16" t="s">
        <v>1639</v>
      </c>
      <c r="Z745" s="109"/>
      <c r="AA745" s="109"/>
      <c r="AB745" s="109"/>
      <c r="AC745" s="109"/>
      <c r="AD745" s="109"/>
      <c r="AE745" s="109"/>
      <c r="AF745" s="109"/>
      <c r="AG745" s="109"/>
      <c r="AH745" s="109"/>
      <c r="AI745" s="109"/>
      <c r="AJ745" s="109"/>
      <c r="AK745" s="109"/>
      <c r="AL745" s="109"/>
      <c r="AM745" s="109"/>
      <c r="AN745" s="109"/>
      <c r="AO745" s="109"/>
      <c r="AP745" s="109"/>
      <c r="AQ745" s="109"/>
      <c r="AR745" s="109"/>
      <c r="AS745" s="109"/>
    </row>
    <row r="746" spans="1:45" ht="12.6" customHeight="1" x14ac:dyDescent="0.3">
      <c r="A746" s="78"/>
      <c r="B746" s="78"/>
      <c r="C746" s="78"/>
      <c r="D746" s="78"/>
      <c r="E746" s="78"/>
      <c r="F746" s="78"/>
      <c r="G746" s="16" t="s">
        <v>1317</v>
      </c>
      <c r="Z746" s="109"/>
      <c r="AA746" s="109"/>
      <c r="AB746" s="109"/>
      <c r="AC746" s="109"/>
      <c r="AD746" s="109"/>
      <c r="AE746" s="109"/>
      <c r="AF746" s="109"/>
      <c r="AG746" s="109"/>
      <c r="AH746" s="109"/>
      <c r="AI746" s="109"/>
      <c r="AJ746" s="109"/>
      <c r="AK746" s="109"/>
      <c r="AL746" s="109"/>
      <c r="AM746" s="109"/>
      <c r="AN746" s="109"/>
      <c r="AO746" s="109"/>
      <c r="AP746" s="109"/>
      <c r="AQ746" s="109"/>
      <c r="AR746" s="109"/>
      <c r="AS746" s="109"/>
    </row>
    <row r="747" spans="1:45" ht="12.6" customHeight="1" x14ac:dyDescent="0.3">
      <c r="A747" s="78"/>
      <c r="B747" s="78"/>
      <c r="C747" s="78"/>
      <c r="D747" s="78"/>
      <c r="E747" s="78"/>
      <c r="F747" s="78"/>
      <c r="G747" s="16" t="s">
        <v>1317</v>
      </c>
      <c r="Z747" s="109"/>
      <c r="AA747" s="109"/>
      <c r="AB747" s="109"/>
      <c r="AC747" s="109"/>
      <c r="AD747" s="109"/>
      <c r="AE747" s="109"/>
      <c r="AF747" s="109"/>
      <c r="AG747" s="109"/>
      <c r="AH747" s="109"/>
      <c r="AI747" s="109"/>
      <c r="AJ747" s="109"/>
      <c r="AK747" s="109"/>
      <c r="AL747" s="109"/>
      <c r="AM747" s="109"/>
      <c r="AN747" s="109"/>
      <c r="AO747" s="109"/>
      <c r="AP747" s="109"/>
      <c r="AQ747" s="109"/>
      <c r="AR747" s="109"/>
      <c r="AS747" s="109"/>
    </row>
    <row r="748" spans="1:45" ht="12.6" customHeight="1" x14ac:dyDescent="0.3">
      <c r="A748" s="68"/>
      <c r="B748" s="77" t="s">
        <v>1642</v>
      </c>
      <c r="C748" s="78"/>
      <c r="D748" s="78"/>
      <c r="E748" s="78"/>
      <c r="F748" s="78"/>
      <c r="G748" s="16" t="s">
        <v>1641</v>
      </c>
      <c r="Z748" s="109"/>
      <c r="AA748" s="109"/>
      <c r="AB748" s="109"/>
      <c r="AC748" s="109"/>
      <c r="AD748" s="109"/>
      <c r="AE748" s="109"/>
      <c r="AF748" s="109"/>
      <c r="AG748" s="109"/>
      <c r="AH748" s="109"/>
      <c r="AI748" s="109"/>
      <c r="AJ748" s="109"/>
      <c r="AK748" s="109"/>
      <c r="AL748" s="109"/>
      <c r="AM748" s="109"/>
      <c r="AN748" s="109"/>
      <c r="AO748" s="109"/>
      <c r="AP748" s="109"/>
      <c r="AQ748" s="109"/>
      <c r="AR748" s="109"/>
      <c r="AS748" s="109"/>
    </row>
    <row r="749" spans="1:45" ht="12.6" customHeight="1" x14ac:dyDescent="0.3">
      <c r="A749" s="78"/>
      <c r="B749" s="78"/>
      <c r="C749" s="78"/>
      <c r="D749" s="78"/>
      <c r="E749" s="78"/>
      <c r="F749" s="78"/>
      <c r="G749" s="16" t="s">
        <v>1317</v>
      </c>
      <c r="Z749" s="109"/>
      <c r="AA749" s="109"/>
      <c r="AB749" s="109"/>
      <c r="AC749" s="109"/>
      <c r="AD749" s="109"/>
      <c r="AE749" s="109"/>
      <c r="AF749" s="109"/>
      <c r="AG749" s="109"/>
      <c r="AH749" s="109"/>
      <c r="AI749" s="109"/>
      <c r="AJ749" s="109"/>
      <c r="AK749" s="109"/>
      <c r="AL749" s="109"/>
      <c r="AM749" s="109"/>
      <c r="AN749" s="109"/>
      <c r="AO749" s="109"/>
      <c r="AP749" s="109"/>
      <c r="AQ749" s="109"/>
      <c r="AR749" s="109"/>
      <c r="AS749" s="109"/>
    </row>
    <row r="750" spans="1:45" ht="12.6" customHeight="1" x14ac:dyDescent="0.3">
      <c r="A750" s="68"/>
      <c r="B750" s="97" t="str">
        <f>"q (버킷용량)  = "&amp;Z750&amp;" , f (체적환산계수)  = "&amp;AD750&amp;"/"&amp;AF750&amp;" = "&amp;AH750&amp;""</f>
        <v>q (버킷용량)  = 0.7 , f (체적환산계수)  = 1/1.25 = 0.80</v>
      </c>
      <c r="C750" s="78"/>
      <c r="D750" s="78"/>
      <c r="E750" s="78"/>
      <c r="F750" s="78"/>
      <c r="G750" s="16" t="s">
        <v>1643</v>
      </c>
      <c r="Z750" s="110">
        <v>0.7</v>
      </c>
      <c r="AA750" s="20" t="s">
        <v>1326</v>
      </c>
      <c r="AB750" s="112">
        <f>Z750</f>
        <v>0.7</v>
      </c>
      <c r="AC750" s="20" t="s">
        <v>1385</v>
      </c>
      <c r="AD750" s="111">
        <v>1</v>
      </c>
      <c r="AE750" s="20" t="s">
        <v>1387</v>
      </c>
      <c r="AF750" s="110">
        <v>1.25</v>
      </c>
      <c r="AG750" s="20" t="s">
        <v>1326</v>
      </c>
      <c r="AH750" s="112" t="str">
        <f>TEXT(ROUND(AD750/AF750,2),"0.00")</f>
        <v>0.80</v>
      </c>
      <c r="AI750" s="20" t="s">
        <v>1385</v>
      </c>
      <c r="AJ750" s="109"/>
      <c r="AK750" s="109"/>
      <c r="AL750" s="109"/>
      <c r="AM750" s="109"/>
      <c r="AN750" s="109"/>
      <c r="AO750" s="109"/>
      <c r="AP750" s="109"/>
      <c r="AQ750" s="109"/>
      <c r="AR750" s="109"/>
      <c r="AS750" s="109"/>
    </row>
    <row r="751" spans="1:45" ht="12.6" customHeight="1" x14ac:dyDescent="0.3">
      <c r="A751" s="78"/>
      <c r="B751" s="78"/>
      <c r="C751" s="78"/>
      <c r="D751" s="78"/>
      <c r="E751" s="78"/>
      <c r="F751" s="78"/>
      <c r="G751" s="16" t="s">
        <v>1317</v>
      </c>
      <c r="Z751" s="109"/>
      <c r="AA751" s="109"/>
      <c r="AB751" s="109"/>
      <c r="AC751" s="109"/>
      <c r="AD751" s="109"/>
      <c r="AE751" s="109"/>
      <c r="AF751" s="109"/>
      <c r="AG751" s="109"/>
      <c r="AH751" s="109"/>
      <c r="AI751" s="109"/>
      <c r="AJ751" s="109"/>
      <c r="AK751" s="109"/>
      <c r="AL751" s="109"/>
      <c r="AM751" s="109"/>
      <c r="AN751" s="109"/>
      <c r="AO751" s="109"/>
      <c r="AP751" s="109"/>
      <c r="AQ751" s="109"/>
      <c r="AR751" s="109"/>
      <c r="AS751" s="109"/>
    </row>
    <row r="752" spans="1:45" ht="12.6" customHeight="1" x14ac:dyDescent="0.3">
      <c r="A752" s="68"/>
      <c r="B752" s="97" t="str">
        <f>"K (버킷계수)  = "&amp;Z752&amp;""</f>
        <v>K (버킷계수)  = 0.9</v>
      </c>
      <c r="C752" s="78"/>
      <c r="D752" s="78"/>
      <c r="E752" s="78"/>
      <c r="F752" s="78"/>
      <c r="G752" s="16" t="s">
        <v>1644</v>
      </c>
      <c r="Z752" s="110">
        <v>0.9</v>
      </c>
      <c r="AA752" s="20" t="s">
        <v>1326</v>
      </c>
      <c r="AB752" s="112">
        <f>Z752</f>
        <v>0.9</v>
      </c>
      <c r="AC752" s="109"/>
      <c r="AD752" s="109"/>
      <c r="AE752" s="109"/>
      <c r="AF752" s="109"/>
      <c r="AG752" s="109"/>
      <c r="AH752" s="109"/>
      <c r="AI752" s="109"/>
      <c r="AJ752" s="109"/>
      <c r="AK752" s="109"/>
      <c r="AL752" s="109"/>
      <c r="AM752" s="109"/>
      <c r="AN752" s="109"/>
      <c r="AO752" s="109"/>
      <c r="AP752" s="109"/>
      <c r="AQ752" s="109"/>
      <c r="AR752" s="109"/>
      <c r="AS752" s="109"/>
    </row>
    <row r="753" spans="1:45" ht="12.6" customHeight="1" x14ac:dyDescent="0.3">
      <c r="A753" s="78"/>
      <c r="B753" s="78"/>
      <c r="C753" s="78"/>
      <c r="D753" s="78"/>
      <c r="E753" s="78"/>
      <c r="F753" s="78"/>
      <c r="G753" s="16" t="s">
        <v>1317</v>
      </c>
      <c r="Z753" s="109"/>
      <c r="AA753" s="109"/>
      <c r="AB753" s="109"/>
      <c r="AC753" s="109"/>
      <c r="AD753" s="109"/>
      <c r="AE753" s="109"/>
      <c r="AF753" s="109"/>
      <c r="AG753" s="109"/>
      <c r="AH753" s="109"/>
      <c r="AI753" s="109"/>
      <c r="AJ753" s="109"/>
      <c r="AK753" s="109"/>
      <c r="AL753" s="109"/>
      <c r="AM753" s="109"/>
      <c r="AN753" s="109"/>
      <c r="AO753" s="109"/>
      <c r="AP753" s="109"/>
      <c r="AQ753" s="109"/>
      <c r="AR753" s="109"/>
      <c r="AS753" s="109"/>
    </row>
    <row r="754" spans="1:45" ht="12.6" customHeight="1" x14ac:dyDescent="0.3">
      <c r="A754" s="68"/>
      <c r="B754" s="97" t="str">
        <f>"Cm (1회 사이클 시간(초)  = "&amp;Z754&amp;" sec (135˚) "</f>
        <v xml:space="preserve">Cm (1회 사이클 시간(초)  = 20 sec (135˚) </v>
      </c>
      <c r="C754" s="78"/>
      <c r="D754" s="78"/>
      <c r="E754" s="78"/>
      <c r="F754" s="78"/>
      <c r="G754" s="16" t="s">
        <v>1645</v>
      </c>
      <c r="Z754" s="111">
        <v>20</v>
      </c>
      <c r="AA754" s="20" t="s">
        <v>1326</v>
      </c>
      <c r="AB754" s="112">
        <f>Z754</f>
        <v>20</v>
      </c>
      <c r="AC754" s="109"/>
      <c r="AD754" s="109"/>
      <c r="AE754" s="109"/>
      <c r="AF754" s="109"/>
      <c r="AG754" s="109"/>
      <c r="AH754" s="109"/>
      <c r="AI754" s="109"/>
      <c r="AJ754" s="109"/>
      <c r="AK754" s="109"/>
      <c r="AL754" s="109"/>
      <c r="AM754" s="109"/>
      <c r="AN754" s="109"/>
      <c r="AO754" s="109"/>
      <c r="AP754" s="109"/>
      <c r="AQ754" s="109"/>
      <c r="AR754" s="109"/>
      <c r="AS754" s="109"/>
    </row>
    <row r="755" spans="1:45" ht="12.6" customHeight="1" x14ac:dyDescent="0.3">
      <c r="A755" s="78"/>
      <c r="B755" s="78"/>
      <c r="C755" s="78"/>
      <c r="D755" s="78"/>
      <c r="E755" s="78"/>
      <c r="F755" s="78"/>
      <c r="G755" s="16" t="s">
        <v>1317</v>
      </c>
      <c r="Z755" s="109"/>
      <c r="AA755" s="109"/>
      <c r="AB755" s="109"/>
      <c r="AC755" s="109"/>
      <c r="AD755" s="109"/>
      <c r="AE755" s="109"/>
      <c r="AF755" s="109"/>
      <c r="AG755" s="109"/>
      <c r="AH755" s="109"/>
      <c r="AI755" s="109"/>
      <c r="AJ755" s="109"/>
      <c r="AK755" s="109"/>
      <c r="AL755" s="109"/>
      <c r="AM755" s="109"/>
      <c r="AN755" s="109"/>
      <c r="AO755" s="109"/>
      <c r="AP755" s="109"/>
      <c r="AQ755" s="109"/>
      <c r="AR755" s="109"/>
      <c r="AS755" s="109"/>
    </row>
    <row r="756" spans="1:45" ht="12.6" customHeight="1" x14ac:dyDescent="0.3">
      <c r="A756" s="68"/>
      <c r="B756" s="97" t="str">
        <f>"E (작업효율)  = "&amp;Z756&amp;"-"&amp;AB756&amp;" = "&amp;AD756&amp;""</f>
        <v>E (작업효율)  = 0.7-0.05 = 0.65</v>
      </c>
      <c r="C756" s="78"/>
      <c r="D756" s="78"/>
      <c r="E756" s="78"/>
      <c r="F756" s="78"/>
      <c r="G756" s="16" t="s">
        <v>1646</v>
      </c>
      <c r="Z756" s="110">
        <v>0.7</v>
      </c>
      <c r="AA756" s="20" t="s">
        <v>1407</v>
      </c>
      <c r="AB756" s="110">
        <v>0.05</v>
      </c>
      <c r="AC756" s="20" t="s">
        <v>1326</v>
      </c>
      <c r="AD756" s="112" t="str">
        <f>TEXT(ROUND(Z756-AB756,2),"0.00")</f>
        <v>0.65</v>
      </c>
      <c r="AE756" s="109"/>
      <c r="AF756" s="109"/>
      <c r="AG756" s="109"/>
      <c r="AH756" s="109"/>
      <c r="AI756" s="109"/>
      <c r="AJ756" s="109"/>
      <c r="AK756" s="109"/>
      <c r="AL756" s="109"/>
      <c r="AM756" s="109"/>
      <c r="AN756" s="109"/>
      <c r="AO756" s="109"/>
      <c r="AP756" s="109"/>
      <c r="AQ756" s="109"/>
      <c r="AR756" s="109"/>
      <c r="AS756" s="109"/>
    </row>
    <row r="757" spans="1:45" ht="12.6" customHeight="1" x14ac:dyDescent="0.3">
      <c r="A757" s="78"/>
      <c r="B757" s="78"/>
      <c r="C757" s="78"/>
      <c r="D757" s="78"/>
      <c r="E757" s="78"/>
      <c r="F757" s="78"/>
      <c r="G757" s="16" t="s">
        <v>1317</v>
      </c>
      <c r="Z757" s="109"/>
      <c r="AA757" s="109"/>
      <c r="AB757" s="109"/>
      <c r="AC757" s="109"/>
      <c r="AD757" s="109"/>
      <c r="AE757" s="109"/>
      <c r="AF757" s="109"/>
      <c r="AG757" s="109"/>
      <c r="AH757" s="109"/>
      <c r="AI757" s="109"/>
      <c r="AJ757" s="109"/>
      <c r="AK757" s="109"/>
      <c r="AL757" s="109"/>
      <c r="AM757" s="109"/>
      <c r="AN757" s="109"/>
      <c r="AO757" s="109"/>
      <c r="AP757" s="109"/>
      <c r="AQ757" s="109"/>
      <c r="AR757" s="109"/>
      <c r="AS757" s="109"/>
    </row>
    <row r="758" spans="1:45" ht="12.6" customHeight="1" x14ac:dyDescent="0.3">
      <c r="A758" s="68"/>
      <c r="B758" s="97" t="str">
        <f>"Q (시간당작업량)  = "&amp;Z758&amp;"*q*K*f*E/Cm = "&amp;AL758&amp;" m3/hr "</f>
        <v xml:space="preserve">Q (시간당작업량)  = 3600*q*K*f*E/Cm = 58.97 m3/hr </v>
      </c>
      <c r="C758" s="78"/>
      <c r="D758" s="78"/>
      <c r="E758" s="78"/>
      <c r="F758" s="78"/>
      <c r="G758" s="16" t="s">
        <v>1647</v>
      </c>
      <c r="Z758" s="111">
        <v>3600</v>
      </c>
      <c r="AA758" s="20" t="s">
        <v>1390</v>
      </c>
      <c r="AB758" s="112">
        <f>AB750</f>
        <v>0.7</v>
      </c>
      <c r="AC758" s="20" t="s">
        <v>1390</v>
      </c>
      <c r="AD758" s="112">
        <f>AB752</f>
        <v>0.9</v>
      </c>
      <c r="AE758" s="20" t="s">
        <v>1390</v>
      </c>
      <c r="AF758" s="112" t="str">
        <f>AH750</f>
        <v>0.80</v>
      </c>
      <c r="AG758" s="20" t="s">
        <v>1390</v>
      </c>
      <c r="AH758" s="112" t="str">
        <f>AD756</f>
        <v>0.65</v>
      </c>
      <c r="AI758" s="20" t="s">
        <v>1387</v>
      </c>
      <c r="AJ758" s="112">
        <f>AB754</f>
        <v>20</v>
      </c>
      <c r="AK758" s="20" t="s">
        <v>1326</v>
      </c>
      <c r="AL758" s="112" t="str">
        <f>TEXT(ROUND(Z758*AB750*AB752*AH750*AD756/AB754,2),"0.00")</f>
        <v>58.97</v>
      </c>
      <c r="AM758" s="109"/>
      <c r="AN758" s="109"/>
      <c r="AO758" s="109"/>
      <c r="AP758" s="109"/>
      <c r="AQ758" s="109"/>
      <c r="AR758" s="109"/>
      <c r="AS758" s="109"/>
    </row>
    <row r="759" spans="1:45" ht="12.6" customHeight="1" x14ac:dyDescent="0.3">
      <c r="A759" s="78"/>
      <c r="B759" s="78"/>
      <c r="C759" s="78"/>
      <c r="D759" s="78"/>
      <c r="E759" s="78"/>
      <c r="F759" s="78"/>
      <c r="G759" s="16" t="s">
        <v>1317</v>
      </c>
      <c r="Z759" s="109"/>
      <c r="AA759" s="109"/>
      <c r="AB759" s="109"/>
      <c r="AC759" s="109"/>
      <c r="AD759" s="109"/>
      <c r="AE759" s="109"/>
      <c r="AF759" s="109"/>
      <c r="AG759" s="109"/>
      <c r="AH759" s="109"/>
      <c r="AI759" s="109"/>
      <c r="AJ759" s="109"/>
      <c r="AK759" s="109"/>
      <c r="AL759" s="109"/>
      <c r="AM759" s="109"/>
      <c r="AN759" s="109"/>
      <c r="AO759" s="109"/>
      <c r="AP759" s="109"/>
      <c r="AQ759" s="109"/>
      <c r="AR759" s="109"/>
      <c r="AS759" s="109"/>
    </row>
    <row r="760" spans="1:45" ht="12.6" customHeight="1" x14ac:dyDescent="0.3">
      <c r="A760" s="78"/>
      <c r="B760" s="78"/>
      <c r="C760" s="78"/>
      <c r="D760" s="78"/>
      <c r="E760" s="78"/>
      <c r="F760" s="78"/>
      <c r="G760" s="16" t="s">
        <v>1317</v>
      </c>
      <c r="Z760" s="109"/>
      <c r="AA760" s="109"/>
      <c r="AB760" s="109"/>
      <c r="AC760" s="109"/>
      <c r="AD760" s="109"/>
      <c r="AE760" s="109"/>
      <c r="AF760" s="109"/>
      <c r="AG760" s="109"/>
      <c r="AH760" s="109"/>
      <c r="AI760" s="109"/>
      <c r="AJ760" s="109"/>
      <c r="AK760" s="109"/>
      <c r="AL760" s="109"/>
      <c r="AM760" s="109"/>
      <c r="AN760" s="109"/>
      <c r="AO760" s="109"/>
      <c r="AP760" s="109"/>
      <c r="AQ760" s="109"/>
      <c r="AR760" s="109"/>
      <c r="AS760" s="109"/>
    </row>
    <row r="761" spans="1:45" ht="12.6" customHeight="1" x14ac:dyDescent="0.3">
      <c r="A761" s="68" t="s">
        <v>1473</v>
      </c>
      <c r="B761" s="97" t="str">
        <f>" 노 무 비  : "&amp;TEXT(I761,"#,##0"&amp;IF(I761&lt;&gt;INT(I761),".###",""))&amp;" / Q  = "&amp;TEXT(C761,"#,##0.0")&amp;""</f>
        <v xml:space="preserve"> 노 무 비  : 55,700 / Q  = 944.5</v>
      </c>
      <c r="C761" s="99">
        <f>E761+D761+F761</f>
        <v>944.5</v>
      </c>
      <c r="D761" s="99">
        <f>IF(H761=0,0,ROUNDDOWN(J761*H761,1))</f>
        <v>944.5</v>
      </c>
      <c r="E761" s="99">
        <f>IF(H761=0,0,ROUNDDOWN(K761*H761,1))</f>
        <v>0</v>
      </c>
      <c r="F761" s="99">
        <f>IF(H761=0,0,ROUNDDOWN(L761*H761,1))</f>
        <v>0</v>
      </c>
      <c r="G761" s="16" t="s">
        <v>1648</v>
      </c>
      <c r="H761" s="105">
        <f>AC761</f>
        <v>1.6957775139901644E-2</v>
      </c>
      <c r="I761" s="106">
        <f>K761+J761+L761</f>
        <v>55700</v>
      </c>
      <c r="J761" s="39">
        <f>중기목록표!F7</f>
        <v>55700</v>
      </c>
      <c r="M761" s="20" t="s">
        <v>1193</v>
      </c>
      <c r="N761" s="20" t="s">
        <v>1332</v>
      </c>
      <c r="X761" s="108" t="str">
        <f>중기목록표!B7&amp;" / "&amp;중기목록표!C7</f>
        <v xml:space="preserve">굴삭기(0.7m3) / </v>
      </c>
      <c r="Y761" s="19" t="str">
        <f ca="1">HYPERLINK("#"&amp;중기목록표!J2&amp;"!A"&amp;ROW(중기목록표!A7),"중기    4 →")</f>
        <v>중기    4 →</v>
      </c>
      <c r="Z761" s="20" t="s">
        <v>1393</v>
      </c>
      <c r="AA761" s="112" t="str">
        <f>AL758</f>
        <v>58.97</v>
      </c>
      <c r="AB761" s="20" t="s">
        <v>1326</v>
      </c>
      <c r="AC761" s="113">
        <f>1/AL758</f>
        <v>1.6957775139901644E-2</v>
      </c>
      <c r="AD761" s="109"/>
      <c r="AE761" s="109"/>
      <c r="AF761" s="109"/>
      <c r="AG761" s="109"/>
      <c r="AH761" s="109"/>
      <c r="AI761" s="109"/>
      <c r="AJ761" s="109"/>
      <c r="AK761" s="109"/>
      <c r="AL761" s="109"/>
      <c r="AM761" s="109"/>
      <c r="AN761" s="109"/>
      <c r="AO761" s="109"/>
      <c r="AP761" s="109"/>
      <c r="AQ761" s="109"/>
      <c r="AR761" s="109"/>
      <c r="AS761" s="109"/>
    </row>
    <row r="762" spans="1:45" ht="12.6" customHeight="1" x14ac:dyDescent="0.3">
      <c r="A762" s="78"/>
      <c r="B762" s="78"/>
      <c r="C762" s="78"/>
      <c r="D762" s="78"/>
      <c r="E762" s="78"/>
      <c r="F762" s="78"/>
      <c r="G762" s="16" t="s">
        <v>1317</v>
      </c>
      <c r="Z762" s="109"/>
      <c r="AA762" s="109"/>
      <c r="AB762" s="109"/>
      <c r="AC762" s="109"/>
      <c r="AD762" s="109"/>
      <c r="AE762" s="109"/>
      <c r="AF762" s="109"/>
      <c r="AG762" s="109"/>
      <c r="AH762" s="109"/>
      <c r="AI762" s="109"/>
      <c r="AJ762" s="109"/>
      <c r="AK762" s="109"/>
      <c r="AL762" s="109"/>
      <c r="AM762" s="109"/>
      <c r="AN762" s="109"/>
      <c r="AO762" s="109"/>
      <c r="AP762" s="109"/>
      <c r="AQ762" s="109"/>
      <c r="AR762" s="109"/>
      <c r="AS762" s="109"/>
    </row>
    <row r="763" spans="1:45" ht="12.6" customHeight="1" x14ac:dyDescent="0.3">
      <c r="A763" s="68" t="s">
        <v>1475</v>
      </c>
      <c r="B763" s="97" t="str">
        <f>" 재 료 비  : "&amp;TEXT(I763,"#,##0"&amp;IF(I763&lt;&gt;INT(I763),".###",""))&amp;" / Q  = "&amp;TEXT(C763,"#,##0.0")&amp;""</f>
        <v xml:space="preserve"> 재 료 비  : 18,001 / Q  = 305.2</v>
      </c>
      <c r="C763" s="99">
        <f>E763+D763+F763</f>
        <v>305.2</v>
      </c>
      <c r="D763" s="99">
        <f>IF(H763=0,0,ROUNDDOWN(J763*H763,1))</f>
        <v>0</v>
      </c>
      <c r="E763" s="99">
        <f>IF(H763=0,0,ROUNDDOWN(K763*H763,1))</f>
        <v>305.2</v>
      </c>
      <c r="F763" s="99">
        <f>IF(H763=0,0,ROUNDDOWN(L763*H763,1))</f>
        <v>0</v>
      </c>
      <c r="G763" s="16" t="s">
        <v>1649</v>
      </c>
      <c r="H763" s="105">
        <f>AC763</f>
        <v>1.6957775139901644E-2</v>
      </c>
      <c r="I763" s="106">
        <f>K763+J763+L763</f>
        <v>18001</v>
      </c>
      <c r="K763" s="39">
        <f>중기목록표!G7</f>
        <v>18001</v>
      </c>
      <c r="M763" s="20" t="s">
        <v>1193</v>
      </c>
      <c r="N763" s="20" t="s">
        <v>1332</v>
      </c>
      <c r="X763" s="108" t="str">
        <f>중기목록표!B7&amp;" / "&amp;중기목록표!C7</f>
        <v xml:space="preserve">굴삭기(0.7m3) / </v>
      </c>
      <c r="Y763" s="19" t="str">
        <f ca="1">HYPERLINK("#"&amp;중기목록표!J2&amp;"!A"&amp;ROW(중기목록표!A7),"중기    4 →")</f>
        <v>중기    4 →</v>
      </c>
      <c r="Z763" s="20" t="s">
        <v>1393</v>
      </c>
      <c r="AA763" s="112" t="str">
        <f>AL758</f>
        <v>58.97</v>
      </c>
      <c r="AB763" s="20" t="s">
        <v>1326</v>
      </c>
      <c r="AC763" s="113">
        <f>1/AL758</f>
        <v>1.6957775139901644E-2</v>
      </c>
      <c r="AD763" s="109"/>
      <c r="AE763" s="109"/>
      <c r="AF763" s="109"/>
      <c r="AG763" s="109"/>
      <c r="AH763" s="109"/>
      <c r="AI763" s="109"/>
      <c r="AJ763" s="109"/>
      <c r="AK763" s="109"/>
      <c r="AL763" s="109"/>
      <c r="AM763" s="109"/>
      <c r="AN763" s="109"/>
      <c r="AO763" s="109"/>
      <c r="AP763" s="109"/>
      <c r="AQ763" s="109"/>
      <c r="AR763" s="109"/>
      <c r="AS763" s="109"/>
    </row>
    <row r="764" spans="1:45" ht="12.6" customHeight="1" x14ac:dyDescent="0.3">
      <c r="A764" s="78"/>
      <c r="B764" s="78"/>
      <c r="C764" s="78"/>
      <c r="D764" s="78"/>
      <c r="E764" s="78"/>
      <c r="F764" s="78"/>
      <c r="G764" s="16" t="s">
        <v>1317</v>
      </c>
      <c r="Z764" s="109"/>
      <c r="AA764" s="109"/>
      <c r="AB764" s="109"/>
      <c r="AC764" s="109"/>
      <c r="AD764" s="109"/>
      <c r="AE764" s="109"/>
      <c r="AF764" s="109"/>
      <c r="AG764" s="109"/>
      <c r="AH764" s="109"/>
      <c r="AI764" s="109"/>
      <c r="AJ764" s="109"/>
      <c r="AK764" s="109"/>
      <c r="AL764" s="109"/>
      <c r="AM764" s="109"/>
      <c r="AN764" s="109"/>
      <c r="AO764" s="109"/>
      <c r="AP764" s="109"/>
      <c r="AQ764" s="109"/>
      <c r="AR764" s="109"/>
      <c r="AS764" s="109"/>
    </row>
    <row r="765" spans="1:45" ht="12.6" customHeight="1" x14ac:dyDescent="0.3">
      <c r="A765" s="68" t="s">
        <v>1477</v>
      </c>
      <c r="B765" s="97" t="str">
        <f>" 경    비  : "&amp;TEXT(I765,"#,##0"&amp;IF(I765&lt;&gt;INT(I765),".###",""))&amp;" / Q  = "&amp;TEXT(C765,"#,##0.0")&amp;""</f>
        <v xml:space="preserve"> 경    비  : 23,128 / Q  = 392.1</v>
      </c>
      <c r="C765" s="99">
        <f>E765+D765+F765</f>
        <v>392.1</v>
      </c>
      <c r="D765" s="99">
        <f>IF(H765=0,0,ROUNDDOWN(J765*H765,1))</f>
        <v>0</v>
      </c>
      <c r="E765" s="99">
        <f>IF(H765=0,0,ROUNDDOWN(K765*H765,1))</f>
        <v>0</v>
      </c>
      <c r="F765" s="99">
        <f>IF(H765=0,0,ROUNDDOWN(L765*H765,1))</f>
        <v>392.1</v>
      </c>
      <c r="G765" s="16" t="s">
        <v>1650</v>
      </c>
      <c r="H765" s="105">
        <f>AC765</f>
        <v>1.6957775139901644E-2</v>
      </c>
      <c r="I765" s="106">
        <f>K765+J765+L765</f>
        <v>23128</v>
      </c>
      <c r="L765" s="39">
        <f>중기목록표!H7</f>
        <v>23128</v>
      </c>
      <c r="M765" s="20" t="s">
        <v>1193</v>
      </c>
      <c r="N765" s="20" t="s">
        <v>1332</v>
      </c>
      <c r="X765" s="108" t="str">
        <f>중기목록표!B7&amp;" / "&amp;중기목록표!C7</f>
        <v xml:space="preserve">굴삭기(0.7m3) / </v>
      </c>
      <c r="Y765" s="19" t="str">
        <f ca="1">HYPERLINK("#"&amp;중기목록표!J2&amp;"!A"&amp;ROW(중기목록표!A7),"중기    4 →")</f>
        <v>중기    4 →</v>
      </c>
      <c r="Z765" s="20" t="s">
        <v>1393</v>
      </c>
      <c r="AA765" s="112" t="str">
        <f>AL758</f>
        <v>58.97</v>
      </c>
      <c r="AB765" s="20" t="s">
        <v>1326</v>
      </c>
      <c r="AC765" s="113">
        <f>1/AL758</f>
        <v>1.6957775139901644E-2</v>
      </c>
      <c r="AD765" s="109"/>
      <c r="AE765" s="109"/>
      <c r="AF765" s="109"/>
      <c r="AG765" s="109"/>
      <c r="AH765" s="109"/>
      <c r="AI765" s="109"/>
      <c r="AJ765" s="109"/>
      <c r="AK765" s="109"/>
      <c r="AL765" s="109"/>
      <c r="AM765" s="109"/>
      <c r="AN765" s="109"/>
      <c r="AO765" s="109"/>
      <c r="AP765" s="109"/>
      <c r="AQ765" s="109"/>
      <c r="AR765" s="109"/>
      <c r="AS765" s="109"/>
    </row>
    <row r="766" spans="1:45" ht="12.6" customHeight="1" x14ac:dyDescent="0.3">
      <c r="A766" s="78"/>
      <c r="B766" s="78"/>
      <c r="C766" s="78"/>
      <c r="D766" s="78"/>
      <c r="E766" s="78"/>
      <c r="F766" s="78"/>
      <c r="G766" s="16" t="s">
        <v>1317</v>
      </c>
      <c r="Z766" s="109"/>
      <c r="AA766" s="109"/>
      <c r="AB766" s="109"/>
      <c r="AC766" s="109"/>
      <c r="AD766" s="109"/>
      <c r="AE766" s="109"/>
      <c r="AF766" s="109"/>
      <c r="AG766" s="109"/>
      <c r="AH766" s="109"/>
      <c r="AI766" s="109"/>
      <c r="AJ766" s="109"/>
      <c r="AK766" s="109"/>
      <c r="AL766" s="109"/>
      <c r="AM766" s="109"/>
      <c r="AN766" s="109"/>
      <c r="AO766" s="109"/>
      <c r="AP766" s="109"/>
      <c r="AQ766" s="109"/>
      <c r="AR766" s="109"/>
      <c r="AS766" s="109"/>
    </row>
    <row r="767" spans="1:45" ht="12.6" customHeight="1" x14ac:dyDescent="0.3">
      <c r="A767" s="68"/>
      <c r="B767" s="77" t="s">
        <v>1331</v>
      </c>
      <c r="C767" s="100">
        <f>E767+D767+F767</f>
        <v>1641.8000000000002</v>
      </c>
      <c r="D767" s="100">
        <f>SUMIF(N742:N766,M767,D742:D766)</f>
        <v>944.5</v>
      </c>
      <c r="E767" s="100">
        <f>SUMIF(N742:N766,M767,E742:E766)</f>
        <v>305.2</v>
      </c>
      <c r="F767" s="100">
        <f>SUMIF(N742:N766,M767,F742:F766)</f>
        <v>392.1</v>
      </c>
      <c r="G767" s="16" t="s">
        <v>1415</v>
      </c>
      <c r="M767" s="20" t="s">
        <v>1332</v>
      </c>
      <c r="N767" s="20" t="s">
        <v>1128</v>
      </c>
      <c r="Z767" s="109"/>
      <c r="AA767" s="109"/>
      <c r="AB767" s="109"/>
      <c r="AC767" s="109"/>
      <c r="AD767" s="109"/>
      <c r="AE767" s="109"/>
      <c r="AF767" s="109"/>
      <c r="AG767" s="109"/>
      <c r="AH767" s="109"/>
      <c r="AI767" s="109"/>
      <c r="AJ767" s="109"/>
      <c r="AK767" s="109"/>
      <c r="AL767" s="109"/>
      <c r="AM767" s="109"/>
      <c r="AN767" s="109"/>
      <c r="AO767" s="109"/>
      <c r="AP767" s="109"/>
      <c r="AQ767" s="109"/>
      <c r="AR767" s="109"/>
      <c r="AS767" s="109"/>
    </row>
    <row r="768" spans="1:45" ht="12.6" customHeight="1" x14ac:dyDescent="0.3">
      <c r="A768" s="78"/>
      <c r="B768" s="78"/>
      <c r="C768" s="98"/>
      <c r="D768" s="98"/>
      <c r="E768" s="98"/>
      <c r="F768" s="98"/>
      <c r="Z768" s="109"/>
      <c r="AA768" s="109"/>
      <c r="AB768" s="109"/>
      <c r="AC768" s="109"/>
      <c r="AD768" s="109"/>
      <c r="AE768" s="109"/>
      <c r="AF768" s="109"/>
      <c r="AG768" s="109"/>
      <c r="AH768" s="109"/>
      <c r="AI768" s="109"/>
      <c r="AJ768" s="109"/>
      <c r="AK768" s="109"/>
      <c r="AL768" s="109"/>
      <c r="AM768" s="109"/>
      <c r="AN768" s="109"/>
      <c r="AO768" s="109"/>
      <c r="AP768" s="109"/>
      <c r="AQ768" s="109"/>
      <c r="AR768" s="109"/>
      <c r="AS768" s="109"/>
    </row>
    <row r="769" spans="1:45" ht="12.6" customHeight="1" x14ac:dyDescent="0.3">
      <c r="A769" s="78"/>
      <c r="B769" s="78"/>
      <c r="C769" s="78"/>
      <c r="D769" s="78"/>
      <c r="E769" s="78"/>
      <c r="F769" s="78"/>
      <c r="Z769" s="109"/>
      <c r="AA769" s="109"/>
      <c r="AB769" s="109"/>
      <c r="AC769" s="109"/>
      <c r="AD769" s="109"/>
      <c r="AE769" s="109"/>
      <c r="AF769" s="109"/>
      <c r="AG769" s="109"/>
      <c r="AH769" s="109"/>
      <c r="AI769" s="109"/>
      <c r="AJ769" s="109"/>
      <c r="AK769" s="109"/>
      <c r="AL769" s="109"/>
      <c r="AM769" s="109"/>
      <c r="AN769" s="109"/>
      <c r="AO769" s="109"/>
      <c r="AP769" s="109"/>
      <c r="AQ769" s="109"/>
      <c r="AR769" s="109"/>
      <c r="AS769" s="109"/>
    </row>
    <row r="770" spans="1:45" ht="12.6" customHeight="1" x14ac:dyDescent="0.3">
      <c r="A770" s="78"/>
      <c r="B770" s="78"/>
      <c r="C770" s="78"/>
      <c r="D770" s="78"/>
      <c r="E770" s="78"/>
      <c r="F770" s="78"/>
      <c r="Z770" s="109"/>
      <c r="AA770" s="109"/>
      <c r="AB770" s="109"/>
      <c r="AC770" s="109"/>
      <c r="AD770" s="109"/>
      <c r="AE770" s="109"/>
      <c r="AF770" s="109"/>
      <c r="AG770" s="109"/>
      <c r="AH770" s="109"/>
      <c r="AI770" s="109"/>
      <c r="AJ770" s="109"/>
      <c r="AK770" s="109"/>
      <c r="AL770" s="109"/>
      <c r="AM770" s="109"/>
      <c r="AN770" s="109"/>
      <c r="AO770" s="109"/>
      <c r="AP770" s="109"/>
      <c r="AQ770" s="109"/>
      <c r="AR770" s="109"/>
      <c r="AS770" s="109"/>
    </row>
    <row r="771" spans="1:45" ht="12.6" customHeight="1" x14ac:dyDescent="0.3">
      <c r="A771" s="78"/>
      <c r="B771" s="78"/>
      <c r="C771" s="78"/>
      <c r="D771" s="78"/>
      <c r="E771" s="78"/>
      <c r="F771" s="78"/>
      <c r="Z771" s="109"/>
      <c r="AA771" s="109"/>
      <c r="AB771" s="109"/>
      <c r="AC771" s="109"/>
      <c r="AD771" s="109"/>
      <c r="AE771" s="109"/>
      <c r="AF771" s="109"/>
      <c r="AG771" s="109"/>
      <c r="AH771" s="109"/>
      <c r="AI771" s="109"/>
      <c r="AJ771" s="109"/>
      <c r="AK771" s="109"/>
      <c r="AL771" s="109"/>
      <c r="AM771" s="109"/>
      <c r="AN771" s="109"/>
      <c r="AO771" s="109"/>
      <c r="AP771" s="109"/>
      <c r="AQ771" s="109"/>
      <c r="AR771" s="109"/>
      <c r="AS771" s="109"/>
    </row>
    <row r="772" spans="1:45" ht="12.6" customHeight="1" x14ac:dyDescent="0.3">
      <c r="A772" s="78"/>
      <c r="B772" s="78"/>
      <c r="C772" s="78"/>
      <c r="D772" s="78"/>
      <c r="E772" s="78"/>
      <c r="F772" s="78"/>
      <c r="Z772" s="109"/>
      <c r="AA772" s="109"/>
      <c r="AB772" s="109"/>
      <c r="AC772" s="109"/>
      <c r="AD772" s="109"/>
      <c r="AE772" s="109"/>
      <c r="AF772" s="109"/>
      <c r="AG772" s="109"/>
      <c r="AH772" s="109"/>
      <c r="AI772" s="109"/>
      <c r="AJ772" s="109"/>
      <c r="AK772" s="109"/>
      <c r="AL772" s="109"/>
      <c r="AM772" s="109"/>
      <c r="AN772" s="109"/>
      <c r="AO772" s="109"/>
      <c r="AP772" s="109"/>
      <c r="AQ772" s="109"/>
      <c r="AR772" s="109"/>
      <c r="AS772" s="109"/>
    </row>
    <row r="773" spans="1:45" ht="12.6" customHeight="1" x14ac:dyDescent="0.3">
      <c r="A773" s="58"/>
      <c r="B773" s="58"/>
      <c r="C773" s="58"/>
      <c r="D773" s="58"/>
      <c r="E773" s="58"/>
      <c r="F773" s="58"/>
      <c r="Z773" s="109"/>
      <c r="AA773" s="109"/>
      <c r="AB773" s="109"/>
      <c r="AC773" s="109"/>
      <c r="AD773" s="109"/>
      <c r="AE773" s="109"/>
      <c r="AF773" s="109"/>
      <c r="AG773" s="109"/>
      <c r="AH773" s="109"/>
      <c r="AI773" s="109"/>
      <c r="AJ773" s="109"/>
      <c r="AK773" s="109"/>
      <c r="AL773" s="109"/>
      <c r="AM773" s="109"/>
      <c r="AN773" s="109"/>
      <c r="AO773" s="109"/>
      <c r="AP773" s="109"/>
      <c r="AQ773" s="109"/>
      <c r="AR773" s="109"/>
      <c r="AS773" s="109"/>
    </row>
    <row r="774" spans="1:45" ht="12.6" customHeight="1" x14ac:dyDescent="0.3">
      <c r="A774" s="159" t="s">
        <v>1401</v>
      </c>
      <c r="B774" s="152"/>
      <c r="C774" s="55">
        <f>E774+D774+F774</f>
        <v>1641</v>
      </c>
      <c r="D774" s="54">
        <f>ROUNDDOWN(SUMIF(N742:N767,M774,D742:D767),0)</f>
        <v>944</v>
      </c>
      <c r="E774" s="63">
        <f>ROUNDDOWN(SUMIF(N742:N767,M774,E742:E767),0)</f>
        <v>305</v>
      </c>
      <c r="F774" s="55">
        <f>ROUNDDOWN(SUMIF(N742:N767,M774,F742:F767),0)</f>
        <v>392</v>
      </c>
      <c r="M774" s="20" t="s">
        <v>1128</v>
      </c>
      <c r="Z774" s="109"/>
      <c r="AA774" s="109"/>
      <c r="AB774" s="109"/>
      <c r="AC774" s="109"/>
      <c r="AD774" s="109"/>
      <c r="AE774" s="109"/>
      <c r="AF774" s="109"/>
      <c r="AG774" s="109"/>
      <c r="AH774" s="109"/>
      <c r="AI774" s="109"/>
      <c r="AJ774" s="109"/>
      <c r="AK774" s="109"/>
      <c r="AL774" s="109"/>
      <c r="AM774" s="109"/>
      <c r="AN774" s="109"/>
      <c r="AO774" s="109"/>
      <c r="AP774" s="109"/>
      <c r="AQ774" s="109"/>
      <c r="AR774" s="109"/>
      <c r="AS774" s="109"/>
    </row>
    <row r="775" spans="1:45" ht="12.6" customHeight="1" x14ac:dyDescent="0.3">
      <c r="A775" s="95" t="s">
        <v>80</v>
      </c>
      <c r="B775" s="96" t="s">
        <v>80</v>
      </c>
      <c r="C775" s="158">
        <f>C809</f>
        <v>1421</v>
      </c>
      <c r="D775" s="158">
        <f>D809</f>
        <v>818</v>
      </c>
      <c r="E775" s="158">
        <f>E809</f>
        <v>264</v>
      </c>
      <c r="F775" s="158">
        <f>F809</f>
        <v>339</v>
      </c>
      <c r="G775" s="36" t="str">
        <f>HYPERLINK("#G"&amp;ROW(G807),"_x0005_`BDCOD|D01344_x0007_`POSS|"&amp;ROW(G777)&amp;"_x0007_`POSE|"&amp;ROW(G807)&amp;"_x0007_`")</f>
        <v>_x0005_`BDCOD|D01344_x0007_`POSS|777_x0007_`POSE|807_x0007_`</v>
      </c>
      <c r="Z775" s="109"/>
      <c r="AA775" s="109"/>
      <c r="AB775" s="109"/>
      <c r="AC775" s="109"/>
      <c r="AD775" s="109"/>
      <c r="AE775" s="109"/>
      <c r="AF775" s="109"/>
      <c r="AG775" s="109"/>
      <c r="AH775" s="109"/>
      <c r="AI775" s="109"/>
      <c r="AJ775" s="109"/>
      <c r="AK775" s="109"/>
      <c r="AL775" s="109"/>
      <c r="AM775" s="109"/>
      <c r="AN775" s="109"/>
      <c r="AO775" s="109"/>
      <c r="AP775" s="109"/>
      <c r="AQ775" s="109"/>
      <c r="AR775" s="109"/>
      <c r="AS775" s="109"/>
    </row>
    <row r="776" spans="1:45" ht="12.6" customHeight="1" x14ac:dyDescent="0.3">
      <c r="A776" s="84"/>
      <c r="B776" s="96" t="s">
        <v>219</v>
      </c>
      <c r="C776" s="141"/>
      <c r="D776" s="141"/>
      <c r="E776" s="141"/>
      <c r="F776" s="141"/>
      <c r="M776" s="20" t="s">
        <v>218</v>
      </c>
      <c r="Z776" s="109"/>
      <c r="AA776" s="109"/>
      <c r="AB776" s="109"/>
      <c r="AC776" s="109"/>
      <c r="AD776" s="109"/>
      <c r="AE776" s="109"/>
      <c r="AF776" s="109"/>
      <c r="AG776" s="109"/>
      <c r="AH776" s="109"/>
      <c r="AI776" s="109"/>
      <c r="AJ776" s="109"/>
      <c r="AK776" s="109"/>
      <c r="AL776" s="109"/>
      <c r="AM776" s="109"/>
      <c r="AN776" s="109"/>
      <c r="AO776" s="109"/>
      <c r="AP776" s="109"/>
      <c r="AQ776" s="109"/>
      <c r="AR776" s="109"/>
      <c r="AS776" s="109"/>
    </row>
    <row r="777" spans="1:45" ht="12.6" customHeight="1" x14ac:dyDescent="0.3">
      <c r="A777" s="78"/>
      <c r="B777" s="78"/>
      <c r="C777" s="98"/>
      <c r="D777" s="98"/>
      <c r="E777" s="98"/>
      <c r="F777" s="98"/>
      <c r="G777" s="16" t="s">
        <v>1317</v>
      </c>
      <c r="Z777" s="109"/>
      <c r="AA777" s="109"/>
      <c r="AB777" s="109"/>
      <c r="AC777" s="109"/>
      <c r="AD777" s="109"/>
      <c r="AE777" s="109"/>
      <c r="AF777" s="109"/>
      <c r="AG777" s="109"/>
      <c r="AH777" s="109"/>
      <c r="AI777" s="109"/>
      <c r="AJ777" s="109"/>
      <c r="AK777" s="109"/>
      <c r="AL777" s="109"/>
      <c r="AM777" s="109"/>
      <c r="AN777" s="109"/>
      <c r="AO777" s="109"/>
      <c r="AP777" s="109"/>
      <c r="AQ777" s="109"/>
      <c r="AR777" s="109"/>
      <c r="AS777" s="109"/>
    </row>
    <row r="778" spans="1:45" ht="12.6" customHeight="1" x14ac:dyDescent="0.3">
      <c r="A778" s="68"/>
      <c r="B778" s="77" t="s">
        <v>1652</v>
      </c>
      <c r="C778" s="78"/>
      <c r="D778" s="78"/>
      <c r="E778" s="78"/>
      <c r="F778" s="78"/>
      <c r="G778" s="16" t="s">
        <v>1651</v>
      </c>
      <c r="Z778" s="109"/>
      <c r="AA778" s="109"/>
      <c r="AB778" s="109"/>
      <c r="AC778" s="109"/>
      <c r="AD778" s="109"/>
      <c r="AE778" s="109"/>
      <c r="AF778" s="109"/>
      <c r="AG778" s="109"/>
      <c r="AH778" s="109"/>
      <c r="AI778" s="109"/>
      <c r="AJ778" s="109"/>
      <c r="AK778" s="109"/>
      <c r="AL778" s="109"/>
      <c r="AM778" s="109"/>
      <c r="AN778" s="109"/>
      <c r="AO778" s="109"/>
      <c r="AP778" s="109"/>
      <c r="AQ778" s="109"/>
      <c r="AR778" s="109"/>
      <c r="AS778" s="109"/>
    </row>
    <row r="779" spans="1:45" ht="12.6" customHeight="1" x14ac:dyDescent="0.3">
      <c r="A779" s="78"/>
      <c r="B779" s="78"/>
      <c r="C779" s="78"/>
      <c r="D779" s="78"/>
      <c r="E779" s="78"/>
      <c r="F779" s="78"/>
      <c r="G779" s="16" t="s">
        <v>1317</v>
      </c>
      <c r="Z779" s="109"/>
      <c r="AA779" s="109"/>
      <c r="AB779" s="109"/>
      <c r="AC779" s="109"/>
      <c r="AD779" s="109"/>
      <c r="AE779" s="109"/>
      <c r="AF779" s="109"/>
      <c r="AG779" s="109"/>
      <c r="AH779" s="109"/>
      <c r="AI779" s="109"/>
      <c r="AJ779" s="109"/>
      <c r="AK779" s="109"/>
      <c r="AL779" s="109"/>
      <c r="AM779" s="109"/>
      <c r="AN779" s="109"/>
      <c r="AO779" s="109"/>
      <c r="AP779" s="109"/>
      <c r="AQ779" s="109"/>
      <c r="AR779" s="109"/>
      <c r="AS779" s="109"/>
    </row>
    <row r="780" spans="1:45" ht="12.6" customHeight="1" x14ac:dyDescent="0.3">
      <c r="A780" s="68"/>
      <c r="B780" s="77" t="s">
        <v>1654</v>
      </c>
      <c r="C780" s="78"/>
      <c r="D780" s="78"/>
      <c r="E780" s="78"/>
      <c r="F780" s="78"/>
      <c r="G780" s="16" t="s">
        <v>1653</v>
      </c>
      <c r="Z780" s="109"/>
      <c r="AA780" s="109"/>
      <c r="AB780" s="109"/>
      <c r="AC780" s="109"/>
      <c r="AD780" s="109"/>
      <c r="AE780" s="109"/>
      <c r="AF780" s="109"/>
      <c r="AG780" s="109"/>
      <c r="AH780" s="109"/>
      <c r="AI780" s="109"/>
      <c r="AJ780" s="109"/>
      <c r="AK780" s="109"/>
      <c r="AL780" s="109"/>
      <c r="AM780" s="109"/>
      <c r="AN780" s="109"/>
      <c r="AO780" s="109"/>
      <c r="AP780" s="109"/>
      <c r="AQ780" s="109"/>
      <c r="AR780" s="109"/>
      <c r="AS780" s="109"/>
    </row>
    <row r="781" spans="1:45" ht="12.6" customHeight="1" x14ac:dyDescent="0.3">
      <c r="A781" s="78"/>
      <c r="B781" s="78"/>
      <c r="C781" s="78"/>
      <c r="D781" s="78"/>
      <c r="E781" s="78"/>
      <c r="F781" s="78"/>
      <c r="G781" s="16" t="s">
        <v>1317</v>
      </c>
      <c r="Z781" s="109"/>
      <c r="AA781" s="109"/>
      <c r="AB781" s="109"/>
      <c r="AC781" s="109"/>
      <c r="AD781" s="109"/>
      <c r="AE781" s="109"/>
      <c r="AF781" s="109"/>
      <c r="AG781" s="109"/>
      <c r="AH781" s="109"/>
      <c r="AI781" s="109"/>
      <c r="AJ781" s="109"/>
      <c r="AK781" s="109"/>
      <c r="AL781" s="109"/>
      <c r="AM781" s="109"/>
      <c r="AN781" s="109"/>
      <c r="AO781" s="109"/>
      <c r="AP781" s="109"/>
      <c r="AQ781" s="109"/>
      <c r="AR781" s="109"/>
      <c r="AS781" s="109"/>
    </row>
    <row r="782" spans="1:45" ht="12.6" customHeight="1" x14ac:dyDescent="0.3">
      <c r="A782" s="68"/>
      <c r="B782" s="77" t="s">
        <v>1656</v>
      </c>
      <c r="C782" s="78"/>
      <c r="D782" s="78"/>
      <c r="E782" s="78"/>
      <c r="F782" s="78"/>
      <c r="G782" s="16" t="s">
        <v>1655</v>
      </c>
      <c r="Z782" s="109"/>
      <c r="AA782" s="109"/>
      <c r="AB782" s="109"/>
      <c r="AC782" s="109"/>
      <c r="AD782" s="109"/>
      <c r="AE782" s="109"/>
      <c r="AF782" s="109"/>
      <c r="AG782" s="109"/>
      <c r="AH782" s="109"/>
      <c r="AI782" s="109"/>
      <c r="AJ782" s="109"/>
      <c r="AK782" s="109"/>
      <c r="AL782" s="109"/>
      <c r="AM782" s="109"/>
      <c r="AN782" s="109"/>
      <c r="AO782" s="109"/>
      <c r="AP782" s="109"/>
      <c r="AQ782" s="109"/>
      <c r="AR782" s="109"/>
      <c r="AS782" s="109"/>
    </row>
    <row r="783" spans="1:45" ht="12.6" customHeight="1" x14ac:dyDescent="0.3">
      <c r="A783" s="78"/>
      <c r="B783" s="78"/>
      <c r="C783" s="78"/>
      <c r="D783" s="78"/>
      <c r="E783" s="78"/>
      <c r="F783" s="78"/>
      <c r="G783" s="16" t="s">
        <v>1317</v>
      </c>
      <c r="Z783" s="109"/>
      <c r="AA783" s="109"/>
      <c r="AB783" s="109"/>
      <c r="AC783" s="109"/>
      <c r="AD783" s="109"/>
      <c r="AE783" s="109"/>
      <c r="AF783" s="109"/>
      <c r="AG783" s="109"/>
      <c r="AH783" s="109"/>
      <c r="AI783" s="109"/>
      <c r="AJ783" s="109"/>
      <c r="AK783" s="109"/>
      <c r="AL783" s="109"/>
      <c r="AM783" s="109"/>
      <c r="AN783" s="109"/>
      <c r="AO783" s="109"/>
      <c r="AP783" s="109"/>
      <c r="AQ783" s="109"/>
      <c r="AR783" s="109"/>
      <c r="AS783" s="109"/>
    </row>
    <row r="784" spans="1:45" ht="12.6" customHeight="1" x14ac:dyDescent="0.3">
      <c r="A784" s="68"/>
      <c r="B784" s="77" t="s">
        <v>1658</v>
      </c>
      <c r="C784" s="78"/>
      <c r="D784" s="78"/>
      <c r="E784" s="78"/>
      <c r="F784" s="78"/>
      <c r="G784" s="16" t="s">
        <v>1657</v>
      </c>
      <c r="Z784" s="109"/>
      <c r="AA784" s="109"/>
      <c r="AB784" s="109"/>
      <c r="AC784" s="109"/>
      <c r="AD784" s="109"/>
      <c r="AE784" s="109"/>
      <c r="AF784" s="109"/>
      <c r="AG784" s="109"/>
      <c r="AH784" s="109"/>
      <c r="AI784" s="109"/>
      <c r="AJ784" s="109"/>
      <c r="AK784" s="109"/>
      <c r="AL784" s="109"/>
      <c r="AM784" s="109"/>
      <c r="AN784" s="109"/>
      <c r="AO784" s="109"/>
      <c r="AP784" s="109"/>
      <c r="AQ784" s="109"/>
      <c r="AR784" s="109"/>
      <c r="AS784" s="109"/>
    </row>
    <row r="785" spans="1:45" ht="12.6" customHeight="1" x14ac:dyDescent="0.3">
      <c r="A785" s="78"/>
      <c r="B785" s="78"/>
      <c r="C785" s="78"/>
      <c r="D785" s="78"/>
      <c r="E785" s="78"/>
      <c r="F785" s="78"/>
      <c r="G785" s="16" t="s">
        <v>1317</v>
      </c>
      <c r="Z785" s="109"/>
      <c r="AA785" s="109"/>
      <c r="AB785" s="109"/>
      <c r="AC785" s="109"/>
      <c r="AD785" s="109"/>
      <c r="AE785" s="109"/>
      <c r="AF785" s="109"/>
      <c r="AG785" s="109"/>
      <c r="AH785" s="109"/>
      <c r="AI785" s="109"/>
      <c r="AJ785" s="109"/>
      <c r="AK785" s="109"/>
      <c r="AL785" s="109"/>
      <c r="AM785" s="109"/>
      <c r="AN785" s="109"/>
      <c r="AO785" s="109"/>
      <c r="AP785" s="109"/>
      <c r="AQ785" s="109"/>
      <c r="AR785" s="109"/>
      <c r="AS785" s="109"/>
    </row>
    <row r="786" spans="1:45" ht="12.6" customHeight="1" x14ac:dyDescent="0.3">
      <c r="A786" s="78"/>
      <c r="B786" s="78"/>
      <c r="C786" s="78"/>
      <c r="D786" s="78"/>
      <c r="E786" s="78"/>
      <c r="F786" s="78"/>
      <c r="G786" s="16" t="s">
        <v>1317</v>
      </c>
      <c r="Z786" s="109"/>
      <c r="AA786" s="109"/>
      <c r="AB786" s="109"/>
      <c r="AC786" s="109"/>
      <c r="AD786" s="109"/>
      <c r="AE786" s="109"/>
      <c r="AF786" s="109"/>
      <c r="AG786" s="109"/>
      <c r="AH786" s="109"/>
      <c r="AI786" s="109"/>
      <c r="AJ786" s="109"/>
      <c r="AK786" s="109"/>
      <c r="AL786" s="109"/>
      <c r="AM786" s="109"/>
      <c r="AN786" s="109"/>
      <c r="AO786" s="109"/>
      <c r="AP786" s="109"/>
      <c r="AQ786" s="109"/>
      <c r="AR786" s="109"/>
      <c r="AS786" s="109"/>
    </row>
    <row r="787" spans="1:45" ht="12.6" customHeight="1" x14ac:dyDescent="0.3">
      <c r="A787" s="68"/>
      <c r="B787" s="97" t="str">
        <f>" q (버킷용량)  = "&amp;Z787&amp;" , f (체적환산계수)  = "&amp;AD787&amp;"/"&amp;AF787&amp;" = "&amp;AH787&amp;""</f>
        <v xml:space="preserve"> q (버킷용량)  = 0.7 , f (체적환산계수)  = 1/1.25 = 0.80</v>
      </c>
      <c r="C787" s="78"/>
      <c r="D787" s="78"/>
      <c r="E787" s="78"/>
      <c r="F787" s="78"/>
      <c r="G787" s="16" t="s">
        <v>1659</v>
      </c>
      <c r="Z787" s="110">
        <v>0.7</v>
      </c>
      <c r="AA787" s="20" t="s">
        <v>1326</v>
      </c>
      <c r="AB787" s="112">
        <f>Z787</f>
        <v>0.7</v>
      </c>
      <c r="AC787" s="20" t="s">
        <v>1385</v>
      </c>
      <c r="AD787" s="111">
        <v>1</v>
      </c>
      <c r="AE787" s="20" t="s">
        <v>1387</v>
      </c>
      <c r="AF787" s="110">
        <v>1.25</v>
      </c>
      <c r="AG787" s="20" t="s">
        <v>1326</v>
      </c>
      <c r="AH787" s="112" t="str">
        <f>TEXT(ROUND(AD787/AF787,2),"0.00")</f>
        <v>0.80</v>
      </c>
      <c r="AI787" s="20" t="s">
        <v>1385</v>
      </c>
      <c r="AJ787" s="109"/>
      <c r="AK787" s="109"/>
      <c r="AL787" s="109"/>
      <c r="AM787" s="109"/>
      <c r="AN787" s="109"/>
      <c r="AO787" s="109"/>
      <c r="AP787" s="109"/>
      <c r="AQ787" s="109"/>
      <c r="AR787" s="109"/>
      <c r="AS787" s="109"/>
    </row>
    <row r="788" spans="1:45" ht="12.6" customHeight="1" x14ac:dyDescent="0.3">
      <c r="A788" s="78"/>
      <c r="B788" s="78"/>
      <c r="C788" s="78"/>
      <c r="D788" s="78"/>
      <c r="E788" s="78"/>
      <c r="F788" s="78"/>
      <c r="G788" s="16" t="s">
        <v>1317</v>
      </c>
      <c r="Z788" s="109"/>
      <c r="AA788" s="109"/>
      <c r="AB788" s="109"/>
      <c r="AC788" s="109"/>
      <c r="AD788" s="109"/>
      <c r="AE788" s="109"/>
      <c r="AF788" s="109"/>
      <c r="AG788" s="109"/>
      <c r="AH788" s="109"/>
      <c r="AI788" s="109"/>
      <c r="AJ788" s="109"/>
      <c r="AK788" s="109"/>
      <c r="AL788" s="109"/>
      <c r="AM788" s="109"/>
      <c r="AN788" s="109"/>
      <c r="AO788" s="109"/>
      <c r="AP788" s="109"/>
      <c r="AQ788" s="109"/>
      <c r="AR788" s="109"/>
      <c r="AS788" s="109"/>
    </row>
    <row r="789" spans="1:45" ht="12.6" customHeight="1" x14ac:dyDescent="0.3">
      <c r="A789" s="68"/>
      <c r="B789" s="97" t="str">
        <f>" K (버킷계수)  = "&amp;Z789&amp;""</f>
        <v xml:space="preserve"> K (버킷계수)  = 0.9</v>
      </c>
      <c r="C789" s="78"/>
      <c r="D789" s="78"/>
      <c r="E789" s="78"/>
      <c r="F789" s="78"/>
      <c r="G789" s="16" t="s">
        <v>1632</v>
      </c>
      <c r="Z789" s="110">
        <v>0.9</v>
      </c>
      <c r="AA789" s="20" t="s">
        <v>1326</v>
      </c>
      <c r="AB789" s="112">
        <f>Z789</f>
        <v>0.9</v>
      </c>
      <c r="AC789" s="109"/>
      <c r="AD789" s="109"/>
      <c r="AE789" s="109"/>
      <c r="AF789" s="109"/>
      <c r="AG789" s="109"/>
      <c r="AH789" s="109"/>
      <c r="AI789" s="109"/>
      <c r="AJ789" s="109"/>
      <c r="AK789" s="109"/>
      <c r="AL789" s="109"/>
      <c r="AM789" s="109"/>
      <c r="AN789" s="109"/>
      <c r="AO789" s="109"/>
      <c r="AP789" s="109"/>
      <c r="AQ789" s="109"/>
      <c r="AR789" s="109"/>
      <c r="AS789" s="109"/>
    </row>
    <row r="790" spans="1:45" ht="12.6" customHeight="1" x14ac:dyDescent="0.3">
      <c r="A790" s="78"/>
      <c r="B790" s="78"/>
      <c r="C790" s="78"/>
      <c r="D790" s="78"/>
      <c r="E790" s="78"/>
      <c r="F790" s="78"/>
      <c r="G790" s="16" t="s">
        <v>1317</v>
      </c>
      <c r="Z790" s="109"/>
      <c r="AA790" s="109"/>
      <c r="AB790" s="109"/>
      <c r="AC790" s="109"/>
      <c r="AD790" s="109"/>
      <c r="AE790" s="109"/>
      <c r="AF790" s="109"/>
      <c r="AG790" s="109"/>
      <c r="AH790" s="109"/>
      <c r="AI790" s="109"/>
      <c r="AJ790" s="109"/>
      <c r="AK790" s="109"/>
      <c r="AL790" s="109"/>
      <c r="AM790" s="109"/>
      <c r="AN790" s="109"/>
      <c r="AO790" s="109"/>
      <c r="AP790" s="109"/>
      <c r="AQ790" s="109"/>
      <c r="AR790" s="109"/>
      <c r="AS790" s="109"/>
    </row>
    <row r="791" spans="1:45" ht="12.6" customHeight="1" x14ac:dyDescent="0.3">
      <c r="A791" s="68"/>
      <c r="B791" s="97" t="str">
        <f>" Cm (1회 사이클 시간(초))  = "&amp;Z791&amp;" sec(135˚) "</f>
        <v xml:space="preserve"> Cm (1회 사이클 시간(초))  = 20 sec(135˚) </v>
      </c>
      <c r="C791" s="78"/>
      <c r="D791" s="78"/>
      <c r="E791" s="78"/>
      <c r="F791" s="78"/>
      <c r="G791" s="16" t="s">
        <v>1660</v>
      </c>
      <c r="Z791" s="111">
        <v>20</v>
      </c>
      <c r="AA791" s="20" t="s">
        <v>1326</v>
      </c>
      <c r="AB791" s="112">
        <f>Z791</f>
        <v>20</v>
      </c>
      <c r="AC791" s="109"/>
      <c r="AD791" s="109"/>
      <c r="AE791" s="109"/>
      <c r="AF791" s="109"/>
      <c r="AG791" s="109"/>
      <c r="AH791" s="109"/>
      <c r="AI791" s="109"/>
      <c r="AJ791" s="109"/>
      <c r="AK791" s="109"/>
      <c r="AL791" s="109"/>
      <c r="AM791" s="109"/>
      <c r="AN791" s="109"/>
      <c r="AO791" s="109"/>
      <c r="AP791" s="109"/>
      <c r="AQ791" s="109"/>
      <c r="AR791" s="109"/>
      <c r="AS791" s="109"/>
    </row>
    <row r="792" spans="1:45" ht="12.6" customHeight="1" x14ac:dyDescent="0.3">
      <c r="A792" s="78"/>
      <c r="B792" s="78"/>
      <c r="C792" s="78"/>
      <c r="D792" s="78"/>
      <c r="E792" s="78"/>
      <c r="F792" s="78"/>
      <c r="G792" s="16" t="s">
        <v>1317</v>
      </c>
      <c r="Z792" s="109"/>
      <c r="AA792" s="109"/>
      <c r="AB792" s="109"/>
      <c r="AC792" s="109"/>
      <c r="AD792" s="109"/>
      <c r="AE792" s="109"/>
      <c r="AF792" s="109"/>
      <c r="AG792" s="109"/>
      <c r="AH792" s="109"/>
      <c r="AI792" s="109"/>
      <c r="AJ792" s="109"/>
      <c r="AK792" s="109"/>
      <c r="AL792" s="109"/>
      <c r="AM792" s="109"/>
      <c r="AN792" s="109"/>
      <c r="AO792" s="109"/>
      <c r="AP792" s="109"/>
      <c r="AQ792" s="109"/>
      <c r="AR792" s="109"/>
      <c r="AS792" s="109"/>
    </row>
    <row r="793" spans="1:45" ht="12.6" customHeight="1" x14ac:dyDescent="0.3">
      <c r="A793" s="68"/>
      <c r="B793" s="97" t="str">
        <f>" E  (작업효율) ="&amp;Z793&amp;""</f>
        <v xml:space="preserve"> E  (작업효율) =0.75</v>
      </c>
      <c r="C793" s="78"/>
      <c r="D793" s="78"/>
      <c r="E793" s="78"/>
      <c r="F793" s="78"/>
      <c r="G793" s="16" t="s">
        <v>1661</v>
      </c>
      <c r="Z793" s="110">
        <v>0.75</v>
      </c>
      <c r="AA793" s="20" t="s">
        <v>1326</v>
      </c>
      <c r="AB793" s="112">
        <f>Z793</f>
        <v>0.75</v>
      </c>
      <c r="AC793" s="109"/>
      <c r="AD793" s="109"/>
      <c r="AE793" s="109"/>
      <c r="AF793" s="109"/>
      <c r="AG793" s="109"/>
      <c r="AH793" s="109"/>
      <c r="AI793" s="109"/>
      <c r="AJ793" s="109"/>
      <c r="AK793" s="109"/>
      <c r="AL793" s="109"/>
      <c r="AM793" s="109"/>
      <c r="AN793" s="109"/>
      <c r="AO793" s="109"/>
      <c r="AP793" s="109"/>
      <c r="AQ793" s="109"/>
      <c r="AR793" s="109"/>
      <c r="AS793" s="109"/>
    </row>
    <row r="794" spans="1:45" ht="12.6" customHeight="1" x14ac:dyDescent="0.3">
      <c r="A794" s="78"/>
      <c r="B794" s="78"/>
      <c r="C794" s="78"/>
      <c r="D794" s="78"/>
      <c r="E794" s="78"/>
      <c r="F794" s="78"/>
      <c r="G794" s="16" t="s">
        <v>1317</v>
      </c>
      <c r="Z794" s="109"/>
      <c r="AA794" s="109"/>
      <c r="AB794" s="109"/>
      <c r="AC794" s="109"/>
      <c r="AD794" s="109"/>
      <c r="AE794" s="109"/>
      <c r="AF794" s="109"/>
      <c r="AG794" s="109"/>
      <c r="AH794" s="109"/>
      <c r="AI794" s="109"/>
      <c r="AJ794" s="109"/>
      <c r="AK794" s="109"/>
      <c r="AL794" s="109"/>
      <c r="AM794" s="109"/>
      <c r="AN794" s="109"/>
      <c r="AO794" s="109"/>
      <c r="AP794" s="109"/>
      <c r="AQ794" s="109"/>
      <c r="AR794" s="109"/>
      <c r="AS794" s="109"/>
    </row>
    <row r="795" spans="1:45" ht="12.6" customHeight="1" x14ac:dyDescent="0.3">
      <c r="A795" s="68"/>
      <c r="B795" s="97" t="str">
        <f>" Q (시간당작업량)  = "&amp;Z795&amp;"*q*K*f*E/Cm = "&amp;AL795&amp;" m3/hr "</f>
        <v xml:space="preserve"> Q (시간당작업량)  = 3600*q*K*f*E/Cm = 68.04 m3/hr </v>
      </c>
      <c r="C795" s="78"/>
      <c r="D795" s="78"/>
      <c r="E795" s="78"/>
      <c r="F795" s="78"/>
      <c r="G795" s="16" t="s">
        <v>1516</v>
      </c>
      <c r="Z795" s="111">
        <v>3600</v>
      </c>
      <c r="AA795" s="20" t="s">
        <v>1390</v>
      </c>
      <c r="AB795" s="112">
        <f>AB787</f>
        <v>0.7</v>
      </c>
      <c r="AC795" s="20" t="s">
        <v>1390</v>
      </c>
      <c r="AD795" s="112">
        <f>AB789</f>
        <v>0.9</v>
      </c>
      <c r="AE795" s="20" t="s">
        <v>1390</v>
      </c>
      <c r="AF795" s="112" t="str">
        <f>AH787</f>
        <v>0.80</v>
      </c>
      <c r="AG795" s="20" t="s">
        <v>1390</v>
      </c>
      <c r="AH795" s="112">
        <f>AB793</f>
        <v>0.75</v>
      </c>
      <c r="AI795" s="20" t="s">
        <v>1387</v>
      </c>
      <c r="AJ795" s="112">
        <f>AB791</f>
        <v>20</v>
      </c>
      <c r="AK795" s="20" t="s">
        <v>1326</v>
      </c>
      <c r="AL795" s="112" t="str">
        <f>TEXT(ROUND(Z795*AB787*AB789*AH787*AB793/AB791,2),"0.00")</f>
        <v>68.04</v>
      </c>
      <c r="AM795" s="109"/>
      <c r="AN795" s="109"/>
      <c r="AO795" s="109"/>
      <c r="AP795" s="109"/>
      <c r="AQ795" s="109"/>
      <c r="AR795" s="109"/>
      <c r="AS795" s="109"/>
    </row>
    <row r="796" spans="1:45" ht="12.6" customHeight="1" x14ac:dyDescent="0.3">
      <c r="A796" s="78"/>
      <c r="B796" s="78"/>
      <c r="C796" s="78"/>
      <c r="D796" s="78"/>
      <c r="E796" s="78"/>
      <c r="F796" s="78"/>
      <c r="G796" s="16" t="s">
        <v>1317</v>
      </c>
      <c r="Z796" s="109"/>
      <c r="AA796" s="109"/>
      <c r="AB796" s="109"/>
      <c r="AC796" s="109"/>
      <c r="AD796" s="109"/>
      <c r="AE796" s="109"/>
      <c r="AF796" s="109"/>
      <c r="AG796" s="109"/>
      <c r="AH796" s="109"/>
      <c r="AI796" s="109"/>
      <c r="AJ796" s="109"/>
      <c r="AK796" s="109"/>
      <c r="AL796" s="109"/>
      <c r="AM796" s="109"/>
      <c r="AN796" s="109"/>
      <c r="AO796" s="109"/>
      <c r="AP796" s="109"/>
      <c r="AQ796" s="109"/>
      <c r="AR796" s="109"/>
      <c r="AS796" s="109"/>
    </row>
    <row r="797" spans="1:45" ht="12.6" customHeight="1" x14ac:dyDescent="0.3">
      <c r="A797" s="78"/>
      <c r="B797" s="78"/>
      <c r="C797" s="78"/>
      <c r="D797" s="78"/>
      <c r="E797" s="78"/>
      <c r="F797" s="78"/>
      <c r="G797" s="16" t="s">
        <v>1317</v>
      </c>
      <c r="Z797" s="109"/>
      <c r="AA797" s="109"/>
      <c r="AB797" s="109"/>
      <c r="AC797" s="109"/>
      <c r="AD797" s="109"/>
      <c r="AE797" s="109"/>
      <c r="AF797" s="109"/>
      <c r="AG797" s="109"/>
      <c r="AH797" s="109"/>
      <c r="AI797" s="109"/>
      <c r="AJ797" s="109"/>
      <c r="AK797" s="109"/>
      <c r="AL797" s="109"/>
      <c r="AM797" s="109"/>
      <c r="AN797" s="109"/>
      <c r="AO797" s="109"/>
      <c r="AP797" s="109"/>
      <c r="AQ797" s="109"/>
      <c r="AR797" s="109"/>
      <c r="AS797" s="109"/>
    </row>
    <row r="798" spans="1:45" ht="12.6" customHeight="1" x14ac:dyDescent="0.3">
      <c r="A798" s="68" t="s">
        <v>1473</v>
      </c>
      <c r="B798" s="97" t="str">
        <f>" 노 무 비  : "&amp;TEXT(I798,"#,##0"&amp;IF(I798&lt;&gt;INT(I798),".###",""))&amp;" / Q  = "&amp;TEXT(C798,"#,##0.0")&amp;""</f>
        <v xml:space="preserve"> 노 무 비  : 55,700 / Q  = 818.6</v>
      </c>
      <c r="C798" s="99">
        <f>E798+D798+F798</f>
        <v>818.6</v>
      </c>
      <c r="D798" s="99">
        <f>IF(H798=0,0,ROUNDDOWN(J798*H798,1))</f>
        <v>818.6</v>
      </c>
      <c r="E798" s="99">
        <f>IF(H798=0,0,ROUNDDOWN(K798*H798,1))</f>
        <v>0</v>
      </c>
      <c r="F798" s="99">
        <f>IF(H798=0,0,ROUNDDOWN(L798*H798,1))</f>
        <v>0</v>
      </c>
      <c r="G798" s="16" t="s">
        <v>1648</v>
      </c>
      <c r="H798" s="105">
        <f>AC798</f>
        <v>1.469723691945914E-2</v>
      </c>
      <c r="I798" s="106">
        <f>K798+J798+L798</f>
        <v>55700</v>
      </c>
      <c r="J798" s="39">
        <f>중기목록표!F7</f>
        <v>55700</v>
      </c>
      <c r="M798" s="20" t="s">
        <v>1193</v>
      </c>
      <c r="N798" s="20" t="s">
        <v>1332</v>
      </c>
      <c r="X798" s="108" t="str">
        <f>중기목록표!B7&amp;" / "&amp;중기목록표!C7</f>
        <v xml:space="preserve">굴삭기(0.7m3) / </v>
      </c>
      <c r="Y798" s="19" t="str">
        <f ca="1">HYPERLINK("#"&amp;중기목록표!J2&amp;"!A"&amp;ROW(중기목록표!A7),"중기    4 →")</f>
        <v>중기    4 →</v>
      </c>
      <c r="Z798" s="20" t="s">
        <v>1393</v>
      </c>
      <c r="AA798" s="112" t="str">
        <f>AL795</f>
        <v>68.04</v>
      </c>
      <c r="AB798" s="20" t="s">
        <v>1326</v>
      </c>
      <c r="AC798" s="113">
        <f>1/AL795</f>
        <v>1.469723691945914E-2</v>
      </c>
      <c r="AD798" s="109"/>
      <c r="AE798" s="109"/>
      <c r="AF798" s="109"/>
      <c r="AG798" s="109"/>
      <c r="AH798" s="109"/>
      <c r="AI798" s="109"/>
      <c r="AJ798" s="109"/>
      <c r="AK798" s="109"/>
      <c r="AL798" s="109"/>
      <c r="AM798" s="109"/>
      <c r="AN798" s="109"/>
      <c r="AO798" s="109"/>
      <c r="AP798" s="109"/>
      <c r="AQ798" s="109"/>
      <c r="AR798" s="109"/>
      <c r="AS798" s="109"/>
    </row>
    <row r="799" spans="1:45" ht="12.6" customHeight="1" x14ac:dyDescent="0.3">
      <c r="A799" s="78"/>
      <c r="B799" s="78"/>
      <c r="C799" s="78"/>
      <c r="D799" s="78"/>
      <c r="E799" s="78"/>
      <c r="F799" s="78"/>
      <c r="G799" s="16" t="s">
        <v>1317</v>
      </c>
      <c r="Z799" s="109"/>
      <c r="AA799" s="109"/>
      <c r="AB799" s="109"/>
      <c r="AC799" s="109"/>
      <c r="AD799" s="109"/>
      <c r="AE799" s="109"/>
      <c r="AF799" s="109"/>
      <c r="AG799" s="109"/>
      <c r="AH799" s="109"/>
      <c r="AI799" s="109"/>
      <c r="AJ799" s="109"/>
      <c r="AK799" s="109"/>
      <c r="AL799" s="109"/>
      <c r="AM799" s="109"/>
      <c r="AN799" s="109"/>
      <c r="AO799" s="109"/>
      <c r="AP799" s="109"/>
      <c r="AQ799" s="109"/>
      <c r="AR799" s="109"/>
      <c r="AS799" s="109"/>
    </row>
    <row r="800" spans="1:45" ht="12.6" customHeight="1" x14ac:dyDescent="0.3">
      <c r="A800" s="78"/>
      <c r="B800" s="78"/>
      <c r="C800" s="78"/>
      <c r="D800" s="78"/>
      <c r="E800" s="78"/>
      <c r="F800" s="78"/>
      <c r="G800" s="16" t="s">
        <v>1317</v>
      </c>
      <c r="Z800" s="109"/>
      <c r="AA800" s="109"/>
      <c r="AB800" s="109"/>
      <c r="AC800" s="109"/>
      <c r="AD800" s="109"/>
      <c r="AE800" s="109"/>
      <c r="AF800" s="109"/>
      <c r="AG800" s="109"/>
      <c r="AH800" s="109"/>
      <c r="AI800" s="109"/>
      <c r="AJ800" s="109"/>
      <c r="AK800" s="109"/>
      <c r="AL800" s="109"/>
      <c r="AM800" s="109"/>
      <c r="AN800" s="109"/>
      <c r="AO800" s="109"/>
      <c r="AP800" s="109"/>
      <c r="AQ800" s="109"/>
      <c r="AR800" s="109"/>
      <c r="AS800" s="109"/>
    </row>
    <row r="801" spans="1:45" ht="12.6" customHeight="1" x14ac:dyDescent="0.3">
      <c r="A801" s="68" t="s">
        <v>1475</v>
      </c>
      <c r="B801" s="97" t="str">
        <f>" 재 료 비  : "&amp;TEXT(I801,"#,##0"&amp;IF(I801&lt;&gt;INT(I801),".###",""))&amp;" / Q  = "&amp;TEXT(C801,"#,##0.0")&amp;""</f>
        <v xml:space="preserve"> 재 료 비  : 18,001 / Q  = 264.5</v>
      </c>
      <c r="C801" s="99">
        <f>E801+D801+F801</f>
        <v>264.5</v>
      </c>
      <c r="D801" s="99">
        <f>IF(H801=0,0,ROUNDDOWN(J801*H801,1))</f>
        <v>0</v>
      </c>
      <c r="E801" s="99">
        <f>IF(H801=0,0,ROUNDDOWN(K801*H801,1))</f>
        <v>264.5</v>
      </c>
      <c r="F801" s="99">
        <f>IF(H801=0,0,ROUNDDOWN(L801*H801,1))</f>
        <v>0</v>
      </c>
      <c r="G801" s="16" t="s">
        <v>1649</v>
      </c>
      <c r="H801" s="105">
        <f>AC801</f>
        <v>1.469723691945914E-2</v>
      </c>
      <c r="I801" s="106">
        <f>K801+J801+L801</f>
        <v>18001</v>
      </c>
      <c r="K801" s="39">
        <f>중기목록표!G7</f>
        <v>18001</v>
      </c>
      <c r="M801" s="20" t="s">
        <v>1193</v>
      </c>
      <c r="N801" s="20" t="s">
        <v>1332</v>
      </c>
      <c r="X801" s="108" t="str">
        <f>중기목록표!B7&amp;" / "&amp;중기목록표!C7</f>
        <v xml:space="preserve">굴삭기(0.7m3) / </v>
      </c>
      <c r="Y801" s="19" t="str">
        <f ca="1">HYPERLINK("#"&amp;중기목록표!J2&amp;"!A"&amp;ROW(중기목록표!A7),"중기    4 →")</f>
        <v>중기    4 →</v>
      </c>
      <c r="Z801" s="20" t="s">
        <v>1393</v>
      </c>
      <c r="AA801" s="112" t="str">
        <f>AL795</f>
        <v>68.04</v>
      </c>
      <c r="AB801" s="20" t="s">
        <v>1326</v>
      </c>
      <c r="AC801" s="113">
        <f>1/AL795</f>
        <v>1.469723691945914E-2</v>
      </c>
      <c r="AD801" s="109"/>
      <c r="AE801" s="109"/>
      <c r="AF801" s="109"/>
      <c r="AG801" s="109"/>
      <c r="AH801" s="109"/>
      <c r="AI801" s="109"/>
      <c r="AJ801" s="109"/>
      <c r="AK801" s="109"/>
      <c r="AL801" s="109"/>
      <c r="AM801" s="109"/>
      <c r="AN801" s="109"/>
      <c r="AO801" s="109"/>
      <c r="AP801" s="109"/>
      <c r="AQ801" s="109"/>
      <c r="AR801" s="109"/>
      <c r="AS801" s="109"/>
    </row>
    <row r="802" spans="1:45" ht="12.6" customHeight="1" x14ac:dyDescent="0.3">
      <c r="A802" s="78"/>
      <c r="B802" s="78"/>
      <c r="C802" s="78"/>
      <c r="D802" s="78"/>
      <c r="E802" s="78"/>
      <c r="F802" s="78"/>
      <c r="G802" s="16" t="s">
        <v>1317</v>
      </c>
      <c r="Z802" s="109"/>
      <c r="AA802" s="109"/>
      <c r="AB802" s="109"/>
      <c r="AC802" s="109"/>
      <c r="AD802" s="109"/>
      <c r="AE802" s="109"/>
      <c r="AF802" s="109"/>
      <c r="AG802" s="109"/>
      <c r="AH802" s="109"/>
      <c r="AI802" s="109"/>
      <c r="AJ802" s="109"/>
      <c r="AK802" s="109"/>
      <c r="AL802" s="109"/>
      <c r="AM802" s="109"/>
      <c r="AN802" s="109"/>
      <c r="AO802" s="109"/>
      <c r="AP802" s="109"/>
      <c r="AQ802" s="109"/>
      <c r="AR802" s="109"/>
      <c r="AS802" s="109"/>
    </row>
    <row r="803" spans="1:45" ht="12.6" customHeight="1" x14ac:dyDescent="0.3">
      <c r="A803" s="78"/>
      <c r="B803" s="78"/>
      <c r="C803" s="78"/>
      <c r="D803" s="78"/>
      <c r="E803" s="78"/>
      <c r="F803" s="78"/>
      <c r="G803" s="16" t="s">
        <v>1317</v>
      </c>
      <c r="Z803" s="109"/>
      <c r="AA803" s="109"/>
      <c r="AB803" s="109"/>
      <c r="AC803" s="109"/>
      <c r="AD803" s="109"/>
      <c r="AE803" s="109"/>
      <c r="AF803" s="109"/>
      <c r="AG803" s="109"/>
      <c r="AH803" s="109"/>
      <c r="AI803" s="109"/>
      <c r="AJ803" s="109"/>
      <c r="AK803" s="109"/>
      <c r="AL803" s="109"/>
      <c r="AM803" s="109"/>
      <c r="AN803" s="109"/>
      <c r="AO803" s="109"/>
      <c r="AP803" s="109"/>
      <c r="AQ803" s="109"/>
      <c r="AR803" s="109"/>
      <c r="AS803" s="109"/>
    </row>
    <row r="804" spans="1:45" ht="12.6" customHeight="1" x14ac:dyDescent="0.3">
      <c r="A804" s="68" t="s">
        <v>1477</v>
      </c>
      <c r="B804" s="97" t="str">
        <f>" 경    비  : "&amp;TEXT(I804,"#,##0"&amp;IF(I804&lt;&gt;INT(I804),".###",""))&amp;" / Q  = "&amp;TEXT(C804,"#,##0.0")&amp;""</f>
        <v xml:space="preserve"> 경    비  : 23,128 / Q  = 339.9</v>
      </c>
      <c r="C804" s="99">
        <f>E804+D804+F804</f>
        <v>339.9</v>
      </c>
      <c r="D804" s="99">
        <f>IF(H804=0,0,ROUNDDOWN(J804*H804,1))</f>
        <v>0</v>
      </c>
      <c r="E804" s="99">
        <f>IF(H804=0,0,ROUNDDOWN(K804*H804,1))</f>
        <v>0</v>
      </c>
      <c r="F804" s="99">
        <f>IF(H804=0,0,ROUNDDOWN(L804*H804,1))</f>
        <v>339.9</v>
      </c>
      <c r="G804" s="16" t="s">
        <v>1650</v>
      </c>
      <c r="H804" s="105">
        <f>AC804</f>
        <v>1.469723691945914E-2</v>
      </c>
      <c r="I804" s="106">
        <f>K804+J804+L804</f>
        <v>23128</v>
      </c>
      <c r="L804" s="39">
        <f>중기목록표!H7</f>
        <v>23128</v>
      </c>
      <c r="M804" s="20" t="s">
        <v>1193</v>
      </c>
      <c r="N804" s="20" t="s">
        <v>1332</v>
      </c>
      <c r="X804" s="108" t="str">
        <f>중기목록표!B7&amp;" / "&amp;중기목록표!C7</f>
        <v xml:space="preserve">굴삭기(0.7m3) / </v>
      </c>
      <c r="Y804" s="19" t="str">
        <f ca="1">HYPERLINK("#"&amp;중기목록표!J2&amp;"!A"&amp;ROW(중기목록표!A7),"중기    4 →")</f>
        <v>중기    4 →</v>
      </c>
      <c r="Z804" s="20" t="s">
        <v>1393</v>
      </c>
      <c r="AA804" s="112" t="str">
        <f>AL795</f>
        <v>68.04</v>
      </c>
      <c r="AB804" s="20" t="s">
        <v>1326</v>
      </c>
      <c r="AC804" s="113">
        <f>1/AL795</f>
        <v>1.469723691945914E-2</v>
      </c>
      <c r="AD804" s="109"/>
      <c r="AE804" s="109"/>
      <c r="AF804" s="109"/>
      <c r="AG804" s="109"/>
      <c r="AH804" s="109"/>
      <c r="AI804" s="109"/>
      <c r="AJ804" s="109"/>
      <c r="AK804" s="109"/>
      <c r="AL804" s="109"/>
      <c r="AM804" s="109"/>
      <c r="AN804" s="109"/>
      <c r="AO804" s="109"/>
      <c r="AP804" s="109"/>
      <c r="AQ804" s="109"/>
      <c r="AR804" s="109"/>
      <c r="AS804" s="109"/>
    </row>
    <row r="805" spans="1:45" ht="12.6" customHeight="1" x14ac:dyDescent="0.3">
      <c r="A805" s="78"/>
      <c r="B805" s="78"/>
      <c r="C805" s="78"/>
      <c r="D805" s="78"/>
      <c r="E805" s="78"/>
      <c r="F805" s="78"/>
      <c r="G805" s="16" t="s">
        <v>1317</v>
      </c>
      <c r="Z805" s="109"/>
      <c r="AA805" s="109"/>
      <c r="AB805" s="109"/>
      <c r="AC805" s="109"/>
      <c r="AD805" s="109"/>
      <c r="AE805" s="109"/>
      <c r="AF805" s="109"/>
      <c r="AG805" s="109"/>
      <c r="AH805" s="109"/>
      <c r="AI805" s="109"/>
      <c r="AJ805" s="109"/>
      <c r="AK805" s="109"/>
      <c r="AL805" s="109"/>
      <c r="AM805" s="109"/>
      <c r="AN805" s="109"/>
      <c r="AO805" s="109"/>
      <c r="AP805" s="109"/>
      <c r="AQ805" s="109"/>
      <c r="AR805" s="109"/>
      <c r="AS805" s="109"/>
    </row>
    <row r="806" spans="1:45" ht="12.6" customHeight="1" x14ac:dyDescent="0.3">
      <c r="A806" s="78"/>
      <c r="B806" s="78"/>
      <c r="C806" s="78"/>
      <c r="D806" s="78"/>
      <c r="E806" s="78"/>
      <c r="F806" s="78"/>
      <c r="G806" s="16" t="s">
        <v>1317</v>
      </c>
      <c r="Z806" s="109"/>
      <c r="AA806" s="109"/>
      <c r="AB806" s="109"/>
      <c r="AC806" s="109"/>
      <c r="AD806" s="109"/>
      <c r="AE806" s="109"/>
      <c r="AF806" s="109"/>
      <c r="AG806" s="109"/>
      <c r="AH806" s="109"/>
      <c r="AI806" s="109"/>
      <c r="AJ806" s="109"/>
      <c r="AK806" s="109"/>
      <c r="AL806" s="109"/>
      <c r="AM806" s="109"/>
      <c r="AN806" s="109"/>
      <c r="AO806" s="109"/>
      <c r="AP806" s="109"/>
      <c r="AQ806" s="109"/>
      <c r="AR806" s="109"/>
      <c r="AS806" s="109"/>
    </row>
    <row r="807" spans="1:45" ht="12.6" customHeight="1" x14ac:dyDescent="0.3">
      <c r="A807" s="68"/>
      <c r="B807" s="77" t="s">
        <v>1331</v>
      </c>
      <c r="C807" s="100">
        <f>E807+D807+F807</f>
        <v>1423</v>
      </c>
      <c r="D807" s="100">
        <f>SUMIF(N777:N806,M807,D777:D806)</f>
        <v>818.6</v>
      </c>
      <c r="E807" s="100">
        <f>SUMIF(N777:N806,M807,E777:E806)</f>
        <v>264.5</v>
      </c>
      <c r="F807" s="100">
        <f>SUMIF(N777:N806,M807,F777:F806)</f>
        <v>339.9</v>
      </c>
      <c r="G807" s="16" t="s">
        <v>1415</v>
      </c>
      <c r="M807" s="20" t="s">
        <v>1332</v>
      </c>
      <c r="N807" s="20" t="s">
        <v>1128</v>
      </c>
      <c r="Z807" s="109"/>
      <c r="AA807" s="109"/>
      <c r="AB807" s="109"/>
      <c r="AC807" s="109"/>
      <c r="AD807" s="109"/>
      <c r="AE807" s="109"/>
      <c r="AF807" s="109"/>
      <c r="AG807" s="109"/>
      <c r="AH807" s="109"/>
      <c r="AI807" s="109"/>
      <c r="AJ807" s="109"/>
      <c r="AK807" s="109"/>
      <c r="AL807" s="109"/>
      <c r="AM807" s="109"/>
      <c r="AN807" s="109"/>
      <c r="AO807" s="109"/>
      <c r="AP807" s="109"/>
      <c r="AQ807" s="109"/>
      <c r="AR807" s="109"/>
      <c r="AS807" s="109"/>
    </row>
    <row r="808" spans="1:45" ht="12.6" customHeight="1" x14ac:dyDescent="0.3">
      <c r="A808" s="58"/>
      <c r="B808" s="58"/>
      <c r="C808" s="102"/>
      <c r="D808" s="102"/>
      <c r="E808" s="102"/>
      <c r="F808" s="102"/>
      <c r="Z808" s="109"/>
      <c r="AA808" s="109"/>
      <c r="AB808" s="109"/>
      <c r="AC808" s="109"/>
      <c r="AD808" s="109"/>
      <c r="AE808" s="109"/>
      <c r="AF808" s="109"/>
      <c r="AG808" s="109"/>
      <c r="AH808" s="109"/>
      <c r="AI808" s="109"/>
      <c r="AJ808" s="109"/>
      <c r="AK808" s="109"/>
      <c r="AL808" s="109"/>
      <c r="AM808" s="109"/>
      <c r="AN808" s="109"/>
      <c r="AO808" s="109"/>
      <c r="AP808" s="109"/>
      <c r="AQ808" s="109"/>
      <c r="AR808" s="109"/>
      <c r="AS808" s="109"/>
    </row>
    <row r="809" spans="1:45" ht="12.6" customHeight="1" x14ac:dyDescent="0.3">
      <c r="A809" s="159" t="s">
        <v>1401</v>
      </c>
      <c r="B809" s="152"/>
      <c r="C809" s="55">
        <f>E809+D809+F809</f>
        <v>1421</v>
      </c>
      <c r="D809" s="54">
        <f>ROUNDDOWN(SUMIF(N777:N807,M809,D777:D807),0)</f>
        <v>818</v>
      </c>
      <c r="E809" s="63">
        <f>ROUNDDOWN(SUMIF(N777:N807,M809,E777:E807),0)</f>
        <v>264</v>
      </c>
      <c r="F809" s="55">
        <f>ROUNDDOWN(SUMIF(N777:N807,M809,F777:F807),0)</f>
        <v>339</v>
      </c>
      <c r="M809" s="20" t="s">
        <v>1128</v>
      </c>
      <c r="Z809" s="109"/>
      <c r="AA809" s="109"/>
      <c r="AB809" s="109"/>
      <c r="AC809" s="109"/>
      <c r="AD809" s="109"/>
      <c r="AE809" s="109"/>
      <c r="AF809" s="109"/>
      <c r="AG809" s="109"/>
      <c r="AH809" s="109"/>
      <c r="AI809" s="109"/>
      <c r="AJ809" s="109"/>
      <c r="AK809" s="109"/>
      <c r="AL809" s="109"/>
      <c r="AM809" s="109"/>
      <c r="AN809" s="109"/>
      <c r="AO809" s="109"/>
      <c r="AP809" s="109"/>
      <c r="AQ809" s="109"/>
      <c r="AR809" s="109"/>
      <c r="AS809" s="109"/>
    </row>
    <row r="810" spans="1:45" ht="12.6" customHeight="1" x14ac:dyDescent="0.3">
      <c r="A810" s="95" t="s">
        <v>85</v>
      </c>
      <c r="B810" s="96" t="s">
        <v>85</v>
      </c>
      <c r="C810" s="158">
        <f>C879</f>
        <v>23875</v>
      </c>
      <c r="D810" s="158">
        <f>D879</f>
        <v>12397</v>
      </c>
      <c r="E810" s="158">
        <f>E879</f>
        <v>4097</v>
      </c>
      <c r="F810" s="158">
        <f>F879</f>
        <v>7381</v>
      </c>
      <c r="G810" s="36" t="str">
        <f>HYPERLINK("#G"&amp;ROW(G866),"_x0005_`BDCOD|D01874_x0007_`POSS|"&amp;ROW(G812)&amp;"_x0007_`POSE|"&amp;ROW(G866)&amp;"_x0007_`")</f>
        <v>_x0005_`BDCOD|D01874_x0007_`POSS|812_x0007_`POSE|866_x0007_`</v>
      </c>
      <c r="Z810" s="109"/>
      <c r="AA810" s="109"/>
      <c r="AB810" s="109"/>
      <c r="AC810" s="109"/>
      <c r="AD810" s="109"/>
      <c r="AE810" s="109"/>
      <c r="AF810" s="109"/>
      <c r="AG810" s="109"/>
      <c r="AH810" s="109"/>
      <c r="AI810" s="109"/>
      <c r="AJ810" s="109"/>
      <c r="AK810" s="109"/>
      <c r="AL810" s="109"/>
      <c r="AM810" s="109"/>
      <c r="AN810" s="109"/>
      <c r="AO810" s="109"/>
      <c r="AP810" s="109"/>
      <c r="AQ810" s="109"/>
      <c r="AR810" s="109"/>
      <c r="AS810" s="109"/>
    </row>
    <row r="811" spans="1:45" ht="12.6" customHeight="1" x14ac:dyDescent="0.3">
      <c r="A811" s="84"/>
      <c r="B811" s="96" t="s">
        <v>222</v>
      </c>
      <c r="C811" s="141"/>
      <c r="D811" s="141"/>
      <c r="E811" s="141"/>
      <c r="F811" s="141"/>
      <c r="M811" s="20" t="s">
        <v>221</v>
      </c>
      <c r="Z811" s="109"/>
      <c r="AA811" s="109"/>
      <c r="AB811" s="109"/>
      <c r="AC811" s="109"/>
      <c r="AD811" s="109"/>
      <c r="AE811" s="109"/>
      <c r="AF811" s="109"/>
      <c r="AG811" s="109"/>
      <c r="AH811" s="109"/>
      <c r="AI811" s="109"/>
      <c r="AJ811" s="109"/>
      <c r="AK811" s="109"/>
      <c r="AL811" s="109"/>
      <c r="AM811" s="109"/>
      <c r="AN811" s="109"/>
      <c r="AO811" s="109"/>
      <c r="AP811" s="109"/>
      <c r="AQ811" s="109"/>
      <c r="AR811" s="109"/>
      <c r="AS811" s="109"/>
    </row>
    <row r="812" spans="1:45" ht="12.6" customHeight="1" x14ac:dyDescent="0.3">
      <c r="A812" s="78"/>
      <c r="B812" s="78"/>
      <c r="C812" s="98"/>
      <c r="D812" s="98"/>
      <c r="E812" s="98"/>
      <c r="F812" s="98"/>
      <c r="G812" s="16" t="s">
        <v>1317</v>
      </c>
      <c r="Z812" s="109"/>
      <c r="AA812" s="109"/>
      <c r="AB812" s="109"/>
      <c r="AC812" s="109"/>
      <c r="AD812" s="109"/>
      <c r="AE812" s="109"/>
      <c r="AF812" s="109"/>
      <c r="AG812" s="109"/>
      <c r="AH812" s="109"/>
      <c r="AI812" s="109"/>
      <c r="AJ812" s="109"/>
      <c r="AK812" s="109"/>
      <c r="AL812" s="109"/>
      <c r="AM812" s="109"/>
      <c r="AN812" s="109"/>
      <c r="AO812" s="109"/>
      <c r="AP812" s="109"/>
      <c r="AQ812" s="109"/>
      <c r="AR812" s="109"/>
      <c r="AS812" s="109"/>
    </row>
    <row r="813" spans="1:45" ht="12.6" customHeight="1" x14ac:dyDescent="0.3">
      <c r="A813" s="68"/>
      <c r="B813" s="77" t="s">
        <v>1663</v>
      </c>
      <c r="C813" s="78"/>
      <c r="D813" s="78"/>
      <c r="E813" s="78"/>
      <c r="F813" s="78"/>
      <c r="G813" s="16" t="s">
        <v>1662</v>
      </c>
      <c r="Z813" s="109"/>
      <c r="AA813" s="109"/>
      <c r="AB813" s="109"/>
      <c r="AC813" s="109"/>
      <c r="AD813" s="109"/>
      <c r="AE813" s="109"/>
      <c r="AF813" s="109"/>
      <c r="AG813" s="109"/>
      <c r="AH813" s="109"/>
      <c r="AI813" s="109"/>
      <c r="AJ813" s="109"/>
      <c r="AK813" s="109"/>
      <c r="AL813" s="109"/>
      <c r="AM813" s="109"/>
      <c r="AN813" s="109"/>
      <c r="AO813" s="109"/>
      <c r="AP813" s="109"/>
      <c r="AQ813" s="109"/>
      <c r="AR813" s="109"/>
      <c r="AS813" s="109"/>
    </row>
    <row r="814" spans="1:45" ht="12.6" customHeight="1" x14ac:dyDescent="0.3">
      <c r="A814" s="78"/>
      <c r="B814" s="78"/>
      <c r="C814" s="78"/>
      <c r="D814" s="78"/>
      <c r="E814" s="78"/>
      <c r="F814" s="78"/>
      <c r="G814" s="16" t="s">
        <v>1317</v>
      </c>
      <c r="Z814" s="109"/>
      <c r="AA814" s="109"/>
      <c r="AB814" s="109"/>
      <c r="AC814" s="109"/>
      <c r="AD814" s="109"/>
      <c r="AE814" s="109"/>
      <c r="AF814" s="109"/>
      <c r="AG814" s="109"/>
      <c r="AH814" s="109"/>
      <c r="AI814" s="109"/>
      <c r="AJ814" s="109"/>
      <c r="AK814" s="109"/>
      <c r="AL814" s="109"/>
      <c r="AM814" s="109"/>
      <c r="AN814" s="109"/>
      <c r="AO814" s="109"/>
      <c r="AP814" s="109"/>
      <c r="AQ814" s="109"/>
      <c r="AR814" s="109"/>
      <c r="AS814" s="109"/>
    </row>
    <row r="815" spans="1:45" ht="12.6" customHeight="1" x14ac:dyDescent="0.3">
      <c r="A815" s="68"/>
      <c r="B815" s="77" t="s">
        <v>1665</v>
      </c>
      <c r="C815" s="78"/>
      <c r="D815" s="78"/>
      <c r="E815" s="78"/>
      <c r="F815" s="78"/>
      <c r="G815" s="16" t="s">
        <v>1664</v>
      </c>
      <c r="Z815" s="109"/>
      <c r="AA815" s="109"/>
      <c r="AB815" s="109"/>
      <c r="AC815" s="109"/>
      <c r="AD815" s="109"/>
      <c r="AE815" s="109"/>
      <c r="AF815" s="109"/>
      <c r="AG815" s="109"/>
      <c r="AH815" s="109"/>
      <c r="AI815" s="109"/>
      <c r="AJ815" s="109"/>
      <c r="AK815" s="109"/>
      <c r="AL815" s="109"/>
      <c r="AM815" s="109"/>
      <c r="AN815" s="109"/>
      <c r="AO815" s="109"/>
      <c r="AP815" s="109"/>
      <c r="AQ815" s="109"/>
      <c r="AR815" s="109"/>
      <c r="AS815" s="109"/>
    </row>
    <row r="816" spans="1:45" ht="12.6" customHeight="1" x14ac:dyDescent="0.3">
      <c r="A816" s="78"/>
      <c r="B816" s="78"/>
      <c r="C816" s="78"/>
      <c r="D816" s="78"/>
      <c r="E816" s="78"/>
      <c r="F816" s="78"/>
      <c r="G816" s="16" t="s">
        <v>1317</v>
      </c>
      <c r="Z816" s="109"/>
      <c r="AA816" s="109"/>
      <c r="AB816" s="109"/>
      <c r="AC816" s="109"/>
      <c r="AD816" s="109"/>
      <c r="AE816" s="109"/>
      <c r="AF816" s="109"/>
      <c r="AG816" s="109"/>
      <c r="AH816" s="109"/>
      <c r="AI816" s="109"/>
      <c r="AJ816" s="109"/>
      <c r="AK816" s="109"/>
      <c r="AL816" s="109"/>
      <c r="AM816" s="109"/>
      <c r="AN816" s="109"/>
      <c r="AO816" s="109"/>
      <c r="AP816" s="109"/>
      <c r="AQ816" s="109"/>
      <c r="AR816" s="109"/>
      <c r="AS816" s="109"/>
    </row>
    <row r="817" spans="1:45" ht="12.6" customHeight="1" x14ac:dyDescent="0.3">
      <c r="A817" s="68"/>
      <c r="B817" s="77" t="s">
        <v>1667</v>
      </c>
      <c r="C817" s="78"/>
      <c r="D817" s="78"/>
      <c r="E817" s="78"/>
      <c r="F817" s="78"/>
      <c r="G817" s="16" t="s">
        <v>1666</v>
      </c>
      <c r="Z817" s="109"/>
      <c r="AA817" s="109"/>
      <c r="AB817" s="109"/>
      <c r="AC817" s="109"/>
      <c r="AD817" s="109"/>
      <c r="AE817" s="109"/>
      <c r="AF817" s="109"/>
      <c r="AG817" s="109"/>
      <c r="AH817" s="109"/>
      <c r="AI817" s="109"/>
      <c r="AJ817" s="109"/>
      <c r="AK817" s="109"/>
      <c r="AL817" s="109"/>
      <c r="AM817" s="109"/>
      <c r="AN817" s="109"/>
      <c r="AO817" s="109"/>
      <c r="AP817" s="109"/>
      <c r="AQ817" s="109"/>
      <c r="AR817" s="109"/>
      <c r="AS817" s="109"/>
    </row>
    <row r="818" spans="1:45" ht="12.6" customHeight="1" x14ac:dyDescent="0.3">
      <c r="A818" s="78"/>
      <c r="B818" s="78"/>
      <c r="C818" s="78"/>
      <c r="D818" s="78"/>
      <c r="E818" s="78"/>
      <c r="F818" s="78"/>
      <c r="G818" s="16" t="s">
        <v>1317</v>
      </c>
      <c r="Z818" s="109"/>
      <c r="AA818" s="109"/>
      <c r="AB818" s="109"/>
      <c r="AC818" s="109"/>
      <c r="AD818" s="109"/>
      <c r="AE818" s="109"/>
      <c r="AF818" s="109"/>
      <c r="AG818" s="109"/>
      <c r="AH818" s="109"/>
      <c r="AI818" s="109"/>
      <c r="AJ818" s="109"/>
      <c r="AK818" s="109"/>
      <c r="AL818" s="109"/>
      <c r="AM818" s="109"/>
      <c r="AN818" s="109"/>
      <c r="AO818" s="109"/>
      <c r="AP818" s="109"/>
      <c r="AQ818" s="109"/>
      <c r="AR818" s="109"/>
      <c r="AS818" s="109"/>
    </row>
    <row r="819" spans="1:45" ht="12.6" customHeight="1" x14ac:dyDescent="0.3">
      <c r="A819" s="68"/>
      <c r="B819" s="97" t="str">
        <f>"Q (시간당작업량) ="&amp;Z819&amp;"= "&amp;AB819&amp;"  ㎥/hr "</f>
        <v xml:space="preserve">Q (시간당작업량) =5= 5.00  ㎥/hr </v>
      </c>
      <c r="C819" s="78"/>
      <c r="D819" s="78"/>
      <c r="E819" s="78"/>
      <c r="F819" s="78"/>
      <c r="G819" s="16" t="s">
        <v>1668</v>
      </c>
      <c r="Z819" s="111">
        <v>5</v>
      </c>
      <c r="AA819" s="20" t="s">
        <v>1326</v>
      </c>
      <c r="AB819" s="112" t="str">
        <f>TEXT(ROUND(Z819,2),"0.00")</f>
        <v>5.00</v>
      </c>
      <c r="AC819" s="109"/>
      <c r="AD819" s="109"/>
      <c r="AE819" s="109"/>
      <c r="AF819" s="109"/>
      <c r="AG819" s="109"/>
      <c r="AH819" s="109"/>
      <c r="AI819" s="109"/>
      <c r="AJ819" s="109"/>
      <c r="AK819" s="109"/>
      <c r="AL819" s="109"/>
      <c r="AM819" s="109"/>
      <c r="AN819" s="109"/>
      <c r="AO819" s="109"/>
      <c r="AP819" s="109"/>
      <c r="AQ819" s="109"/>
      <c r="AR819" s="109"/>
      <c r="AS819" s="109"/>
    </row>
    <row r="820" spans="1:45" ht="12.6" customHeight="1" x14ac:dyDescent="0.3">
      <c r="A820" s="78"/>
      <c r="B820" s="78"/>
      <c r="C820" s="78"/>
      <c r="D820" s="78"/>
      <c r="E820" s="78"/>
      <c r="F820" s="78"/>
      <c r="G820" s="16" t="s">
        <v>1317</v>
      </c>
      <c r="Z820" s="109"/>
      <c r="AA820" s="109"/>
      <c r="AB820" s="109"/>
      <c r="AC820" s="109"/>
      <c r="AD820" s="109"/>
      <c r="AE820" s="109"/>
      <c r="AF820" s="109"/>
      <c r="AG820" s="109"/>
      <c r="AH820" s="109"/>
      <c r="AI820" s="109"/>
      <c r="AJ820" s="109"/>
      <c r="AK820" s="109"/>
      <c r="AL820" s="109"/>
      <c r="AM820" s="109"/>
      <c r="AN820" s="109"/>
      <c r="AO820" s="109"/>
      <c r="AP820" s="109"/>
      <c r="AQ820" s="109"/>
      <c r="AR820" s="109"/>
      <c r="AS820" s="109"/>
    </row>
    <row r="821" spans="1:45" ht="12.6" customHeight="1" x14ac:dyDescent="0.3">
      <c r="A821" s="78"/>
      <c r="B821" s="78"/>
      <c r="C821" s="78"/>
      <c r="D821" s="78"/>
      <c r="E821" s="78"/>
      <c r="F821" s="78"/>
      <c r="G821" s="16" t="s">
        <v>1317</v>
      </c>
      <c r="Z821" s="109"/>
      <c r="AA821" s="109"/>
      <c r="AB821" s="109"/>
      <c r="AC821" s="109"/>
      <c r="AD821" s="109"/>
      <c r="AE821" s="109"/>
      <c r="AF821" s="109"/>
      <c r="AG821" s="109"/>
      <c r="AH821" s="109"/>
      <c r="AI821" s="109"/>
      <c r="AJ821" s="109"/>
      <c r="AK821" s="109"/>
      <c r="AL821" s="109"/>
      <c r="AM821" s="109"/>
      <c r="AN821" s="109"/>
      <c r="AO821" s="109"/>
      <c r="AP821" s="109"/>
      <c r="AQ821" s="109"/>
      <c r="AR821" s="109"/>
      <c r="AS821" s="109"/>
    </row>
    <row r="822" spans="1:45" ht="12.6" customHeight="1" x14ac:dyDescent="0.3">
      <c r="A822" s="68" t="s">
        <v>1420</v>
      </c>
      <c r="B822" s="97" t="str">
        <f>" 노 무 비  :   "&amp;TEXT(I822,"#,##0"&amp;IF(I822&lt;&gt;INT(I822),".###",""))&amp;" / Q = "&amp;TEXT(C822,"#,##0.0")&amp;""</f>
        <v xml:space="preserve"> 노 무 비  :   55,700 / Q = 11,140.0</v>
      </c>
      <c r="C822" s="99">
        <f>E822+D822+F822</f>
        <v>11140</v>
      </c>
      <c r="D822" s="99">
        <f>IF(H822=0,0,ROUNDDOWN(J822*H822,1))</f>
        <v>11140</v>
      </c>
      <c r="E822" s="99">
        <f>IF(H822=0,0,ROUNDDOWN(K822*H822,1))</f>
        <v>0</v>
      </c>
      <c r="F822" s="99">
        <f>IF(H822=0,0,ROUNDDOWN(L822*H822,1))</f>
        <v>0</v>
      </c>
      <c r="G822" s="16" t="s">
        <v>1419</v>
      </c>
      <c r="H822" s="105">
        <f>AC822</f>
        <v>0.2</v>
      </c>
      <c r="I822" s="106">
        <f>K822+J822+L822</f>
        <v>55700</v>
      </c>
      <c r="J822" s="39">
        <f>중기목록표!F10</f>
        <v>55700</v>
      </c>
      <c r="M822" s="20" t="s">
        <v>1421</v>
      </c>
      <c r="N822" s="20" t="s">
        <v>1332</v>
      </c>
      <c r="X822" s="108" t="str">
        <f>중기목록표!B10&amp;" / "&amp;중기목록표!C10</f>
        <v xml:space="preserve">굴삭기+브레카(0.7m3) / </v>
      </c>
      <c r="Y822" s="19" t="str">
        <f ca="1">HYPERLINK("#"&amp;중기목록표!J2&amp;"!A"&amp;ROW(중기목록표!A10),"중기    7 →")</f>
        <v>중기    7 →</v>
      </c>
      <c r="Z822" s="20" t="s">
        <v>1393</v>
      </c>
      <c r="AA822" s="112" t="str">
        <f>AB819</f>
        <v>5.00</v>
      </c>
      <c r="AB822" s="20" t="s">
        <v>1326</v>
      </c>
      <c r="AC822" s="113">
        <f>1/AB819</f>
        <v>0.2</v>
      </c>
      <c r="AD822" s="109"/>
      <c r="AE822" s="109"/>
      <c r="AF822" s="109"/>
      <c r="AG822" s="109"/>
      <c r="AH822" s="109"/>
      <c r="AI822" s="109"/>
      <c r="AJ822" s="109"/>
      <c r="AK822" s="109"/>
      <c r="AL822" s="109"/>
      <c r="AM822" s="109"/>
      <c r="AN822" s="109"/>
      <c r="AO822" s="109"/>
      <c r="AP822" s="109"/>
      <c r="AQ822" s="109"/>
      <c r="AR822" s="109"/>
      <c r="AS822" s="109"/>
    </row>
    <row r="823" spans="1:45" ht="12.6" customHeight="1" x14ac:dyDescent="0.3">
      <c r="A823" s="78"/>
      <c r="B823" s="78"/>
      <c r="C823" s="78"/>
      <c r="D823" s="78"/>
      <c r="E823" s="78"/>
      <c r="F823" s="78"/>
      <c r="G823" s="16" t="s">
        <v>1317</v>
      </c>
      <c r="Z823" s="109"/>
      <c r="AA823" s="109"/>
      <c r="AB823" s="109"/>
      <c r="AC823" s="109"/>
      <c r="AD823" s="109"/>
      <c r="AE823" s="109"/>
      <c r="AF823" s="109"/>
      <c r="AG823" s="109"/>
      <c r="AH823" s="109"/>
      <c r="AI823" s="109"/>
      <c r="AJ823" s="109"/>
      <c r="AK823" s="109"/>
      <c r="AL823" s="109"/>
      <c r="AM823" s="109"/>
      <c r="AN823" s="109"/>
      <c r="AO823" s="109"/>
      <c r="AP823" s="109"/>
      <c r="AQ823" s="109"/>
      <c r="AR823" s="109"/>
      <c r="AS823" s="109"/>
    </row>
    <row r="824" spans="1:45" ht="12.6" customHeight="1" x14ac:dyDescent="0.3">
      <c r="A824" s="78"/>
      <c r="B824" s="78"/>
      <c r="C824" s="78"/>
      <c r="D824" s="78"/>
      <c r="E824" s="78"/>
      <c r="F824" s="78"/>
      <c r="G824" s="16" t="s">
        <v>1317</v>
      </c>
      <c r="Z824" s="109"/>
      <c r="AA824" s="109"/>
      <c r="AB824" s="109"/>
      <c r="AC824" s="109"/>
      <c r="AD824" s="109"/>
      <c r="AE824" s="109"/>
      <c r="AF824" s="109"/>
      <c r="AG824" s="109"/>
      <c r="AH824" s="109"/>
      <c r="AI824" s="109"/>
      <c r="AJ824" s="109"/>
      <c r="AK824" s="109"/>
      <c r="AL824" s="109"/>
      <c r="AM824" s="109"/>
      <c r="AN824" s="109"/>
      <c r="AO824" s="109"/>
      <c r="AP824" s="109"/>
      <c r="AQ824" s="109"/>
      <c r="AR824" s="109"/>
      <c r="AS824" s="109"/>
    </row>
    <row r="825" spans="1:45" ht="12.6" customHeight="1" x14ac:dyDescent="0.3">
      <c r="A825" s="68" t="s">
        <v>1423</v>
      </c>
      <c r="B825" s="97" t="str">
        <f>" 재 료 비  :   "&amp;TEXT(I825,"#,##0"&amp;IF(I825&lt;&gt;INT(I825),".###",""))&amp;" / Q = "&amp;TEXT(C825,"#,##0.0")&amp;""</f>
        <v xml:space="preserve"> 재 료 비  :   17,116 / Q = 3,423.2</v>
      </c>
      <c r="C825" s="99">
        <f>E825+D825+F825</f>
        <v>3423.2</v>
      </c>
      <c r="D825" s="99">
        <f>IF(H825=0,0,ROUNDDOWN(J825*H825,1))</f>
        <v>0</v>
      </c>
      <c r="E825" s="99">
        <f>IF(H825=0,0,ROUNDDOWN(K825*H825,1))</f>
        <v>3423.2</v>
      </c>
      <c r="F825" s="99">
        <f>IF(H825=0,0,ROUNDDOWN(L825*H825,1))</f>
        <v>0</v>
      </c>
      <c r="G825" s="16" t="s">
        <v>1422</v>
      </c>
      <c r="H825" s="105">
        <f>AC825</f>
        <v>0.2</v>
      </c>
      <c r="I825" s="106">
        <f>K825+J825+L825</f>
        <v>17116</v>
      </c>
      <c r="K825" s="39">
        <f>중기목록표!G10</f>
        <v>17116</v>
      </c>
      <c r="M825" s="20" t="s">
        <v>1421</v>
      </c>
      <c r="N825" s="20" t="s">
        <v>1332</v>
      </c>
      <c r="X825" s="108" t="str">
        <f>중기목록표!B10&amp;" / "&amp;중기목록표!C10</f>
        <v xml:space="preserve">굴삭기+브레카(0.7m3) / </v>
      </c>
      <c r="Y825" s="19" t="str">
        <f ca="1">HYPERLINK("#"&amp;중기목록표!J2&amp;"!A"&amp;ROW(중기목록표!A10),"중기    7 →")</f>
        <v>중기    7 →</v>
      </c>
      <c r="Z825" s="20" t="s">
        <v>1393</v>
      </c>
      <c r="AA825" s="112" t="str">
        <f>AB819</f>
        <v>5.00</v>
      </c>
      <c r="AB825" s="20" t="s">
        <v>1326</v>
      </c>
      <c r="AC825" s="113">
        <f>1/AB819</f>
        <v>0.2</v>
      </c>
      <c r="AD825" s="109"/>
      <c r="AE825" s="109"/>
      <c r="AF825" s="109"/>
      <c r="AG825" s="109"/>
      <c r="AH825" s="109"/>
      <c r="AI825" s="109"/>
      <c r="AJ825" s="109"/>
      <c r="AK825" s="109"/>
      <c r="AL825" s="109"/>
      <c r="AM825" s="109"/>
      <c r="AN825" s="109"/>
      <c r="AO825" s="109"/>
      <c r="AP825" s="109"/>
      <c r="AQ825" s="109"/>
      <c r="AR825" s="109"/>
      <c r="AS825" s="109"/>
    </row>
    <row r="826" spans="1:45" ht="12.6" customHeight="1" x14ac:dyDescent="0.3">
      <c r="A826" s="78"/>
      <c r="B826" s="78"/>
      <c r="C826" s="78"/>
      <c r="D826" s="78"/>
      <c r="E826" s="78"/>
      <c r="F826" s="78"/>
      <c r="G826" s="16" t="s">
        <v>1317</v>
      </c>
      <c r="Z826" s="109"/>
      <c r="AA826" s="109"/>
      <c r="AB826" s="109"/>
      <c r="AC826" s="109"/>
      <c r="AD826" s="109"/>
      <c r="AE826" s="109"/>
      <c r="AF826" s="109"/>
      <c r="AG826" s="109"/>
      <c r="AH826" s="109"/>
      <c r="AI826" s="109"/>
      <c r="AJ826" s="109"/>
      <c r="AK826" s="109"/>
      <c r="AL826" s="109"/>
      <c r="AM826" s="109"/>
      <c r="AN826" s="109"/>
      <c r="AO826" s="109"/>
      <c r="AP826" s="109"/>
      <c r="AQ826" s="109"/>
      <c r="AR826" s="109"/>
      <c r="AS826" s="109"/>
    </row>
    <row r="827" spans="1:45" ht="12.6" customHeight="1" x14ac:dyDescent="0.3">
      <c r="A827" s="78"/>
      <c r="B827" s="78"/>
      <c r="C827" s="78"/>
      <c r="D827" s="78"/>
      <c r="E827" s="78"/>
      <c r="F827" s="78"/>
      <c r="G827" s="16" t="s">
        <v>1317</v>
      </c>
      <c r="Z827" s="109"/>
      <c r="AA827" s="109"/>
      <c r="AB827" s="109"/>
      <c r="AC827" s="109"/>
      <c r="AD827" s="109"/>
      <c r="AE827" s="109"/>
      <c r="AF827" s="109"/>
      <c r="AG827" s="109"/>
      <c r="AH827" s="109"/>
      <c r="AI827" s="109"/>
      <c r="AJ827" s="109"/>
      <c r="AK827" s="109"/>
      <c r="AL827" s="109"/>
      <c r="AM827" s="109"/>
      <c r="AN827" s="109"/>
      <c r="AO827" s="109"/>
      <c r="AP827" s="109"/>
      <c r="AQ827" s="109"/>
      <c r="AR827" s="109"/>
      <c r="AS827" s="109"/>
    </row>
    <row r="828" spans="1:45" ht="12.6" customHeight="1" x14ac:dyDescent="0.3">
      <c r="A828" s="68" t="s">
        <v>1425</v>
      </c>
      <c r="B828" s="97" t="str">
        <f>" 경    비  :   "&amp;TEXT(I828,"#,##0"&amp;IF(I828&lt;&gt;INT(I828),".###",""))&amp;" / Q = "&amp;TEXT(C828,"#,##0.0")&amp;""</f>
        <v xml:space="preserve"> 경    비  :   33,897 / Q = 6,779.4</v>
      </c>
      <c r="C828" s="99">
        <f>E828+D828+F828</f>
        <v>6779.4</v>
      </c>
      <c r="D828" s="99">
        <f>IF(H828=0,0,ROUNDDOWN(J828*H828,1))</f>
        <v>0</v>
      </c>
      <c r="E828" s="99">
        <f>IF(H828=0,0,ROUNDDOWN(K828*H828,1))</f>
        <v>0</v>
      </c>
      <c r="F828" s="99">
        <f>IF(H828=0,0,ROUNDDOWN(L828*H828,1))</f>
        <v>6779.4</v>
      </c>
      <c r="G828" s="16" t="s">
        <v>1424</v>
      </c>
      <c r="H828" s="105">
        <f>AC828</f>
        <v>0.2</v>
      </c>
      <c r="I828" s="106">
        <f>K828+J828+L828</f>
        <v>33897</v>
      </c>
      <c r="L828" s="39">
        <f>중기목록표!H10</f>
        <v>33897</v>
      </c>
      <c r="M828" s="20" t="s">
        <v>1421</v>
      </c>
      <c r="N828" s="20" t="s">
        <v>1332</v>
      </c>
      <c r="X828" s="108" t="str">
        <f>중기목록표!B10&amp;" / "&amp;중기목록표!C10</f>
        <v xml:space="preserve">굴삭기+브레카(0.7m3) / </v>
      </c>
      <c r="Y828" s="19" t="str">
        <f ca="1">HYPERLINK("#"&amp;중기목록표!J2&amp;"!A"&amp;ROW(중기목록표!A10),"중기    7 →")</f>
        <v>중기    7 →</v>
      </c>
      <c r="Z828" s="20" t="s">
        <v>1393</v>
      </c>
      <c r="AA828" s="112" t="str">
        <f>AB819</f>
        <v>5.00</v>
      </c>
      <c r="AB828" s="20" t="s">
        <v>1326</v>
      </c>
      <c r="AC828" s="113">
        <f>1/AB819</f>
        <v>0.2</v>
      </c>
      <c r="AD828" s="109"/>
      <c r="AE828" s="109"/>
      <c r="AF828" s="109"/>
      <c r="AG828" s="109"/>
      <c r="AH828" s="109"/>
      <c r="AI828" s="109"/>
      <c r="AJ828" s="109"/>
      <c r="AK828" s="109"/>
      <c r="AL828" s="109"/>
      <c r="AM828" s="109"/>
      <c r="AN828" s="109"/>
      <c r="AO828" s="109"/>
      <c r="AP828" s="109"/>
      <c r="AQ828" s="109"/>
      <c r="AR828" s="109"/>
      <c r="AS828" s="109"/>
    </row>
    <row r="829" spans="1:45" ht="12.6" customHeight="1" x14ac:dyDescent="0.3">
      <c r="A829" s="78"/>
      <c r="B829" s="78"/>
      <c r="C829" s="78"/>
      <c r="D829" s="78"/>
      <c r="E829" s="78"/>
      <c r="F829" s="78"/>
      <c r="G829" s="16" t="s">
        <v>1317</v>
      </c>
      <c r="Z829" s="109"/>
      <c r="AA829" s="109"/>
      <c r="AB829" s="109"/>
      <c r="AC829" s="109"/>
      <c r="AD829" s="109"/>
      <c r="AE829" s="109"/>
      <c r="AF829" s="109"/>
      <c r="AG829" s="109"/>
      <c r="AH829" s="109"/>
      <c r="AI829" s="109"/>
      <c r="AJ829" s="109"/>
      <c r="AK829" s="109"/>
      <c r="AL829" s="109"/>
      <c r="AM829" s="109"/>
      <c r="AN829" s="109"/>
      <c r="AO829" s="109"/>
      <c r="AP829" s="109"/>
      <c r="AQ829" s="109"/>
      <c r="AR829" s="109"/>
      <c r="AS829" s="109"/>
    </row>
    <row r="830" spans="1:45" ht="12.6" customHeight="1" x14ac:dyDescent="0.3">
      <c r="A830" s="78"/>
      <c r="B830" s="78"/>
      <c r="C830" s="78"/>
      <c r="D830" s="78"/>
      <c r="E830" s="78"/>
      <c r="F830" s="78"/>
      <c r="G830" s="16" t="s">
        <v>1669</v>
      </c>
      <c r="Z830" s="109"/>
      <c r="AA830" s="109"/>
      <c r="AB830" s="109"/>
      <c r="AC830" s="109"/>
      <c r="AD830" s="109"/>
      <c r="AE830" s="109"/>
      <c r="AF830" s="109"/>
      <c r="AG830" s="109"/>
      <c r="AH830" s="109"/>
      <c r="AI830" s="109"/>
      <c r="AJ830" s="109"/>
      <c r="AK830" s="109"/>
      <c r="AL830" s="109"/>
      <c r="AM830" s="109"/>
      <c r="AN830" s="109"/>
      <c r="AO830" s="109"/>
      <c r="AP830" s="109"/>
      <c r="AQ830" s="109"/>
      <c r="AR830" s="109"/>
      <c r="AS830" s="109"/>
    </row>
    <row r="831" spans="1:45" ht="12.6" customHeight="1" x14ac:dyDescent="0.3">
      <c r="A831" s="68"/>
      <c r="B831" s="77" t="s">
        <v>1331</v>
      </c>
      <c r="C831" s="100">
        <f>E831+D831+F831</f>
        <v>21342.6</v>
      </c>
      <c r="D831" s="100">
        <f>SUMIF(N812:N830,M831,D812:D830)</f>
        <v>11140</v>
      </c>
      <c r="E831" s="100">
        <f>SUMIF(N812:N830,M831,E812:E830)</f>
        <v>3423.2</v>
      </c>
      <c r="F831" s="100">
        <f>SUMIF(N812:N830,M831,F812:F830)</f>
        <v>6779.4</v>
      </c>
      <c r="G831" s="16" t="s">
        <v>1415</v>
      </c>
      <c r="M831" s="20" t="s">
        <v>1332</v>
      </c>
      <c r="N831" s="20" t="s">
        <v>1341</v>
      </c>
      <c r="Z831" s="109"/>
      <c r="AA831" s="109"/>
      <c r="AB831" s="109"/>
      <c r="AC831" s="109"/>
      <c r="AD831" s="109"/>
      <c r="AE831" s="109"/>
      <c r="AF831" s="109"/>
      <c r="AG831" s="109"/>
      <c r="AH831" s="109"/>
      <c r="AI831" s="109"/>
      <c r="AJ831" s="109"/>
      <c r="AK831" s="109"/>
      <c r="AL831" s="109"/>
      <c r="AM831" s="109"/>
      <c r="AN831" s="109"/>
      <c r="AO831" s="109"/>
      <c r="AP831" s="109"/>
      <c r="AQ831" s="109"/>
      <c r="AR831" s="109"/>
      <c r="AS831" s="109"/>
    </row>
    <row r="832" spans="1:45" ht="12.6" customHeight="1" x14ac:dyDescent="0.3">
      <c r="A832" s="78"/>
      <c r="B832" s="78"/>
      <c r="C832" s="98"/>
      <c r="D832" s="98"/>
      <c r="E832" s="98"/>
      <c r="F832" s="98"/>
      <c r="G832" s="16" t="s">
        <v>1317</v>
      </c>
      <c r="Z832" s="109"/>
      <c r="AA832" s="109"/>
      <c r="AB832" s="109"/>
      <c r="AC832" s="109"/>
      <c r="AD832" s="109"/>
      <c r="AE832" s="109"/>
      <c r="AF832" s="109"/>
      <c r="AG832" s="109"/>
      <c r="AH832" s="109"/>
      <c r="AI832" s="109"/>
      <c r="AJ832" s="109"/>
      <c r="AK832" s="109"/>
      <c r="AL832" s="109"/>
      <c r="AM832" s="109"/>
      <c r="AN832" s="109"/>
      <c r="AO832" s="109"/>
      <c r="AP832" s="109"/>
      <c r="AQ832" s="109"/>
      <c r="AR832" s="109"/>
      <c r="AS832" s="109"/>
    </row>
    <row r="833" spans="1:45" ht="12.6" customHeight="1" x14ac:dyDescent="0.3">
      <c r="A833" s="78"/>
      <c r="B833" s="78"/>
      <c r="C833" s="78"/>
      <c r="D833" s="78"/>
      <c r="E833" s="78"/>
      <c r="F833" s="78"/>
      <c r="G833" s="16" t="s">
        <v>1317</v>
      </c>
      <c r="Z833" s="109"/>
      <c r="AA833" s="109"/>
      <c r="AB833" s="109"/>
      <c r="AC833" s="109"/>
      <c r="AD833" s="109"/>
      <c r="AE833" s="109"/>
      <c r="AF833" s="109"/>
      <c r="AG833" s="109"/>
      <c r="AH833" s="109"/>
      <c r="AI833" s="109"/>
      <c r="AJ833" s="109"/>
      <c r="AK833" s="109"/>
      <c r="AL833" s="109"/>
      <c r="AM833" s="109"/>
      <c r="AN833" s="109"/>
      <c r="AO833" s="109"/>
      <c r="AP833" s="109"/>
      <c r="AQ833" s="109"/>
      <c r="AR833" s="109"/>
      <c r="AS833" s="109"/>
    </row>
    <row r="834" spans="1:45" ht="12.6" customHeight="1" x14ac:dyDescent="0.3">
      <c r="A834" s="68"/>
      <c r="B834" s="77" t="s">
        <v>1624</v>
      </c>
      <c r="C834" s="78"/>
      <c r="D834" s="78"/>
      <c r="E834" s="78"/>
      <c r="F834" s="78"/>
      <c r="G834" s="16" t="s">
        <v>1623</v>
      </c>
      <c r="Z834" s="109"/>
      <c r="AA834" s="109"/>
      <c r="AB834" s="109"/>
      <c r="AC834" s="109"/>
      <c r="AD834" s="109"/>
      <c r="AE834" s="109"/>
      <c r="AF834" s="109"/>
      <c r="AG834" s="109"/>
      <c r="AH834" s="109"/>
      <c r="AI834" s="109"/>
      <c r="AJ834" s="109"/>
      <c r="AK834" s="109"/>
      <c r="AL834" s="109"/>
      <c r="AM834" s="109"/>
      <c r="AN834" s="109"/>
      <c r="AO834" s="109"/>
      <c r="AP834" s="109"/>
      <c r="AQ834" s="109"/>
      <c r="AR834" s="109"/>
      <c r="AS834" s="109"/>
    </row>
    <row r="835" spans="1:45" ht="12.6" customHeight="1" x14ac:dyDescent="0.3">
      <c r="A835" s="78"/>
      <c r="B835" s="78"/>
      <c r="C835" s="78"/>
      <c r="D835" s="78"/>
      <c r="E835" s="78"/>
      <c r="F835" s="78"/>
      <c r="G835" s="16" t="s">
        <v>1317</v>
      </c>
      <c r="Z835" s="109"/>
      <c r="AA835" s="109"/>
      <c r="AB835" s="109"/>
      <c r="AC835" s="109"/>
      <c r="AD835" s="109"/>
      <c r="AE835" s="109"/>
      <c r="AF835" s="109"/>
      <c r="AG835" s="109"/>
      <c r="AH835" s="109"/>
      <c r="AI835" s="109"/>
      <c r="AJ835" s="109"/>
      <c r="AK835" s="109"/>
      <c r="AL835" s="109"/>
      <c r="AM835" s="109"/>
      <c r="AN835" s="109"/>
      <c r="AO835" s="109"/>
      <c r="AP835" s="109"/>
      <c r="AQ835" s="109"/>
      <c r="AR835" s="109"/>
      <c r="AS835" s="109"/>
    </row>
    <row r="836" spans="1:45" ht="12.6" customHeight="1" x14ac:dyDescent="0.3">
      <c r="A836" s="78"/>
      <c r="B836" s="78"/>
      <c r="C836" s="78"/>
      <c r="D836" s="78"/>
      <c r="E836" s="78"/>
      <c r="F836" s="78"/>
      <c r="G836" s="16" t="s">
        <v>1317</v>
      </c>
      <c r="Z836" s="109"/>
      <c r="AA836" s="109"/>
      <c r="AB836" s="109"/>
      <c r="AC836" s="109"/>
      <c r="AD836" s="109"/>
      <c r="AE836" s="109"/>
      <c r="AF836" s="109"/>
      <c r="AG836" s="109"/>
      <c r="AH836" s="109"/>
      <c r="AI836" s="109"/>
      <c r="AJ836" s="109"/>
      <c r="AK836" s="109"/>
      <c r="AL836" s="109"/>
      <c r="AM836" s="109"/>
      <c r="AN836" s="109"/>
      <c r="AO836" s="109"/>
      <c r="AP836" s="109"/>
      <c r="AQ836" s="109"/>
      <c r="AR836" s="109"/>
      <c r="AS836" s="109"/>
    </row>
    <row r="837" spans="1:45" ht="12.6" customHeight="1" x14ac:dyDescent="0.3">
      <c r="A837" s="68" t="s">
        <v>1430</v>
      </c>
      <c r="B837" s="97" t="str">
        <f>"   "&amp;Z837&amp;" * "&amp;TEXT(I837,"#,##0"&amp;IF(I837&lt;&gt;INT(I837),".###",""))&amp;"/ Q= "&amp;TEXT(C837,"#,##0.0")&amp;" W/㎥ "</f>
        <v xml:space="preserve">   0.006 * 223,000/ Q= 267.6 W/㎥ </v>
      </c>
      <c r="C837" s="99">
        <f>E837+D837+F837</f>
        <v>267.60000000000002</v>
      </c>
      <c r="D837" s="99">
        <f>IF(H837=0,0,ROUNDDOWN(J837*H837,1))</f>
        <v>0</v>
      </c>
      <c r="E837" s="99">
        <f>IF(H837=0,0,ROUNDDOWN(K837*H837,1))</f>
        <v>267.60000000000002</v>
      </c>
      <c r="F837" s="99">
        <f>IF(H837=0,0,ROUNDDOWN(L837*H837,1))</f>
        <v>0</v>
      </c>
      <c r="G837" s="16" t="s">
        <v>1670</v>
      </c>
      <c r="H837" s="105">
        <f>AD837</f>
        <v>1.2000000000000001E-3</v>
      </c>
      <c r="I837" s="106">
        <f>K837+J837+L837</f>
        <v>223000</v>
      </c>
      <c r="K837" s="39">
        <f>재료비목록표!E23</f>
        <v>223000</v>
      </c>
      <c r="M837" s="20" t="s">
        <v>1431</v>
      </c>
      <c r="N837" s="20" t="s">
        <v>1332</v>
      </c>
      <c r="X837" s="108" t="str">
        <f>재료비목록표!B23&amp;" / "&amp;재료비목록표!C23</f>
        <v>치즐 / 0.7m3</v>
      </c>
      <c r="Y837" s="19" t="str">
        <f ca="1">HYPERLINK("#"&amp;재료비목록표!G2&amp;"!A"&amp;ROW(재료비목록표!A23),"자재   20 →")</f>
        <v>자재   20 →</v>
      </c>
      <c r="Z837" s="110">
        <v>6.0000000000000001E-3</v>
      </c>
      <c r="AA837" s="20" t="s">
        <v>1432</v>
      </c>
      <c r="AB837" s="112" t="str">
        <f>AB819</f>
        <v>5.00</v>
      </c>
      <c r="AC837" s="20" t="s">
        <v>1326</v>
      </c>
      <c r="AD837" s="113">
        <f>Z837*1/AB819</f>
        <v>1.2000000000000001E-3</v>
      </c>
      <c r="AE837" s="109"/>
      <c r="AF837" s="109"/>
      <c r="AG837" s="109"/>
      <c r="AH837" s="109"/>
      <c r="AI837" s="109"/>
      <c r="AJ837" s="109"/>
      <c r="AK837" s="109"/>
      <c r="AL837" s="109"/>
      <c r="AM837" s="109"/>
      <c r="AN837" s="109"/>
      <c r="AO837" s="109"/>
      <c r="AP837" s="109"/>
      <c r="AQ837" s="109"/>
      <c r="AR837" s="109"/>
      <c r="AS837" s="109"/>
    </row>
    <row r="838" spans="1:45" ht="12.6" customHeight="1" x14ac:dyDescent="0.3">
      <c r="A838" s="78"/>
      <c r="B838" s="78"/>
      <c r="C838" s="78"/>
      <c r="D838" s="78"/>
      <c r="E838" s="78"/>
      <c r="F838" s="78"/>
      <c r="G838" s="16" t="s">
        <v>1317</v>
      </c>
      <c r="Z838" s="109"/>
      <c r="AA838" s="109"/>
      <c r="AB838" s="109"/>
      <c r="AC838" s="109"/>
      <c r="AD838" s="109"/>
      <c r="AE838" s="109"/>
      <c r="AF838" s="109"/>
      <c r="AG838" s="109"/>
      <c r="AH838" s="109"/>
      <c r="AI838" s="109"/>
      <c r="AJ838" s="109"/>
      <c r="AK838" s="109"/>
      <c r="AL838" s="109"/>
      <c r="AM838" s="109"/>
      <c r="AN838" s="109"/>
      <c r="AO838" s="109"/>
      <c r="AP838" s="109"/>
      <c r="AQ838" s="109"/>
      <c r="AR838" s="109"/>
      <c r="AS838" s="109"/>
    </row>
    <row r="839" spans="1:45" ht="12.6" customHeight="1" x14ac:dyDescent="0.3">
      <c r="A839" s="68"/>
      <c r="B839" s="77" t="s">
        <v>1331</v>
      </c>
      <c r="C839" s="100">
        <f>E839+D839+F839</f>
        <v>267.60000000000002</v>
      </c>
      <c r="D839" s="100">
        <f>SUMIF(N832:N838,M839,D832:D838)</f>
        <v>0</v>
      </c>
      <c r="E839" s="100">
        <f>SUMIF(N832:N838,M839,E832:E838)</f>
        <v>267.60000000000002</v>
      </c>
      <c r="F839" s="100">
        <f>SUMIF(N832:N838,M839,F832:F838)</f>
        <v>0</v>
      </c>
      <c r="G839" s="16" t="s">
        <v>1415</v>
      </c>
      <c r="M839" s="20" t="s">
        <v>1332</v>
      </c>
      <c r="N839" s="20" t="s">
        <v>1341</v>
      </c>
      <c r="Z839" s="109"/>
      <c r="AA839" s="109"/>
      <c r="AB839" s="109"/>
      <c r="AC839" s="109"/>
      <c r="AD839" s="109"/>
      <c r="AE839" s="109"/>
      <c r="AF839" s="109"/>
      <c r="AG839" s="109"/>
      <c r="AH839" s="109"/>
      <c r="AI839" s="109"/>
      <c r="AJ839" s="109"/>
      <c r="AK839" s="109"/>
      <c r="AL839" s="109"/>
      <c r="AM839" s="109"/>
      <c r="AN839" s="109"/>
      <c r="AO839" s="109"/>
      <c r="AP839" s="109"/>
      <c r="AQ839" s="109"/>
      <c r="AR839" s="109"/>
      <c r="AS839" s="109"/>
    </row>
    <row r="840" spans="1:45" ht="12.6" customHeight="1" x14ac:dyDescent="0.3">
      <c r="A840" s="78"/>
      <c r="B840" s="78"/>
      <c r="C840" s="98"/>
      <c r="D840" s="98"/>
      <c r="E840" s="98"/>
      <c r="F840" s="98"/>
      <c r="G840" s="16" t="s">
        <v>1317</v>
      </c>
      <c r="Z840" s="109"/>
      <c r="AA840" s="109"/>
      <c r="AB840" s="109"/>
      <c r="AC840" s="109"/>
      <c r="AD840" s="109"/>
      <c r="AE840" s="109"/>
      <c r="AF840" s="109"/>
      <c r="AG840" s="109"/>
      <c r="AH840" s="109"/>
      <c r="AI840" s="109"/>
      <c r="AJ840" s="109"/>
      <c r="AK840" s="109"/>
      <c r="AL840" s="109"/>
      <c r="AM840" s="109"/>
      <c r="AN840" s="109"/>
      <c r="AO840" s="109"/>
      <c r="AP840" s="109"/>
      <c r="AQ840" s="109"/>
      <c r="AR840" s="109"/>
      <c r="AS840" s="109"/>
    </row>
    <row r="841" spans="1:45" ht="12.6" customHeight="1" x14ac:dyDescent="0.3">
      <c r="A841" s="68"/>
      <c r="B841" s="77" t="s">
        <v>1672</v>
      </c>
      <c r="C841" s="78"/>
      <c r="D841" s="78"/>
      <c r="E841" s="78"/>
      <c r="F841" s="78"/>
      <c r="G841" s="16" t="s">
        <v>1671</v>
      </c>
      <c r="Z841" s="109"/>
      <c r="AA841" s="109"/>
      <c r="AB841" s="109"/>
      <c r="AC841" s="109"/>
      <c r="AD841" s="109"/>
      <c r="AE841" s="109"/>
      <c r="AF841" s="109"/>
      <c r="AG841" s="109"/>
      <c r="AH841" s="109"/>
      <c r="AI841" s="109"/>
      <c r="AJ841" s="109"/>
      <c r="AK841" s="109"/>
      <c r="AL841" s="109"/>
      <c r="AM841" s="109"/>
      <c r="AN841" s="109"/>
      <c r="AO841" s="109"/>
      <c r="AP841" s="109"/>
      <c r="AQ841" s="109"/>
      <c r="AR841" s="109"/>
      <c r="AS841" s="109"/>
    </row>
    <row r="842" spans="1:45" ht="12.6" customHeight="1" x14ac:dyDescent="0.3">
      <c r="A842" s="78"/>
      <c r="B842" s="78"/>
      <c r="C842" s="78"/>
      <c r="D842" s="78"/>
      <c r="E842" s="78"/>
      <c r="F842" s="78"/>
      <c r="G842" s="16" t="s">
        <v>1317</v>
      </c>
      <c r="Z842" s="109"/>
      <c r="AA842" s="109"/>
      <c r="AB842" s="109"/>
      <c r="AC842" s="109"/>
      <c r="AD842" s="109"/>
      <c r="AE842" s="109"/>
      <c r="AF842" s="109"/>
      <c r="AG842" s="109"/>
      <c r="AH842" s="109"/>
      <c r="AI842" s="109"/>
      <c r="AJ842" s="109"/>
      <c r="AK842" s="109"/>
      <c r="AL842" s="109"/>
      <c r="AM842" s="109"/>
      <c r="AN842" s="109"/>
      <c r="AO842" s="109"/>
      <c r="AP842" s="109"/>
      <c r="AQ842" s="109"/>
      <c r="AR842" s="109"/>
      <c r="AS842" s="109"/>
    </row>
    <row r="843" spans="1:45" ht="12.6" customHeight="1" x14ac:dyDescent="0.3">
      <c r="A843" s="78"/>
      <c r="B843" s="78"/>
      <c r="C843" s="78"/>
      <c r="D843" s="78"/>
      <c r="E843" s="78"/>
      <c r="F843" s="78"/>
      <c r="G843" s="16" t="s">
        <v>1317</v>
      </c>
      <c r="Z843" s="109"/>
      <c r="AA843" s="109"/>
      <c r="AB843" s="109"/>
      <c r="AC843" s="109"/>
      <c r="AD843" s="109"/>
      <c r="AE843" s="109"/>
      <c r="AF843" s="109"/>
      <c r="AG843" s="109"/>
      <c r="AH843" s="109"/>
      <c r="AI843" s="109"/>
      <c r="AJ843" s="109"/>
      <c r="AK843" s="109"/>
      <c r="AL843" s="109"/>
      <c r="AM843" s="109"/>
      <c r="AN843" s="109"/>
      <c r="AO843" s="109"/>
      <c r="AP843" s="109"/>
      <c r="AQ843" s="109"/>
      <c r="AR843" s="109"/>
      <c r="AS843" s="109"/>
    </row>
    <row r="844" spans="1:45" ht="12.6" customHeight="1" x14ac:dyDescent="0.3">
      <c r="A844" s="68"/>
      <c r="B844" s="97" t="str">
        <f>" q (버킷용량)  = "&amp;Z844&amp;" , k (버킷계수)  = "&amp;AD844&amp;" ,  E (작업효율)  = "&amp;AH844&amp;""</f>
        <v xml:space="preserve"> q (버킷용량)  = 0.7 , k (버킷계수)  = 0.55 ,  E (작업효율)  = 0.45</v>
      </c>
      <c r="C844" s="78"/>
      <c r="D844" s="78"/>
      <c r="E844" s="78"/>
      <c r="F844" s="78"/>
      <c r="G844" s="16" t="s">
        <v>1673</v>
      </c>
      <c r="Z844" s="110">
        <v>0.7</v>
      </c>
      <c r="AA844" s="20" t="s">
        <v>1326</v>
      </c>
      <c r="AB844" s="112">
        <f>Z844</f>
        <v>0.7</v>
      </c>
      <c r="AC844" s="20" t="s">
        <v>1385</v>
      </c>
      <c r="AD844" s="110">
        <v>0.55000000000000004</v>
      </c>
      <c r="AE844" s="20" t="s">
        <v>1326</v>
      </c>
      <c r="AF844" s="112">
        <f>AD844</f>
        <v>0.55000000000000004</v>
      </c>
      <c r="AG844" s="20" t="s">
        <v>1385</v>
      </c>
      <c r="AH844" s="110">
        <v>0.45</v>
      </c>
      <c r="AI844" s="20" t="s">
        <v>1326</v>
      </c>
      <c r="AJ844" s="112">
        <f>AH844</f>
        <v>0.45</v>
      </c>
      <c r="AK844" s="20" t="s">
        <v>1385</v>
      </c>
      <c r="AL844" s="109"/>
      <c r="AM844" s="109"/>
      <c r="AN844" s="109"/>
      <c r="AO844" s="109"/>
      <c r="AP844" s="109"/>
      <c r="AQ844" s="109"/>
      <c r="AR844" s="109"/>
      <c r="AS844" s="109"/>
    </row>
    <row r="845" spans="1:45" ht="12.6" customHeight="1" x14ac:dyDescent="0.3">
      <c r="A845" s="78"/>
      <c r="B845" s="78"/>
      <c r="C845" s="78"/>
      <c r="D845" s="78"/>
      <c r="E845" s="78"/>
      <c r="F845" s="78"/>
      <c r="G845" s="16" t="s">
        <v>1317</v>
      </c>
      <c r="Z845" s="109"/>
      <c r="AA845" s="109"/>
      <c r="AB845" s="109"/>
      <c r="AC845" s="109"/>
      <c r="AD845" s="109"/>
      <c r="AE845" s="109"/>
      <c r="AF845" s="109"/>
      <c r="AG845" s="109"/>
      <c r="AH845" s="109"/>
      <c r="AI845" s="109"/>
      <c r="AJ845" s="109"/>
      <c r="AK845" s="109"/>
      <c r="AL845" s="109"/>
      <c r="AM845" s="109"/>
      <c r="AN845" s="109"/>
      <c r="AO845" s="109"/>
      <c r="AP845" s="109"/>
      <c r="AQ845" s="109"/>
      <c r="AR845" s="109"/>
      <c r="AS845" s="109"/>
    </row>
    <row r="846" spans="1:45" ht="12.6" customHeight="1" x14ac:dyDescent="0.3">
      <c r="A846" s="68"/>
      <c r="B846" s="97" t="str">
        <f>" f (체적환산계수)  = "&amp;Z846&amp;" / "&amp;AB846&amp;"  = "&amp;AD846&amp;""</f>
        <v xml:space="preserve"> f (체적환산계수)  = 1 / 1.4  = 0.71</v>
      </c>
      <c r="C846" s="78"/>
      <c r="D846" s="78"/>
      <c r="E846" s="78"/>
      <c r="F846" s="78"/>
      <c r="G846" s="16" t="s">
        <v>1674</v>
      </c>
      <c r="Z846" s="111">
        <v>1</v>
      </c>
      <c r="AA846" s="20" t="s">
        <v>1387</v>
      </c>
      <c r="AB846" s="110">
        <v>1.4</v>
      </c>
      <c r="AC846" s="20" t="s">
        <v>1326</v>
      </c>
      <c r="AD846" s="112" t="str">
        <f>TEXT(ROUND(Z846/AB846,2),"0.00")</f>
        <v>0.71</v>
      </c>
      <c r="AE846" s="109"/>
      <c r="AF846" s="109"/>
      <c r="AG846" s="109"/>
      <c r="AH846" s="109"/>
      <c r="AI846" s="109"/>
      <c r="AJ846" s="109"/>
      <c r="AK846" s="109"/>
      <c r="AL846" s="109"/>
      <c r="AM846" s="109"/>
      <c r="AN846" s="109"/>
      <c r="AO846" s="109"/>
      <c r="AP846" s="109"/>
      <c r="AQ846" s="109"/>
      <c r="AR846" s="109"/>
      <c r="AS846" s="109"/>
    </row>
    <row r="847" spans="1:45" ht="12.6" customHeight="1" x14ac:dyDescent="0.3">
      <c r="A847" s="78"/>
      <c r="B847" s="78"/>
      <c r="C847" s="78"/>
      <c r="D847" s="78"/>
      <c r="E847" s="78"/>
      <c r="F847" s="78"/>
      <c r="G847" s="16" t="s">
        <v>1317</v>
      </c>
      <c r="Z847" s="109"/>
      <c r="AA847" s="109"/>
      <c r="AB847" s="109"/>
      <c r="AC847" s="109"/>
      <c r="AD847" s="109"/>
      <c r="AE847" s="109"/>
      <c r="AF847" s="109"/>
      <c r="AG847" s="109"/>
      <c r="AH847" s="109"/>
      <c r="AI847" s="109"/>
      <c r="AJ847" s="109"/>
      <c r="AK847" s="109"/>
      <c r="AL847" s="109"/>
      <c r="AM847" s="109"/>
      <c r="AN847" s="109"/>
      <c r="AO847" s="109"/>
      <c r="AP847" s="109"/>
      <c r="AQ847" s="109"/>
      <c r="AR847" s="109"/>
      <c r="AS847" s="109"/>
    </row>
    <row r="848" spans="1:45" ht="12.6" customHeight="1" x14ac:dyDescent="0.3">
      <c r="A848" s="68"/>
      <c r="B848" s="97" t="str">
        <f>" Cm (1회 사이클 시간(초))  = "&amp;Z848&amp;"  (135°) "</f>
        <v xml:space="preserve"> Cm (1회 사이클 시간(초))  = 20  (135°) </v>
      </c>
      <c r="C848" s="78"/>
      <c r="D848" s="78"/>
      <c r="E848" s="78"/>
      <c r="F848" s="78"/>
      <c r="G848" s="16" t="s">
        <v>1386</v>
      </c>
      <c r="Z848" s="111">
        <v>20</v>
      </c>
      <c r="AA848" s="20" t="s">
        <v>1326</v>
      </c>
      <c r="AB848" s="112">
        <f>Z848</f>
        <v>20</v>
      </c>
      <c r="AC848" s="109"/>
      <c r="AD848" s="109"/>
      <c r="AE848" s="109"/>
      <c r="AF848" s="109"/>
      <c r="AG848" s="109"/>
      <c r="AH848" s="109"/>
      <c r="AI848" s="109"/>
      <c r="AJ848" s="109"/>
      <c r="AK848" s="109"/>
      <c r="AL848" s="109"/>
      <c r="AM848" s="109"/>
      <c r="AN848" s="109"/>
      <c r="AO848" s="109"/>
      <c r="AP848" s="109"/>
      <c r="AQ848" s="109"/>
      <c r="AR848" s="109"/>
      <c r="AS848" s="109"/>
    </row>
    <row r="849" spans="1:45" ht="12.6" customHeight="1" x14ac:dyDescent="0.3">
      <c r="A849" s="78"/>
      <c r="B849" s="78"/>
      <c r="C849" s="78"/>
      <c r="D849" s="78"/>
      <c r="E849" s="78"/>
      <c r="F849" s="78"/>
      <c r="G849" s="16" t="s">
        <v>1317</v>
      </c>
      <c r="Z849" s="109"/>
      <c r="AA849" s="109"/>
      <c r="AB849" s="109"/>
      <c r="AC849" s="109"/>
      <c r="AD849" s="109"/>
      <c r="AE849" s="109"/>
      <c r="AF849" s="109"/>
      <c r="AG849" s="109"/>
      <c r="AH849" s="109"/>
      <c r="AI849" s="109"/>
      <c r="AJ849" s="109"/>
      <c r="AK849" s="109"/>
      <c r="AL849" s="109"/>
      <c r="AM849" s="109"/>
      <c r="AN849" s="109"/>
      <c r="AO849" s="109"/>
      <c r="AP849" s="109"/>
      <c r="AQ849" s="109"/>
      <c r="AR849" s="109"/>
      <c r="AS849" s="109"/>
    </row>
    <row r="850" spans="1:45" ht="12.6" customHeight="1" x14ac:dyDescent="0.3">
      <c r="A850" s="78"/>
      <c r="B850" s="78"/>
      <c r="C850" s="78"/>
      <c r="D850" s="78"/>
      <c r="E850" s="78"/>
      <c r="F850" s="78"/>
      <c r="G850" s="16" t="s">
        <v>1317</v>
      </c>
      <c r="Z850" s="109"/>
      <c r="AA850" s="109"/>
      <c r="AB850" s="109"/>
      <c r="AC850" s="109"/>
      <c r="AD850" s="109"/>
      <c r="AE850" s="109"/>
      <c r="AF850" s="109"/>
      <c r="AG850" s="109"/>
      <c r="AH850" s="109"/>
      <c r="AI850" s="109"/>
      <c r="AJ850" s="109"/>
      <c r="AK850" s="109"/>
      <c r="AL850" s="109"/>
      <c r="AM850" s="109"/>
      <c r="AN850" s="109"/>
      <c r="AO850" s="109"/>
      <c r="AP850" s="109"/>
      <c r="AQ850" s="109"/>
      <c r="AR850" s="109"/>
      <c r="AS850" s="109"/>
    </row>
    <row r="851" spans="1:45" ht="12.6" customHeight="1" x14ac:dyDescent="0.3">
      <c r="A851" s="68"/>
      <c r="B851" s="97" t="str">
        <f>" Q1 (시간당 작업량)  = "&amp;Z851&amp;"*q*k*f*E/Cm = "&amp;AL851&amp;" ㎥/hr "</f>
        <v xml:space="preserve"> Q1 (시간당 작업량)  = 3600*q*k*f*E/Cm = 22.14 ㎥/hr </v>
      </c>
      <c r="C851" s="78"/>
      <c r="D851" s="78"/>
      <c r="E851" s="78"/>
      <c r="F851" s="78"/>
      <c r="G851" s="16" t="s">
        <v>1388</v>
      </c>
      <c r="Z851" s="111">
        <v>3600</v>
      </c>
      <c r="AA851" s="20" t="s">
        <v>1390</v>
      </c>
      <c r="AB851" s="112">
        <f>AB844</f>
        <v>0.7</v>
      </c>
      <c r="AC851" s="20" t="s">
        <v>1390</v>
      </c>
      <c r="AD851" s="112">
        <f>AF844</f>
        <v>0.55000000000000004</v>
      </c>
      <c r="AE851" s="20" t="s">
        <v>1390</v>
      </c>
      <c r="AF851" s="112" t="str">
        <f>AD846</f>
        <v>0.71</v>
      </c>
      <c r="AG851" s="20" t="s">
        <v>1390</v>
      </c>
      <c r="AH851" s="112">
        <f>AJ844</f>
        <v>0.45</v>
      </c>
      <c r="AI851" s="20" t="s">
        <v>1387</v>
      </c>
      <c r="AJ851" s="112">
        <f>AB848</f>
        <v>20</v>
      </c>
      <c r="AK851" s="20" t="s">
        <v>1326</v>
      </c>
      <c r="AL851" s="112" t="str">
        <f>TEXT(ROUND(Z851*AB844*AF844*AD846*AJ844/AB848,2),"0.00")</f>
        <v>22.14</v>
      </c>
      <c r="AM851" s="109"/>
      <c r="AN851" s="109"/>
      <c r="AO851" s="109"/>
      <c r="AP851" s="109"/>
      <c r="AQ851" s="109"/>
      <c r="AR851" s="109"/>
      <c r="AS851" s="109"/>
    </row>
    <row r="852" spans="1:45" ht="12.6" customHeight="1" x14ac:dyDescent="0.3">
      <c r="A852" s="78"/>
      <c r="B852" s="78"/>
      <c r="C852" s="78"/>
      <c r="D852" s="78"/>
      <c r="E852" s="78"/>
      <c r="F852" s="78"/>
      <c r="G852" s="16" t="s">
        <v>1317</v>
      </c>
      <c r="Z852" s="109"/>
      <c r="AA852" s="109"/>
      <c r="AB852" s="109"/>
      <c r="AC852" s="109"/>
      <c r="AD852" s="109"/>
      <c r="AE852" s="109"/>
      <c r="AF852" s="109"/>
      <c r="AG852" s="109"/>
      <c r="AH852" s="109"/>
      <c r="AI852" s="109"/>
      <c r="AJ852" s="109"/>
      <c r="AK852" s="109"/>
      <c r="AL852" s="109"/>
      <c r="AM852" s="109"/>
      <c r="AN852" s="109"/>
      <c r="AO852" s="109"/>
      <c r="AP852" s="109"/>
      <c r="AQ852" s="109"/>
      <c r="AR852" s="109"/>
      <c r="AS852" s="109"/>
    </row>
    <row r="853" spans="1:45" ht="12.6" customHeight="1" x14ac:dyDescent="0.3">
      <c r="A853" s="78"/>
      <c r="B853" s="78"/>
      <c r="C853" s="78"/>
      <c r="D853" s="78"/>
      <c r="E853" s="78"/>
      <c r="F853" s="78"/>
      <c r="G853" s="16" t="s">
        <v>1317</v>
      </c>
      <c r="Z853" s="109"/>
      <c r="AA853" s="109"/>
      <c r="AB853" s="109"/>
      <c r="AC853" s="109"/>
      <c r="AD853" s="109"/>
      <c r="AE853" s="109"/>
      <c r="AF853" s="109"/>
      <c r="AG853" s="109"/>
      <c r="AH853" s="109"/>
      <c r="AI853" s="109"/>
      <c r="AJ853" s="109"/>
      <c r="AK853" s="109"/>
      <c r="AL853" s="109"/>
      <c r="AM853" s="109"/>
      <c r="AN853" s="109"/>
      <c r="AO853" s="109"/>
      <c r="AP853" s="109"/>
      <c r="AQ853" s="109"/>
      <c r="AR853" s="109"/>
      <c r="AS853" s="109"/>
    </row>
    <row r="854" spans="1:45" ht="12.6" customHeight="1" x14ac:dyDescent="0.3">
      <c r="A854" s="68" t="s">
        <v>1441</v>
      </c>
      <c r="B854" s="97" t="str">
        <f>" 노 무 비  :   "&amp;TEXT(I854,"#,##0"&amp;IF(I854&lt;&gt;INT(I854),".###",""))&amp;" / Q1  / "&amp;AC854&amp;"  = "&amp;TEXT(C854,"#,##0.0")&amp;""</f>
        <v xml:space="preserve"> 노 무 비  :   55,700 / Q1  / 2  = 1,257.9</v>
      </c>
      <c r="C854" s="99">
        <f>E854+D854+F854</f>
        <v>1257.9000000000001</v>
      </c>
      <c r="D854" s="99">
        <f>IF(H854=0,0,ROUNDDOWN(J854*H854,1))</f>
        <v>1257.9000000000001</v>
      </c>
      <c r="E854" s="99">
        <f>IF(H854=0,0,ROUNDDOWN(K854*H854,1))</f>
        <v>0</v>
      </c>
      <c r="F854" s="99">
        <f>IF(H854=0,0,ROUNDDOWN(L854*H854,1))</f>
        <v>0</v>
      </c>
      <c r="G854" s="16" t="s">
        <v>1675</v>
      </c>
      <c r="H854" s="105">
        <f>AE854</f>
        <v>2.2583559168925023E-2</v>
      </c>
      <c r="I854" s="106">
        <f>K854+J854+L854</f>
        <v>55700</v>
      </c>
      <c r="J854" s="39">
        <f>중기목록표!F9</f>
        <v>55700</v>
      </c>
      <c r="M854" s="20" t="s">
        <v>1442</v>
      </c>
      <c r="N854" s="20" t="s">
        <v>1332</v>
      </c>
      <c r="X854" s="108" t="str">
        <f>중기목록표!B9&amp;" / "&amp;중기목록표!C9</f>
        <v>굴삭기(0.7m3) / 0.7㎥,(암석)</v>
      </c>
      <c r="Y854" s="19" t="str">
        <f ca="1">HYPERLINK("#"&amp;중기목록표!J2&amp;"!A"&amp;ROW(중기목록표!A9),"중기    6 →")</f>
        <v>중기    6 →</v>
      </c>
      <c r="Z854" s="20" t="s">
        <v>1393</v>
      </c>
      <c r="AA854" s="112" t="str">
        <f>AL851</f>
        <v>22.14</v>
      </c>
      <c r="AB854" s="20" t="s">
        <v>1387</v>
      </c>
      <c r="AC854" s="111">
        <v>2</v>
      </c>
      <c r="AD854" s="20" t="s">
        <v>1326</v>
      </c>
      <c r="AE854" s="113">
        <f>1/AL851/AC854</f>
        <v>2.2583559168925023E-2</v>
      </c>
      <c r="AF854" s="109"/>
      <c r="AG854" s="109"/>
      <c r="AH854" s="109"/>
      <c r="AI854" s="109"/>
      <c r="AJ854" s="109"/>
      <c r="AK854" s="109"/>
      <c r="AL854" s="109"/>
      <c r="AM854" s="109"/>
      <c r="AN854" s="109"/>
      <c r="AO854" s="109"/>
      <c r="AP854" s="109"/>
      <c r="AQ854" s="109"/>
      <c r="AR854" s="109"/>
      <c r="AS854" s="109"/>
    </row>
    <row r="855" spans="1:45" ht="12.6" customHeight="1" x14ac:dyDescent="0.3">
      <c r="A855" s="78"/>
      <c r="B855" s="78"/>
      <c r="C855" s="78"/>
      <c r="D855" s="78"/>
      <c r="E855" s="78"/>
      <c r="F855" s="78"/>
      <c r="G855" s="16" t="s">
        <v>1317</v>
      </c>
      <c r="Z855" s="109"/>
      <c r="AA855" s="109"/>
      <c r="AB855" s="109"/>
      <c r="AC855" s="109"/>
      <c r="AD855" s="109"/>
      <c r="AE855" s="109"/>
      <c r="AF855" s="109"/>
      <c r="AG855" s="109"/>
      <c r="AH855" s="109"/>
      <c r="AI855" s="109"/>
      <c r="AJ855" s="109"/>
      <c r="AK855" s="109"/>
      <c r="AL855" s="109"/>
      <c r="AM855" s="109"/>
      <c r="AN855" s="109"/>
      <c r="AO855" s="109"/>
      <c r="AP855" s="109"/>
      <c r="AQ855" s="109"/>
      <c r="AR855" s="109"/>
      <c r="AS855" s="109"/>
    </row>
    <row r="856" spans="1:45" ht="12.6" customHeight="1" x14ac:dyDescent="0.3">
      <c r="A856" s="78"/>
      <c r="B856" s="78"/>
      <c r="C856" s="78"/>
      <c r="D856" s="78"/>
      <c r="E856" s="78"/>
      <c r="F856" s="78"/>
      <c r="G856" s="16" t="s">
        <v>1317</v>
      </c>
      <c r="Z856" s="109"/>
      <c r="AA856" s="109"/>
      <c r="AB856" s="109"/>
      <c r="AC856" s="109"/>
      <c r="AD856" s="109"/>
      <c r="AE856" s="109"/>
      <c r="AF856" s="109"/>
      <c r="AG856" s="109"/>
      <c r="AH856" s="109"/>
      <c r="AI856" s="109"/>
      <c r="AJ856" s="109"/>
      <c r="AK856" s="109"/>
      <c r="AL856" s="109"/>
      <c r="AM856" s="109"/>
      <c r="AN856" s="109"/>
      <c r="AO856" s="109"/>
      <c r="AP856" s="109"/>
      <c r="AQ856" s="109"/>
      <c r="AR856" s="109"/>
      <c r="AS856" s="109"/>
    </row>
    <row r="857" spans="1:45" ht="12.6" customHeight="1" x14ac:dyDescent="0.3">
      <c r="A857" s="68" t="s">
        <v>1444</v>
      </c>
      <c r="B857" s="97" t="str">
        <f>" 재 료 비  :   "&amp;TEXT(I857,"#,##0"&amp;IF(I857&lt;&gt;INT(I857),".###",""))&amp;" / Q1  / "&amp;AC857&amp;" = "&amp;TEXT(C857,"#,##0.0")&amp;""</f>
        <v xml:space="preserve"> 재 료 비  :   18,001 / Q1  / 2 = 406.5</v>
      </c>
      <c r="C857" s="99">
        <f>E857+D857+F857</f>
        <v>406.5</v>
      </c>
      <c r="D857" s="99">
        <f>IF(H857=0,0,ROUNDDOWN(J857*H857,1))</f>
        <v>0</v>
      </c>
      <c r="E857" s="99">
        <f>IF(H857=0,0,ROUNDDOWN(K857*H857,1))</f>
        <v>406.5</v>
      </c>
      <c r="F857" s="99">
        <f>IF(H857=0,0,ROUNDDOWN(L857*H857,1))</f>
        <v>0</v>
      </c>
      <c r="G857" s="16" t="s">
        <v>1676</v>
      </c>
      <c r="H857" s="105">
        <f>AE857</f>
        <v>2.2583559168925023E-2</v>
      </c>
      <c r="I857" s="106">
        <f>K857+J857+L857</f>
        <v>18001</v>
      </c>
      <c r="K857" s="39">
        <f>중기목록표!G9</f>
        <v>18001</v>
      </c>
      <c r="M857" s="20" t="s">
        <v>1442</v>
      </c>
      <c r="N857" s="20" t="s">
        <v>1332</v>
      </c>
      <c r="X857" s="108" t="str">
        <f>중기목록표!B9&amp;" / "&amp;중기목록표!C9</f>
        <v>굴삭기(0.7m3) / 0.7㎥,(암석)</v>
      </c>
      <c r="Y857" s="19" t="str">
        <f ca="1">HYPERLINK("#"&amp;중기목록표!J2&amp;"!A"&amp;ROW(중기목록표!A9),"중기    6 →")</f>
        <v>중기    6 →</v>
      </c>
      <c r="Z857" s="20" t="s">
        <v>1393</v>
      </c>
      <c r="AA857" s="112" t="str">
        <f>AL851</f>
        <v>22.14</v>
      </c>
      <c r="AB857" s="20" t="s">
        <v>1387</v>
      </c>
      <c r="AC857" s="111">
        <v>2</v>
      </c>
      <c r="AD857" s="20" t="s">
        <v>1326</v>
      </c>
      <c r="AE857" s="113">
        <f>1/AL851/AC857</f>
        <v>2.2583559168925023E-2</v>
      </c>
      <c r="AF857" s="109"/>
      <c r="AG857" s="109"/>
      <c r="AH857" s="109"/>
      <c r="AI857" s="109"/>
      <c r="AJ857" s="109"/>
      <c r="AK857" s="109"/>
      <c r="AL857" s="109"/>
      <c r="AM857" s="109"/>
      <c r="AN857" s="109"/>
      <c r="AO857" s="109"/>
      <c r="AP857" s="109"/>
      <c r="AQ857" s="109"/>
      <c r="AR857" s="109"/>
      <c r="AS857" s="109"/>
    </row>
    <row r="858" spans="1:45" ht="12.6" customHeight="1" x14ac:dyDescent="0.3">
      <c r="A858" s="78"/>
      <c r="B858" s="78"/>
      <c r="C858" s="78"/>
      <c r="D858" s="78"/>
      <c r="E858" s="78"/>
      <c r="F858" s="78"/>
      <c r="G858" s="16" t="s">
        <v>1317</v>
      </c>
      <c r="Z858" s="109"/>
      <c r="AA858" s="109"/>
      <c r="AB858" s="109"/>
      <c r="AC858" s="109"/>
      <c r="AD858" s="109"/>
      <c r="AE858" s="109"/>
      <c r="AF858" s="109"/>
      <c r="AG858" s="109"/>
      <c r="AH858" s="109"/>
      <c r="AI858" s="109"/>
      <c r="AJ858" s="109"/>
      <c r="AK858" s="109"/>
      <c r="AL858" s="109"/>
      <c r="AM858" s="109"/>
      <c r="AN858" s="109"/>
      <c r="AO858" s="109"/>
      <c r="AP858" s="109"/>
      <c r="AQ858" s="109"/>
      <c r="AR858" s="109"/>
      <c r="AS858" s="109"/>
    </row>
    <row r="859" spans="1:45" ht="12.6" customHeight="1" x14ac:dyDescent="0.3">
      <c r="A859" s="78"/>
      <c r="B859" s="78"/>
      <c r="C859" s="78"/>
      <c r="D859" s="78"/>
      <c r="E859" s="78"/>
      <c r="F859" s="78"/>
      <c r="G859" s="16" t="s">
        <v>1317</v>
      </c>
      <c r="Z859" s="109"/>
      <c r="AA859" s="109"/>
      <c r="AB859" s="109"/>
      <c r="AC859" s="109"/>
      <c r="AD859" s="109"/>
      <c r="AE859" s="109"/>
      <c r="AF859" s="109"/>
      <c r="AG859" s="109"/>
      <c r="AH859" s="109"/>
      <c r="AI859" s="109"/>
      <c r="AJ859" s="109"/>
      <c r="AK859" s="109"/>
      <c r="AL859" s="109"/>
      <c r="AM859" s="109"/>
      <c r="AN859" s="109"/>
      <c r="AO859" s="109"/>
      <c r="AP859" s="109"/>
      <c r="AQ859" s="109"/>
      <c r="AR859" s="109"/>
      <c r="AS859" s="109"/>
    </row>
    <row r="860" spans="1:45" ht="12.6" customHeight="1" x14ac:dyDescent="0.3">
      <c r="A860" s="68" t="s">
        <v>1446</v>
      </c>
      <c r="B860" s="97" t="str">
        <f>" 경    비  :   "&amp;TEXT(I860,"#,##0"&amp;IF(I860&lt;&gt;INT(I860),".###",""))&amp;" / Q1  / "&amp;AC860&amp;" = "&amp;TEXT(C860,"#,##0.0")&amp;""</f>
        <v xml:space="preserve"> 경    비  :   26,677 / Q1  / 2 = 602.4</v>
      </c>
      <c r="C860" s="99">
        <f>E860+D860+F860</f>
        <v>602.4</v>
      </c>
      <c r="D860" s="99">
        <f>IF(H860=0,0,ROUNDDOWN(J860*H860,1))</f>
        <v>0</v>
      </c>
      <c r="E860" s="99">
        <f>IF(H860=0,0,ROUNDDOWN(K860*H860,1))</f>
        <v>0</v>
      </c>
      <c r="F860" s="99">
        <f>IF(H860=0,0,ROUNDDOWN(L860*H860,1))</f>
        <v>602.4</v>
      </c>
      <c r="G860" s="16" t="s">
        <v>1677</v>
      </c>
      <c r="H860" s="105">
        <f>AE860</f>
        <v>2.2583559168925023E-2</v>
      </c>
      <c r="I860" s="106">
        <f>K860+J860+L860</f>
        <v>26677</v>
      </c>
      <c r="L860" s="39">
        <f>중기목록표!H9</f>
        <v>26677</v>
      </c>
      <c r="M860" s="20" t="s">
        <v>1442</v>
      </c>
      <c r="N860" s="20" t="s">
        <v>1332</v>
      </c>
      <c r="X860" s="108" t="str">
        <f>중기목록표!B9&amp;" / "&amp;중기목록표!C9</f>
        <v>굴삭기(0.7m3) / 0.7㎥,(암석)</v>
      </c>
      <c r="Y860" s="19" t="str">
        <f ca="1">HYPERLINK("#"&amp;중기목록표!J2&amp;"!A"&amp;ROW(중기목록표!A9),"중기    6 →")</f>
        <v>중기    6 →</v>
      </c>
      <c r="Z860" s="20" t="s">
        <v>1393</v>
      </c>
      <c r="AA860" s="112" t="str">
        <f>AL851</f>
        <v>22.14</v>
      </c>
      <c r="AB860" s="20" t="s">
        <v>1387</v>
      </c>
      <c r="AC860" s="111">
        <v>2</v>
      </c>
      <c r="AD860" s="20" t="s">
        <v>1326</v>
      </c>
      <c r="AE860" s="113">
        <f>1/AL851/AC860</f>
        <v>2.2583559168925023E-2</v>
      </c>
      <c r="AF860" s="109"/>
      <c r="AG860" s="109"/>
      <c r="AH860" s="109"/>
      <c r="AI860" s="109"/>
      <c r="AJ860" s="109"/>
      <c r="AK860" s="109"/>
      <c r="AL860" s="109"/>
      <c r="AM860" s="109"/>
      <c r="AN860" s="109"/>
      <c r="AO860" s="109"/>
      <c r="AP860" s="109"/>
      <c r="AQ860" s="109"/>
      <c r="AR860" s="109"/>
      <c r="AS860" s="109"/>
    </row>
    <row r="861" spans="1:45" ht="12.6" customHeight="1" x14ac:dyDescent="0.3">
      <c r="A861" s="78"/>
      <c r="B861" s="78"/>
      <c r="C861" s="78"/>
      <c r="D861" s="78"/>
      <c r="E861" s="78"/>
      <c r="F861" s="78"/>
      <c r="G861" s="16" t="s">
        <v>1317</v>
      </c>
      <c r="Z861" s="109"/>
      <c r="AA861" s="109"/>
      <c r="AB861" s="109"/>
      <c r="AC861" s="109"/>
      <c r="AD861" s="109"/>
      <c r="AE861" s="109"/>
      <c r="AF861" s="109"/>
      <c r="AG861" s="109"/>
      <c r="AH861" s="109"/>
      <c r="AI861" s="109"/>
      <c r="AJ861" s="109"/>
      <c r="AK861" s="109"/>
      <c r="AL861" s="109"/>
      <c r="AM861" s="109"/>
      <c r="AN861" s="109"/>
      <c r="AO861" s="109"/>
      <c r="AP861" s="109"/>
      <c r="AQ861" s="109"/>
      <c r="AR861" s="109"/>
      <c r="AS861" s="109"/>
    </row>
    <row r="862" spans="1:45" ht="12.6" customHeight="1" x14ac:dyDescent="0.3">
      <c r="A862" s="68"/>
      <c r="B862" s="77" t="s">
        <v>1331</v>
      </c>
      <c r="C862" s="100">
        <f>E862+D862+F862</f>
        <v>2266.8000000000002</v>
      </c>
      <c r="D862" s="100">
        <f>SUMIF(N840:N861,M862,D840:D861)</f>
        <v>1257.9000000000001</v>
      </c>
      <c r="E862" s="100">
        <f>SUMIF(N840:N861,M862,E840:E861)</f>
        <v>406.5</v>
      </c>
      <c r="F862" s="100">
        <f>SUMIF(N840:N861,M862,F840:F861)</f>
        <v>602.4</v>
      </c>
      <c r="G862" s="16" t="s">
        <v>1415</v>
      </c>
      <c r="M862" s="20" t="s">
        <v>1332</v>
      </c>
      <c r="N862" s="20" t="s">
        <v>1341</v>
      </c>
      <c r="Z862" s="109"/>
      <c r="AA862" s="109"/>
      <c r="AB862" s="109"/>
      <c r="AC862" s="109"/>
      <c r="AD862" s="109"/>
      <c r="AE862" s="109"/>
      <c r="AF862" s="109"/>
      <c r="AG862" s="109"/>
      <c r="AH862" s="109"/>
      <c r="AI862" s="109"/>
      <c r="AJ862" s="109"/>
      <c r="AK862" s="109"/>
      <c r="AL862" s="109"/>
      <c r="AM862" s="109"/>
      <c r="AN862" s="109"/>
      <c r="AO862" s="109"/>
      <c r="AP862" s="109"/>
      <c r="AQ862" s="109"/>
      <c r="AR862" s="109"/>
      <c r="AS862" s="109"/>
    </row>
    <row r="863" spans="1:45" ht="12.6" customHeight="1" x14ac:dyDescent="0.3">
      <c r="A863" s="78"/>
      <c r="B863" s="78"/>
      <c r="C863" s="98"/>
      <c r="D863" s="98"/>
      <c r="E863" s="98"/>
      <c r="F863" s="98"/>
      <c r="G863" s="16" t="s">
        <v>1317</v>
      </c>
      <c r="Z863" s="109"/>
      <c r="AA863" s="109"/>
      <c r="AB863" s="109"/>
      <c r="AC863" s="109"/>
      <c r="AD863" s="109"/>
      <c r="AE863" s="109"/>
      <c r="AF863" s="109"/>
      <c r="AG863" s="109"/>
      <c r="AH863" s="109"/>
      <c r="AI863" s="109"/>
      <c r="AJ863" s="109"/>
      <c r="AK863" s="109"/>
      <c r="AL863" s="109"/>
      <c r="AM863" s="109"/>
      <c r="AN863" s="109"/>
      <c r="AO863" s="109"/>
      <c r="AP863" s="109"/>
      <c r="AQ863" s="109"/>
      <c r="AR863" s="109"/>
      <c r="AS863" s="109"/>
    </row>
    <row r="864" spans="1:45" ht="12.6" customHeight="1" x14ac:dyDescent="0.3">
      <c r="A864" s="68"/>
      <c r="B864" s="77" t="s">
        <v>1340</v>
      </c>
      <c r="C864" s="100">
        <f>E864+D864+F864</f>
        <v>23876.999999999996</v>
      </c>
      <c r="D864" s="100">
        <f>SUMIF(N812:N863,M864,D812:D863)</f>
        <v>12397.9</v>
      </c>
      <c r="E864" s="100">
        <f>SUMIF(N812:N863,M864,E812:E863)</f>
        <v>4097.2999999999993</v>
      </c>
      <c r="F864" s="100">
        <f>SUMIF(N812:N863,M864,F812:F863)</f>
        <v>7381.7999999999993</v>
      </c>
      <c r="G864" s="16" t="s">
        <v>1380</v>
      </c>
      <c r="M864" s="20" t="s">
        <v>1341</v>
      </c>
      <c r="N864" s="20" t="s">
        <v>1128</v>
      </c>
      <c r="Z864" s="109"/>
      <c r="AA864" s="109"/>
      <c r="AB864" s="109"/>
      <c r="AC864" s="109"/>
      <c r="AD864" s="109"/>
      <c r="AE864" s="109"/>
      <c r="AF864" s="109"/>
      <c r="AG864" s="109"/>
      <c r="AH864" s="109"/>
      <c r="AI864" s="109"/>
      <c r="AJ864" s="109"/>
      <c r="AK864" s="109"/>
      <c r="AL864" s="109"/>
      <c r="AM864" s="109"/>
      <c r="AN864" s="109"/>
      <c r="AO864" s="109"/>
      <c r="AP864" s="109"/>
      <c r="AQ864" s="109"/>
      <c r="AR864" s="109"/>
      <c r="AS864" s="109"/>
    </row>
    <row r="865" spans="1:45" ht="12.6" customHeight="1" x14ac:dyDescent="0.3">
      <c r="A865" s="78"/>
      <c r="B865" s="78"/>
      <c r="C865" s="98"/>
      <c r="D865" s="98"/>
      <c r="E865" s="98"/>
      <c r="F865" s="98"/>
      <c r="G865" s="16" t="s">
        <v>1317</v>
      </c>
      <c r="Z865" s="109"/>
      <c r="AA865" s="109"/>
      <c r="AB865" s="109"/>
      <c r="AC865" s="109"/>
      <c r="AD865" s="109"/>
      <c r="AE865" s="109"/>
      <c r="AF865" s="109"/>
      <c r="AG865" s="109"/>
      <c r="AH865" s="109"/>
      <c r="AI865" s="109"/>
      <c r="AJ865" s="109"/>
      <c r="AK865" s="109"/>
      <c r="AL865" s="109"/>
      <c r="AM865" s="109"/>
      <c r="AN865" s="109"/>
      <c r="AO865" s="109"/>
      <c r="AP865" s="109"/>
      <c r="AQ865" s="109"/>
      <c r="AR865" s="109"/>
      <c r="AS865" s="109"/>
    </row>
    <row r="866" spans="1:45" ht="12.6" customHeight="1" x14ac:dyDescent="0.3">
      <c r="A866" s="68"/>
      <c r="B866" s="77" t="s">
        <v>1340</v>
      </c>
      <c r="C866" s="100">
        <f>E866+D866+F866</f>
        <v>0</v>
      </c>
      <c r="D866" s="100">
        <f>SUMIF(N865:N865,M866,D865:D865)</f>
        <v>0</v>
      </c>
      <c r="E866" s="100">
        <f>SUMIF(N865:N865,M866,E865:E865)</f>
        <v>0</v>
      </c>
      <c r="F866" s="100">
        <f>SUMIF(N865:N865,M866,F865:F865)</f>
        <v>0</v>
      </c>
      <c r="G866" s="16" t="s">
        <v>1380</v>
      </c>
      <c r="M866" s="20" t="s">
        <v>1341</v>
      </c>
      <c r="N866" s="20" t="s">
        <v>1128</v>
      </c>
      <c r="Z866" s="109"/>
      <c r="AA866" s="109"/>
      <c r="AB866" s="109"/>
      <c r="AC866" s="109"/>
      <c r="AD866" s="109"/>
      <c r="AE866" s="109"/>
      <c r="AF866" s="109"/>
      <c r="AG866" s="109"/>
      <c r="AH866" s="109"/>
      <c r="AI866" s="109"/>
      <c r="AJ866" s="109"/>
      <c r="AK866" s="109"/>
      <c r="AL866" s="109"/>
      <c r="AM866" s="109"/>
      <c r="AN866" s="109"/>
      <c r="AO866" s="109"/>
      <c r="AP866" s="109"/>
      <c r="AQ866" s="109"/>
      <c r="AR866" s="109"/>
      <c r="AS866" s="109"/>
    </row>
    <row r="867" spans="1:45" ht="12.6" customHeight="1" x14ac:dyDescent="0.3">
      <c r="A867" s="78"/>
      <c r="B867" s="78"/>
      <c r="C867" s="98"/>
      <c r="D867" s="98"/>
      <c r="E867" s="98"/>
      <c r="F867" s="98"/>
      <c r="Z867" s="109"/>
      <c r="AA867" s="109"/>
      <c r="AB867" s="109"/>
      <c r="AC867" s="109"/>
      <c r="AD867" s="109"/>
      <c r="AE867" s="109"/>
      <c r="AF867" s="109"/>
      <c r="AG867" s="109"/>
      <c r="AH867" s="109"/>
      <c r="AI867" s="109"/>
      <c r="AJ867" s="109"/>
      <c r="AK867" s="109"/>
      <c r="AL867" s="109"/>
      <c r="AM867" s="109"/>
      <c r="AN867" s="109"/>
      <c r="AO867" s="109"/>
      <c r="AP867" s="109"/>
      <c r="AQ867" s="109"/>
      <c r="AR867" s="109"/>
      <c r="AS867" s="109"/>
    </row>
    <row r="868" spans="1:45" ht="12.6" customHeight="1" x14ac:dyDescent="0.3">
      <c r="A868" s="78"/>
      <c r="B868" s="78"/>
      <c r="C868" s="78"/>
      <c r="D868" s="78"/>
      <c r="E868" s="78"/>
      <c r="F868" s="78"/>
      <c r="Z868" s="109"/>
      <c r="AA868" s="109"/>
      <c r="AB868" s="109"/>
      <c r="AC868" s="109"/>
      <c r="AD868" s="109"/>
      <c r="AE868" s="109"/>
      <c r="AF868" s="109"/>
      <c r="AG868" s="109"/>
      <c r="AH868" s="109"/>
      <c r="AI868" s="109"/>
      <c r="AJ868" s="109"/>
      <c r="AK868" s="109"/>
      <c r="AL868" s="109"/>
      <c r="AM868" s="109"/>
      <c r="AN868" s="109"/>
      <c r="AO868" s="109"/>
      <c r="AP868" s="109"/>
      <c r="AQ868" s="109"/>
      <c r="AR868" s="109"/>
      <c r="AS868" s="109"/>
    </row>
    <row r="869" spans="1:45" ht="12.6" customHeight="1" x14ac:dyDescent="0.3">
      <c r="A869" s="78"/>
      <c r="B869" s="78"/>
      <c r="C869" s="78"/>
      <c r="D869" s="78"/>
      <c r="E869" s="78"/>
      <c r="F869" s="78"/>
      <c r="Z869" s="109"/>
      <c r="AA869" s="109"/>
      <c r="AB869" s="109"/>
      <c r="AC869" s="109"/>
      <c r="AD869" s="109"/>
      <c r="AE869" s="109"/>
      <c r="AF869" s="109"/>
      <c r="AG869" s="109"/>
      <c r="AH869" s="109"/>
      <c r="AI869" s="109"/>
      <c r="AJ869" s="109"/>
      <c r="AK869" s="109"/>
      <c r="AL869" s="109"/>
      <c r="AM869" s="109"/>
      <c r="AN869" s="109"/>
      <c r="AO869" s="109"/>
      <c r="AP869" s="109"/>
      <c r="AQ869" s="109"/>
      <c r="AR869" s="109"/>
      <c r="AS869" s="109"/>
    </row>
    <row r="870" spans="1:45" ht="12.6" customHeight="1" x14ac:dyDescent="0.3">
      <c r="A870" s="78"/>
      <c r="B870" s="78"/>
      <c r="C870" s="78"/>
      <c r="D870" s="78"/>
      <c r="E870" s="78"/>
      <c r="F870" s="78"/>
      <c r="Z870" s="109"/>
      <c r="AA870" s="109"/>
      <c r="AB870" s="109"/>
      <c r="AC870" s="109"/>
      <c r="AD870" s="109"/>
      <c r="AE870" s="109"/>
      <c r="AF870" s="109"/>
      <c r="AG870" s="109"/>
      <c r="AH870" s="109"/>
      <c r="AI870" s="109"/>
      <c r="AJ870" s="109"/>
      <c r="AK870" s="109"/>
      <c r="AL870" s="109"/>
      <c r="AM870" s="109"/>
      <c r="AN870" s="109"/>
      <c r="AO870" s="109"/>
      <c r="AP870" s="109"/>
      <c r="AQ870" s="109"/>
      <c r="AR870" s="109"/>
      <c r="AS870" s="109"/>
    </row>
    <row r="871" spans="1:45" ht="12.6" customHeight="1" x14ac:dyDescent="0.3">
      <c r="A871" s="78"/>
      <c r="B871" s="78"/>
      <c r="C871" s="78"/>
      <c r="D871" s="78"/>
      <c r="E871" s="78"/>
      <c r="F871" s="78"/>
      <c r="Z871" s="109"/>
      <c r="AA871" s="109"/>
      <c r="AB871" s="109"/>
      <c r="AC871" s="109"/>
      <c r="AD871" s="109"/>
      <c r="AE871" s="109"/>
      <c r="AF871" s="109"/>
      <c r="AG871" s="109"/>
      <c r="AH871" s="109"/>
      <c r="AI871" s="109"/>
      <c r="AJ871" s="109"/>
      <c r="AK871" s="109"/>
      <c r="AL871" s="109"/>
      <c r="AM871" s="109"/>
      <c r="AN871" s="109"/>
      <c r="AO871" s="109"/>
      <c r="AP871" s="109"/>
      <c r="AQ871" s="109"/>
      <c r="AR871" s="109"/>
      <c r="AS871" s="109"/>
    </row>
    <row r="872" spans="1:45" ht="12.6" customHeight="1" x14ac:dyDescent="0.3">
      <c r="A872" s="78"/>
      <c r="B872" s="78"/>
      <c r="C872" s="78"/>
      <c r="D872" s="78"/>
      <c r="E872" s="78"/>
      <c r="F872" s="78"/>
      <c r="Z872" s="109"/>
      <c r="AA872" s="109"/>
      <c r="AB872" s="109"/>
      <c r="AC872" s="109"/>
      <c r="AD872" s="109"/>
      <c r="AE872" s="109"/>
      <c r="AF872" s="109"/>
      <c r="AG872" s="109"/>
      <c r="AH872" s="109"/>
      <c r="AI872" s="109"/>
      <c r="AJ872" s="109"/>
      <c r="AK872" s="109"/>
      <c r="AL872" s="109"/>
      <c r="AM872" s="109"/>
      <c r="AN872" s="109"/>
      <c r="AO872" s="109"/>
      <c r="AP872" s="109"/>
      <c r="AQ872" s="109"/>
      <c r="AR872" s="109"/>
      <c r="AS872" s="109"/>
    </row>
    <row r="873" spans="1:45" ht="12.6" customHeight="1" x14ac:dyDescent="0.3">
      <c r="A873" s="78"/>
      <c r="B873" s="78"/>
      <c r="C873" s="78"/>
      <c r="D873" s="78"/>
      <c r="E873" s="78"/>
      <c r="F873" s="78"/>
      <c r="Z873" s="109"/>
      <c r="AA873" s="109"/>
      <c r="AB873" s="109"/>
      <c r="AC873" s="109"/>
      <c r="AD873" s="109"/>
      <c r="AE873" s="109"/>
      <c r="AF873" s="109"/>
      <c r="AG873" s="109"/>
      <c r="AH873" s="109"/>
      <c r="AI873" s="109"/>
      <c r="AJ873" s="109"/>
      <c r="AK873" s="109"/>
      <c r="AL873" s="109"/>
      <c r="AM873" s="109"/>
      <c r="AN873" s="109"/>
      <c r="AO873" s="109"/>
      <c r="AP873" s="109"/>
      <c r="AQ873" s="109"/>
      <c r="AR873" s="109"/>
      <c r="AS873" s="109"/>
    </row>
    <row r="874" spans="1:45" ht="12.6" customHeight="1" x14ac:dyDescent="0.3">
      <c r="A874" s="78"/>
      <c r="B874" s="78"/>
      <c r="C874" s="78"/>
      <c r="D874" s="78"/>
      <c r="E874" s="78"/>
      <c r="F874" s="78"/>
      <c r="Z874" s="109"/>
      <c r="AA874" s="109"/>
      <c r="AB874" s="109"/>
      <c r="AC874" s="109"/>
      <c r="AD874" s="109"/>
      <c r="AE874" s="109"/>
      <c r="AF874" s="109"/>
      <c r="AG874" s="109"/>
      <c r="AH874" s="109"/>
      <c r="AI874" s="109"/>
      <c r="AJ874" s="109"/>
      <c r="AK874" s="109"/>
      <c r="AL874" s="109"/>
      <c r="AM874" s="109"/>
      <c r="AN874" s="109"/>
      <c r="AO874" s="109"/>
      <c r="AP874" s="109"/>
      <c r="AQ874" s="109"/>
      <c r="AR874" s="109"/>
      <c r="AS874" s="109"/>
    </row>
    <row r="875" spans="1:45" ht="12.6" customHeight="1" x14ac:dyDescent="0.3">
      <c r="A875" s="78"/>
      <c r="B875" s="78"/>
      <c r="C875" s="78"/>
      <c r="D875" s="78"/>
      <c r="E875" s="78"/>
      <c r="F875" s="78"/>
      <c r="Z875" s="109"/>
      <c r="AA875" s="109"/>
      <c r="AB875" s="109"/>
      <c r="AC875" s="109"/>
      <c r="AD875" s="109"/>
      <c r="AE875" s="109"/>
      <c r="AF875" s="109"/>
      <c r="AG875" s="109"/>
      <c r="AH875" s="109"/>
      <c r="AI875" s="109"/>
      <c r="AJ875" s="109"/>
      <c r="AK875" s="109"/>
      <c r="AL875" s="109"/>
      <c r="AM875" s="109"/>
      <c r="AN875" s="109"/>
      <c r="AO875" s="109"/>
      <c r="AP875" s="109"/>
      <c r="AQ875" s="109"/>
      <c r="AR875" s="109"/>
      <c r="AS875" s="109"/>
    </row>
    <row r="876" spans="1:45" ht="12.6" customHeight="1" x14ac:dyDescent="0.3">
      <c r="A876" s="78"/>
      <c r="B876" s="78"/>
      <c r="C876" s="78"/>
      <c r="D876" s="78"/>
      <c r="E876" s="78"/>
      <c r="F876" s="78"/>
      <c r="Z876" s="109"/>
      <c r="AA876" s="109"/>
      <c r="AB876" s="109"/>
      <c r="AC876" s="109"/>
      <c r="AD876" s="109"/>
      <c r="AE876" s="109"/>
      <c r="AF876" s="109"/>
      <c r="AG876" s="109"/>
      <c r="AH876" s="109"/>
      <c r="AI876" s="109"/>
      <c r="AJ876" s="109"/>
      <c r="AK876" s="109"/>
      <c r="AL876" s="109"/>
      <c r="AM876" s="109"/>
      <c r="AN876" s="109"/>
      <c r="AO876" s="109"/>
      <c r="AP876" s="109"/>
      <c r="AQ876" s="109"/>
      <c r="AR876" s="109"/>
      <c r="AS876" s="109"/>
    </row>
    <row r="877" spans="1:45" ht="12.6" customHeight="1" x14ac:dyDescent="0.3">
      <c r="A877" s="78"/>
      <c r="B877" s="78"/>
      <c r="C877" s="78"/>
      <c r="D877" s="78"/>
      <c r="E877" s="78"/>
      <c r="F877" s="78"/>
      <c r="Z877" s="109"/>
      <c r="AA877" s="109"/>
      <c r="AB877" s="109"/>
      <c r="AC877" s="109"/>
      <c r="AD877" s="109"/>
      <c r="AE877" s="109"/>
      <c r="AF877" s="109"/>
      <c r="AG877" s="109"/>
      <c r="AH877" s="109"/>
      <c r="AI877" s="109"/>
      <c r="AJ877" s="109"/>
      <c r="AK877" s="109"/>
      <c r="AL877" s="109"/>
      <c r="AM877" s="109"/>
      <c r="AN877" s="109"/>
      <c r="AO877" s="109"/>
      <c r="AP877" s="109"/>
      <c r="AQ877" s="109"/>
      <c r="AR877" s="109"/>
      <c r="AS877" s="109"/>
    </row>
    <row r="878" spans="1:45" ht="12.6" customHeight="1" x14ac:dyDescent="0.3">
      <c r="A878" s="58"/>
      <c r="B878" s="58"/>
      <c r="C878" s="58"/>
      <c r="D878" s="58"/>
      <c r="E878" s="58"/>
      <c r="F878" s="58"/>
      <c r="Z878" s="109"/>
      <c r="AA878" s="109"/>
      <c r="AB878" s="109"/>
      <c r="AC878" s="109"/>
      <c r="AD878" s="109"/>
      <c r="AE878" s="109"/>
      <c r="AF878" s="109"/>
      <c r="AG878" s="109"/>
      <c r="AH878" s="109"/>
      <c r="AI878" s="109"/>
      <c r="AJ878" s="109"/>
      <c r="AK878" s="109"/>
      <c r="AL878" s="109"/>
      <c r="AM878" s="109"/>
      <c r="AN878" s="109"/>
      <c r="AO878" s="109"/>
      <c r="AP878" s="109"/>
      <c r="AQ878" s="109"/>
      <c r="AR878" s="109"/>
      <c r="AS878" s="109"/>
    </row>
    <row r="879" spans="1:45" ht="12.6" customHeight="1" x14ac:dyDescent="0.3">
      <c r="A879" s="159" t="s">
        <v>1401</v>
      </c>
      <c r="B879" s="152"/>
      <c r="C879" s="55">
        <f>E879+D879+F879</f>
        <v>23875</v>
      </c>
      <c r="D879" s="54">
        <f>ROUNDDOWN(SUMIF(N812:N866,M879,D812:D866),0)</f>
        <v>12397</v>
      </c>
      <c r="E879" s="63">
        <f>ROUNDDOWN(SUMIF(N812:N866,M879,E812:E866),0)</f>
        <v>4097</v>
      </c>
      <c r="F879" s="55">
        <f>ROUNDDOWN(SUMIF(N812:N866,M879,F812:F866),0)</f>
        <v>7381</v>
      </c>
      <c r="M879" s="20" t="s">
        <v>1128</v>
      </c>
      <c r="Z879" s="109"/>
      <c r="AA879" s="109"/>
      <c r="AB879" s="109"/>
      <c r="AC879" s="109"/>
      <c r="AD879" s="109"/>
      <c r="AE879" s="109"/>
      <c r="AF879" s="109"/>
      <c r="AG879" s="109"/>
      <c r="AH879" s="109"/>
      <c r="AI879" s="109"/>
      <c r="AJ879" s="109"/>
      <c r="AK879" s="109"/>
      <c r="AL879" s="109"/>
      <c r="AM879" s="109"/>
      <c r="AN879" s="109"/>
      <c r="AO879" s="109"/>
      <c r="AP879" s="109"/>
      <c r="AQ879" s="109"/>
      <c r="AR879" s="109"/>
      <c r="AS879" s="109"/>
    </row>
    <row r="880" spans="1:45" ht="12.6" customHeight="1" x14ac:dyDescent="0.3">
      <c r="A880" s="95" t="s">
        <v>89</v>
      </c>
      <c r="B880" s="96" t="s">
        <v>89</v>
      </c>
      <c r="C880" s="158">
        <f>C1019</f>
        <v>35460</v>
      </c>
      <c r="D880" s="158">
        <f>D1019</f>
        <v>0</v>
      </c>
      <c r="E880" s="158">
        <f>E1019</f>
        <v>0</v>
      </c>
      <c r="F880" s="158">
        <f>F1019</f>
        <v>35460</v>
      </c>
      <c r="G880" s="36" t="str">
        <f>HYPERLINK("#G"&amp;ROW(G984),"_x0005_`BDCOD|D01989_x0007_`POSS|"&amp;ROW(G882)&amp;"_x0007_`POSE|"&amp;ROW(G984)&amp;"_x0007_`")</f>
        <v>_x0005_`BDCOD|D01989_x0007_`POSS|882_x0007_`POSE|984_x0007_`</v>
      </c>
      <c r="Z880" s="109"/>
      <c r="AA880" s="109"/>
      <c r="AB880" s="109"/>
      <c r="AC880" s="109"/>
      <c r="AD880" s="109"/>
      <c r="AE880" s="109"/>
      <c r="AF880" s="109"/>
      <c r="AG880" s="109"/>
      <c r="AH880" s="109"/>
      <c r="AI880" s="109"/>
      <c r="AJ880" s="109"/>
      <c r="AK880" s="109"/>
      <c r="AL880" s="109"/>
      <c r="AM880" s="109"/>
      <c r="AN880" s="109"/>
      <c r="AO880" s="109"/>
      <c r="AP880" s="109"/>
      <c r="AQ880" s="109"/>
      <c r="AR880" s="109"/>
      <c r="AS880" s="109"/>
    </row>
    <row r="881" spans="1:45" ht="12.6" customHeight="1" x14ac:dyDescent="0.3">
      <c r="A881" s="84"/>
      <c r="B881" s="96" t="s">
        <v>226</v>
      </c>
      <c r="C881" s="141"/>
      <c r="D881" s="141"/>
      <c r="E881" s="141"/>
      <c r="F881" s="141"/>
      <c r="M881" s="20" t="s">
        <v>225</v>
      </c>
      <c r="Z881" s="109"/>
      <c r="AA881" s="109"/>
      <c r="AB881" s="109"/>
      <c r="AC881" s="109"/>
      <c r="AD881" s="109"/>
      <c r="AE881" s="109"/>
      <c r="AF881" s="109"/>
      <c r="AG881" s="109"/>
      <c r="AH881" s="109"/>
      <c r="AI881" s="109"/>
      <c r="AJ881" s="109"/>
      <c r="AK881" s="109"/>
      <c r="AL881" s="109"/>
      <c r="AM881" s="109"/>
      <c r="AN881" s="109"/>
      <c r="AO881" s="109"/>
      <c r="AP881" s="109"/>
      <c r="AQ881" s="109"/>
      <c r="AR881" s="109"/>
      <c r="AS881" s="109"/>
    </row>
    <row r="882" spans="1:45" ht="12.6" customHeight="1" x14ac:dyDescent="0.3">
      <c r="A882" s="68"/>
      <c r="B882" s="77" t="s">
        <v>1679</v>
      </c>
      <c r="C882" s="98"/>
      <c r="D882" s="98"/>
      <c r="E882" s="98"/>
      <c r="F882" s="98"/>
      <c r="G882" s="16" t="s">
        <v>1678</v>
      </c>
      <c r="Z882" s="109"/>
      <c r="AA882" s="109"/>
      <c r="AB882" s="109"/>
      <c r="AC882" s="109"/>
      <c r="AD882" s="109"/>
      <c r="AE882" s="109"/>
      <c r="AF882" s="109"/>
      <c r="AG882" s="109"/>
      <c r="AH882" s="109"/>
      <c r="AI882" s="109"/>
      <c r="AJ882" s="109"/>
      <c r="AK882" s="109"/>
      <c r="AL882" s="109"/>
      <c r="AM882" s="109"/>
      <c r="AN882" s="109"/>
      <c r="AO882" s="109"/>
      <c r="AP882" s="109"/>
      <c r="AQ882" s="109"/>
      <c r="AR882" s="109"/>
      <c r="AS882" s="109"/>
    </row>
    <row r="883" spans="1:45" ht="12.6" customHeight="1" x14ac:dyDescent="0.3">
      <c r="A883" s="78"/>
      <c r="B883" s="78"/>
      <c r="C883" s="78"/>
      <c r="D883" s="78"/>
      <c r="E883" s="78"/>
      <c r="F883" s="78"/>
      <c r="G883" s="16" t="s">
        <v>1317</v>
      </c>
      <c r="Z883" s="109"/>
      <c r="AA883" s="109"/>
      <c r="AB883" s="109"/>
      <c r="AC883" s="109"/>
      <c r="AD883" s="109"/>
      <c r="AE883" s="109"/>
      <c r="AF883" s="109"/>
      <c r="AG883" s="109"/>
      <c r="AH883" s="109"/>
      <c r="AI883" s="109"/>
      <c r="AJ883" s="109"/>
      <c r="AK883" s="109"/>
      <c r="AL883" s="109"/>
      <c r="AM883" s="109"/>
      <c r="AN883" s="109"/>
      <c r="AO883" s="109"/>
      <c r="AP883" s="109"/>
      <c r="AQ883" s="109"/>
      <c r="AR883" s="109"/>
      <c r="AS883" s="109"/>
    </row>
    <row r="884" spans="1:45" ht="12.6" customHeight="1" x14ac:dyDescent="0.3">
      <c r="A884" s="78"/>
      <c r="B884" s="78"/>
      <c r="C884" s="78"/>
      <c r="D884" s="78"/>
      <c r="E884" s="78"/>
      <c r="F884" s="78"/>
      <c r="G884" s="16" t="s">
        <v>1317</v>
      </c>
      <c r="Z884" s="109"/>
      <c r="AA884" s="109"/>
      <c r="AB884" s="109"/>
      <c r="AC884" s="109"/>
      <c r="AD884" s="109"/>
      <c r="AE884" s="109"/>
      <c r="AF884" s="109"/>
      <c r="AG884" s="109"/>
      <c r="AH884" s="109"/>
      <c r="AI884" s="109"/>
      <c r="AJ884" s="109"/>
      <c r="AK884" s="109"/>
      <c r="AL884" s="109"/>
      <c r="AM884" s="109"/>
      <c r="AN884" s="109"/>
      <c r="AO884" s="109"/>
      <c r="AP884" s="109"/>
      <c r="AQ884" s="109"/>
      <c r="AR884" s="109"/>
      <c r="AS884" s="109"/>
    </row>
    <row r="885" spans="1:45" ht="12.6" customHeight="1" x14ac:dyDescent="0.3">
      <c r="A885" s="68"/>
      <c r="B885" s="97" t="str">
        <f>"           포  장 :  L1 = "&amp;Z885&amp;" km "</f>
        <v xml:space="preserve">           포  장 :  L1 = 73 km </v>
      </c>
      <c r="C885" s="78"/>
      <c r="D885" s="78"/>
      <c r="E885" s="78"/>
      <c r="F885" s="78"/>
      <c r="G885" s="16" t="s">
        <v>1680</v>
      </c>
      <c r="Z885" s="111">
        <v>73</v>
      </c>
      <c r="AA885" s="20" t="s">
        <v>1326</v>
      </c>
      <c r="AB885" s="112">
        <f>Z885</f>
        <v>73</v>
      </c>
      <c r="AC885" s="109"/>
      <c r="AD885" s="109"/>
      <c r="AE885" s="109"/>
      <c r="AF885" s="109"/>
      <c r="AG885" s="109"/>
      <c r="AH885" s="109"/>
      <c r="AI885" s="109"/>
      <c r="AJ885" s="109"/>
      <c r="AK885" s="109"/>
      <c r="AL885" s="109"/>
      <c r="AM885" s="109"/>
      <c r="AN885" s="109"/>
      <c r="AO885" s="109"/>
      <c r="AP885" s="109"/>
      <c r="AQ885" s="109"/>
      <c r="AR885" s="109"/>
      <c r="AS885" s="109"/>
    </row>
    <row r="886" spans="1:45" ht="12.6" customHeight="1" x14ac:dyDescent="0.3">
      <c r="A886" s="68"/>
      <c r="B886" s="77" t="s">
        <v>1682</v>
      </c>
      <c r="C886" s="78"/>
      <c r="D886" s="78"/>
      <c r="E886" s="78"/>
      <c r="F886" s="78"/>
      <c r="G886" s="16" t="s">
        <v>1681</v>
      </c>
      <c r="Z886" s="109"/>
      <c r="AA886" s="109"/>
      <c r="AB886" s="109"/>
      <c r="AC886" s="109"/>
      <c r="AD886" s="109"/>
      <c r="AE886" s="109"/>
      <c r="AF886" s="109"/>
      <c r="AG886" s="109"/>
      <c r="AH886" s="109"/>
      <c r="AI886" s="109"/>
      <c r="AJ886" s="109"/>
      <c r="AK886" s="109"/>
      <c r="AL886" s="109"/>
      <c r="AM886" s="109"/>
      <c r="AN886" s="109"/>
      <c r="AO886" s="109"/>
      <c r="AP886" s="109"/>
      <c r="AQ886" s="109"/>
      <c r="AR886" s="109"/>
      <c r="AS886" s="109"/>
    </row>
    <row r="887" spans="1:45" ht="12.6" customHeight="1" x14ac:dyDescent="0.3">
      <c r="A887" s="68"/>
      <c r="B887" s="97" t="str">
        <f>"           비포장 :  L2 = "&amp;Z887&amp;" km "</f>
        <v xml:space="preserve">           비포장 :  L2 = 7 km </v>
      </c>
      <c r="C887" s="78"/>
      <c r="D887" s="78"/>
      <c r="E887" s="78"/>
      <c r="F887" s="78"/>
      <c r="G887" s="16" t="s">
        <v>1683</v>
      </c>
      <c r="Z887" s="111">
        <v>7</v>
      </c>
      <c r="AA887" s="20" t="s">
        <v>1326</v>
      </c>
      <c r="AB887" s="112">
        <f>Z887</f>
        <v>7</v>
      </c>
      <c r="AC887" s="109"/>
      <c r="AD887" s="109"/>
      <c r="AE887" s="109"/>
      <c r="AF887" s="109"/>
      <c r="AG887" s="109"/>
      <c r="AH887" s="109"/>
      <c r="AI887" s="109"/>
      <c r="AJ887" s="109"/>
      <c r="AK887" s="109"/>
      <c r="AL887" s="109"/>
      <c r="AM887" s="109"/>
      <c r="AN887" s="109"/>
      <c r="AO887" s="109"/>
      <c r="AP887" s="109"/>
      <c r="AQ887" s="109"/>
      <c r="AR887" s="109"/>
      <c r="AS887" s="109"/>
    </row>
    <row r="888" spans="1:45" ht="12.6" customHeight="1" x14ac:dyDescent="0.3">
      <c r="A888" s="78"/>
      <c r="B888" s="78"/>
      <c r="C888" s="78"/>
      <c r="D888" s="78"/>
      <c r="E888" s="78"/>
      <c r="F888" s="78"/>
      <c r="G888" s="16" t="s">
        <v>1317</v>
      </c>
      <c r="Z888" s="109"/>
      <c r="AA888" s="109"/>
      <c r="AB888" s="109"/>
      <c r="AC888" s="109"/>
      <c r="AD888" s="109"/>
      <c r="AE888" s="109"/>
      <c r="AF888" s="109"/>
      <c r="AG888" s="109"/>
      <c r="AH888" s="109"/>
      <c r="AI888" s="109"/>
      <c r="AJ888" s="109"/>
      <c r="AK888" s="109"/>
      <c r="AL888" s="109"/>
      <c r="AM888" s="109"/>
      <c r="AN888" s="109"/>
      <c r="AO888" s="109"/>
      <c r="AP888" s="109"/>
      <c r="AQ888" s="109"/>
      <c r="AR888" s="109"/>
      <c r="AS888" s="109"/>
    </row>
    <row r="889" spans="1:45" ht="12.6" customHeight="1" x14ac:dyDescent="0.3">
      <c r="A889" s="78"/>
      <c r="B889" s="78"/>
      <c r="C889" s="78"/>
      <c r="D889" s="78"/>
      <c r="E889" s="78"/>
      <c r="F889" s="78"/>
      <c r="G889" s="16" t="s">
        <v>1317</v>
      </c>
      <c r="Z889" s="109"/>
      <c r="AA889" s="109"/>
      <c r="AB889" s="109"/>
      <c r="AC889" s="109"/>
      <c r="AD889" s="109"/>
      <c r="AE889" s="109"/>
      <c r="AF889" s="109"/>
      <c r="AG889" s="109"/>
      <c r="AH889" s="109"/>
      <c r="AI889" s="109"/>
      <c r="AJ889" s="109"/>
      <c r="AK889" s="109"/>
      <c r="AL889" s="109"/>
      <c r="AM889" s="109"/>
      <c r="AN889" s="109"/>
      <c r="AO889" s="109"/>
      <c r="AP889" s="109"/>
      <c r="AQ889" s="109"/>
      <c r="AR889" s="109"/>
      <c r="AS889" s="109"/>
    </row>
    <row r="890" spans="1:45" ht="12.6" customHeight="1" x14ac:dyDescent="0.3">
      <c r="A890" s="68"/>
      <c r="B890" s="77" t="s">
        <v>1685</v>
      </c>
      <c r="C890" s="78"/>
      <c r="D890" s="78"/>
      <c r="E890" s="78"/>
      <c r="F890" s="78"/>
      <c r="G890" s="16" t="s">
        <v>1684</v>
      </c>
      <c r="Z890" s="109"/>
      <c r="AA890" s="109"/>
      <c r="AB890" s="109"/>
      <c r="AC890" s="109"/>
      <c r="AD890" s="109"/>
      <c r="AE890" s="109"/>
      <c r="AF890" s="109"/>
      <c r="AG890" s="109"/>
      <c r="AH890" s="109"/>
      <c r="AI890" s="109"/>
      <c r="AJ890" s="109"/>
      <c r="AK890" s="109"/>
      <c r="AL890" s="109"/>
      <c r="AM890" s="109"/>
      <c r="AN890" s="109"/>
      <c r="AO890" s="109"/>
      <c r="AP890" s="109"/>
      <c r="AQ890" s="109"/>
      <c r="AR890" s="109"/>
      <c r="AS890" s="109"/>
    </row>
    <row r="891" spans="1:45" ht="12.6" customHeight="1" x14ac:dyDescent="0.3">
      <c r="A891" s="78"/>
      <c r="B891" s="78"/>
      <c r="C891" s="78"/>
      <c r="D891" s="78"/>
      <c r="E891" s="78"/>
      <c r="F891" s="78"/>
      <c r="G891" s="16" t="s">
        <v>1317</v>
      </c>
      <c r="Z891" s="109"/>
      <c r="AA891" s="109"/>
      <c r="AB891" s="109"/>
      <c r="AC891" s="109"/>
      <c r="AD891" s="109"/>
      <c r="AE891" s="109"/>
      <c r="AF891" s="109"/>
      <c r="AG891" s="109"/>
      <c r="AH891" s="109"/>
      <c r="AI891" s="109"/>
      <c r="AJ891" s="109"/>
      <c r="AK891" s="109"/>
      <c r="AL891" s="109"/>
      <c r="AM891" s="109"/>
      <c r="AN891" s="109"/>
      <c r="AO891" s="109"/>
      <c r="AP891" s="109"/>
      <c r="AQ891" s="109"/>
      <c r="AR891" s="109"/>
      <c r="AS891" s="109"/>
    </row>
    <row r="892" spans="1:45" ht="12.6" customHeight="1" x14ac:dyDescent="0.3">
      <c r="A892" s="68"/>
      <c r="B892" s="77" t="s">
        <v>1687</v>
      </c>
      <c r="C892" s="78"/>
      <c r="D892" s="78"/>
      <c r="E892" s="78"/>
      <c r="F892" s="78"/>
      <c r="G892" s="16" t="s">
        <v>1686</v>
      </c>
      <c r="Z892" s="109"/>
      <c r="AA892" s="109"/>
      <c r="AB892" s="109"/>
      <c r="AC892" s="109"/>
      <c r="AD892" s="109"/>
      <c r="AE892" s="109"/>
      <c r="AF892" s="109"/>
      <c r="AG892" s="109"/>
      <c r="AH892" s="109"/>
      <c r="AI892" s="109"/>
      <c r="AJ892" s="109"/>
      <c r="AK892" s="109"/>
      <c r="AL892" s="109"/>
      <c r="AM892" s="109"/>
      <c r="AN892" s="109"/>
      <c r="AO892" s="109"/>
      <c r="AP892" s="109"/>
      <c r="AQ892" s="109"/>
      <c r="AR892" s="109"/>
      <c r="AS892" s="109"/>
    </row>
    <row r="893" spans="1:45" ht="12.6" customHeight="1" x14ac:dyDescent="0.3">
      <c r="A893" s="78"/>
      <c r="B893" s="78"/>
      <c r="C893" s="78"/>
      <c r="D893" s="78"/>
      <c r="E893" s="78"/>
      <c r="F893" s="78"/>
      <c r="G893" s="16" t="s">
        <v>1317</v>
      </c>
      <c r="Z893" s="109"/>
      <c r="AA893" s="109"/>
      <c r="AB893" s="109"/>
      <c r="AC893" s="109"/>
      <c r="AD893" s="109"/>
      <c r="AE893" s="109"/>
      <c r="AF893" s="109"/>
      <c r="AG893" s="109"/>
      <c r="AH893" s="109"/>
      <c r="AI893" s="109"/>
      <c r="AJ893" s="109"/>
      <c r="AK893" s="109"/>
      <c r="AL893" s="109"/>
      <c r="AM893" s="109"/>
      <c r="AN893" s="109"/>
      <c r="AO893" s="109"/>
      <c r="AP893" s="109"/>
      <c r="AQ893" s="109"/>
      <c r="AR893" s="109"/>
      <c r="AS893" s="109"/>
    </row>
    <row r="894" spans="1:45" ht="12.6" customHeight="1" x14ac:dyDescent="0.3">
      <c r="A894" s="68"/>
      <c r="B894" s="77" t="s">
        <v>1689</v>
      </c>
      <c r="C894" s="78"/>
      <c r="D894" s="78"/>
      <c r="E894" s="78"/>
      <c r="F894" s="78"/>
      <c r="G894" s="16" t="s">
        <v>1688</v>
      </c>
      <c r="Z894" s="109"/>
      <c r="AA894" s="109"/>
      <c r="AB894" s="109"/>
      <c r="AC894" s="109"/>
      <c r="AD894" s="109"/>
      <c r="AE894" s="109"/>
      <c r="AF894" s="109"/>
      <c r="AG894" s="109"/>
      <c r="AH894" s="109"/>
      <c r="AI894" s="109"/>
      <c r="AJ894" s="109"/>
      <c r="AK894" s="109"/>
      <c r="AL894" s="109"/>
      <c r="AM894" s="109"/>
      <c r="AN894" s="109"/>
      <c r="AO894" s="109"/>
      <c r="AP894" s="109"/>
      <c r="AQ894" s="109"/>
      <c r="AR894" s="109"/>
      <c r="AS894" s="109"/>
    </row>
    <row r="895" spans="1:45" ht="12.6" customHeight="1" x14ac:dyDescent="0.3">
      <c r="A895" s="78"/>
      <c r="B895" s="78"/>
      <c r="C895" s="78"/>
      <c r="D895" s="78"/>
      <c r="E895" s="78"/>
      <c r="F895" s="78"/>
      <c r="G895" s="16" t="s">
        <v>1317</v>
      </c>
      <c r="Z895" s="109"/>
      <c r="AA895" s="109"/>
      <c r="AB895" s="109"/>
      <c r="AC895" s="109"/>
      <c r="AD895" s="109"/>
      <c r="AE895" s="109"/>
      <c r="AF895" s="109"/>
      <c r="AG895" s="109"/>
      <c r="AH895" s="109"/>
      <c r="AI895" s="109"/>
      <c r="AJ895" s="109"/>
      <c r="AK895" s="109"/>
      <c r="AL895" s="109"/>
      <c r="AM895" s="109"/>
      <c r="AN895" s="109"/>
      <c r="AO895" s="109"/>
      <c r="AP895" s="109"/>
      <c r="AQ895" s="109"/>
      <c r="AR895" s="109"/>
      <c r="AS895" s="109"/>
    </row>
    <row r="896" spans="1:45" ht="12.6" customHeight="1" x14ac:dyDescent="0.3">
      <c r="A896" s="68"/>
      <c r="B896" s="77" t="s">
        <v>1691</v>
      </c>
      <c r="C896" s="78"/>
      <c r="D896" s="78"/>
      <c r="E896" s="78"/>
      <c r="F896" s="78"/>
      <c r="G896" s="16" t="s">
        <v>1690</v>
      </c>
      <c r="Z896" s="109"/>
      <c r="AA896" s="109"/>
      <c r="AB896" s="109"/>
      <c r="AC896" s="109"/>
      <c r="AD896" s="109"/>
      <c r="AE896" s="109"/>
      <c r="AF896" s="109"/>
      <c r="AG896" s="109"/>
      <c r="AH896" s="109"/>
      <c r="AI896" s="109"/>
      <c r="AJ896" s="109"/>
      <c r="AK896" s="109"/>
      <c r="AL896" s="109"/>
      <c r="AM896" s="109"/>
      <c r="AN896" s="109"/>
      <c r="AO896" s="109"/>
      <c r="AP896" s="109"/>
      <c r="AQ896" s="109"/>
      <c r="AR896" s="109"/>
      <c r="AS896" s="109"/>
    </row>
    <row r="897" spans="1:45" ht="12.6" customHeight="1" x14ac:dyDescent="0.3">
      <c r="A897" s="78"/>
      <c r="B897" s="78"/>
      <c r="C897" s="78"/>
      <c r="D897" s="78"/>
      <c r="E897" s="78"/>
      <c r="F897" s="78"/>
      <c r="G897" s="16" t="s">
        <v>1317</v>
      </c>
      <c r="Z897" s="109"/>
      <c r="AA897" s="109"/>
      <c r="AB897" s="109"/>
      <c r="AC897" s="109"/>
      <c r="AD897" s="109"/>
      <c r="AE897" s="109"/>
      <c r="AF897" s="109"/>
      <c r="AG897" s="109"/>
      <c r="AH897" s="109"/>
      <c r="AI897" s="109"/>
      <c r="AJ897" s="109"/>
      <c r="AK897" s="109"/>
      <c r="AL897" s="109"/>
      <c r="AM897" s="109"/>
      <c r="AN897" s="109"/>
      <c r="AO897" s="109"/>
      <c r="AP897" s="109"/>
      <c r="AQ897" s="109"/>
      <c r="AR897" s="109"/>
      <c r="AS897" s="109"/>
    </row>
    <row r="898" spans="1:45" ht="12.6" customHeight="1" x14ac:dyDescent="0.3">
      <c r="A898" s="68"/>
      <c r="B898" s="77" t="s">
        <v>1693</v>
      </c>
      <c r="C898" s="78"/>
      <c r="D898" s="78"/>
      <c r="E898" s="78"/>
      <c r="F898" s="78"/>
      <c r="G898" s="16" t="s">
        <v>1692</v>
      </c>
      <c r="Z898" s="109"/>
      <c r="AA898" s="109"/>
      <c r="AB898" s="109"/>
      <c r="AC898" s="109"/>
      <c r="AD898" s="109"/>
      <c r="AE898" s="109"/>
      <c r="AF898" s="109"/>
      <c r="AG898" s="109"/>
      <c r="AH898" s="109"/>
      <c r="AI898" s="109"/>
      <c r="AJ898" s="109"/>
      <c r="AK898" s="109"/>
      <c r="AL898" s="109"/>
      <c r="AM898" s="109"/>
      <c r="AN898" s="109"/>
      <c r="AO898" s="109"/>
      <c r="AP898" s="109"/>
      <c r="AQ898" s="109"/>
      <c r="AR898" s="109"/>
      <c r="AS898" s="109"/>
    </row>
    <row r="899" spans="1:45" ht="12.6" customHeight="1" x14ac:dyDescent="0.3">
      <c r="A899" s="78"/>
      <c r="B899" s="78"/>
      <c r="C899" s="78"/>
      <c r="D899" s="78"/>
      <c r="E899" s="78"/>
      <c r="F899" s="78"/>
      <c r="G899" s="16" t="s">
        <v>1317</v>
      </c>
      <c r="Z899" s="109"/>
      <c r="AA899" s="109"/>
      <c r="AB899" s="109"/>
      <c r="AC899" s="109"/>
      <c r="AD899" s="109"/>
      <c r="AE899" s="109"/>
      <c r="AF899" s="109"/>
      <c r="AG899" s="109"/>
      <c r="AH899" s="109"/>
      <c r="AI899" s="109"/>
      <c r="AJ899" s="109"/>
      <c r="AK899" s="109"/>
      <c r="AL899" s="109"/>
      <c r="AM899" s="109"/>
      <c r="AN899" s="109"/>
      <c r="AO899" s="109"/>
      <c r="AP899" s="109"/>
      <c r="AQ899" s="109"/>
      <c r="AR899" s="109"/>
      <c r="AS899" s="109"/>
    </row>
    <row r="900" spans="1:45" ht="12.6" customHeight="1" x14ac:dyDescent="0.3">
      <c r="A900" s="68"/>
      <c r="B900" s="97" t="str">
        <f>" f (체적환산계수) ="&amp;Z900&amp;"= "&amp;AB900&amp;" , E (작업효율) ="&amp;AD900&amp;""</f>
        <v xml:space="preserve"> f (체적환산계수) =1= 1.00 , E (작업효율) =0.9</v>
      </c>
      <c r="C900" s="78"/>
      <c r="D900" s="78"/>
      <c r="E900" s="78"/>
      <c r="F900" s="78"/>
      <c r="G900" s="16" t="s">
        <v>1694</v>
      </c>
      <c r="Z900" s="111">
        <v>1</v>
      </c>
      <c r="AA900" s="20" t="s">
        <v>1326</v>
      </c>
      <c r="AB900" s="112" t="str">
        <f>TEXT(ROUND(Z900,2),"0.00")</f>
        <v>1.00</v>
      </c>
      <c r="AC900" s="20" t="s">
        <v>1385</v>
      </c>
      <c r="AD900" s="110">
        <v>0.9</v>
      </c>
      <c r="AE900" s="20" t="s">
        <v>1326</v>
      </c>
      <c r="AF900" s="112">
        <f>AD900</f>
        <v>0.9</v>
      </c>
      <c r="AG900" s="20" t="s">
        <v>1385</v>
      </c>
      <c r="AH900" s="109"/>
      <c r="AI900" s="109"/>
      <c r="AJ900" s="109"/>
      <c r="AK900" s="109"/>
      <c r="AL900" s="109"/>
      <c r="AM900" s="109"/>
      <c r="AN900" s="109"/>
      <c r="AO900" s="109"/>
      <c r="AP900" s="109"/>
      <c r="AQ900" s="109"/>
      <c r="AR900" s="109"/>
      <c r="AS900" s="109"/>
    </row>
    <row r="901" spans="1:45" ht="12.6" customHeight="1" x14ac:dyDescent="0.3">
      <c r="A901" s="78"/>
      <c r="B901" s="78"/>
      <c r="C901" s="78"/>
      <c r="D901" s="78"/>
      <c r="E901" s="78"/>
      <c r="F901" s="78"/>
      <c r="G901" s="16" t="s">
        <v>1317</v>
      </c>
      <c r="Z901" s="109"/>
      <c r="AA901" s="109"/>
      <c r="AB901" s="109"/>
      <c r="AC901" s="109"/>
      <c r="AD901" s="109"/>
      <c r="AE901" s="109"/>
      <c r="AF901" s="109"/>
      <c r="AG901" s="109"/>
      <c r="AH901" s="109"/>
      <c r="AI901" s="109"/>
      <c r="AJ901" s="109"/>
      <c r="AK901" s="109"/>
      <c r="AL901" s="109"/>
      <c r="AM901" s="109"/>
      <c r="AN901" s="109"/>
      <c r="AO901" s="109"/>
      <c r="AP901" s="109"/>
      <c r="AQ901" s="109"/>
      <c r="AR901" s="109"/>
      <c r="AS901" s="109"/>
    </row>
    <row r="902" spans="1:45" ht="12.6" customHeight="1" x14ac:dyDescent="0.3">
      <c r="A902" s="68"/>
      <c r="B902" s="97" t="str">
        <f>" k (버킷계수) ="&amp;Z902&amp;""</f>
        <v xml:space="preserve"> k (버킷계수) =0.55</v>
      </c>
      <c r="C902" s="78"/>
      <c r="D902" s="78"/>
      <c r="E902" s="78"/>
      <c r="F902" s="78"/>
      <c r="G902" s="16" t="s">
        <v>1695</v>
      </c>
      <c r="Z902" s="110">
        <v>0.55000000000000004</v>
      </c>
      <c r="AA902" s="20" t="s">
        <v>1326</v>
      </c>
      <c r="AB902" s="112">
        <f>Z902</f>
        <v>0.55000000000000004</v>
      </c>
      <c r="AC902" s="109"/>
      <c r="AD902" s="109"/>
      <c r="AE902" s="109"/>
      <c r="AF902" s="109"/>
      <c r="AG902" s="109"/>
      <c r="AH902" s="109"/>
      <c r="AI902" s="109"/>
      <c r="AJ902" s="109"/>
      <c r="AK902" s="109"/>
      <c r="AL902" s="109"/>
      <c r="AM902" s="109"/>
      <c r="AN902" s="109"/>
      <c r="AO902" s="109"/>
      <c r="AP902" s="109"/>
      <c r="AQ902" s="109"/>
      <c r="AR902" s="109"/>
      <c r="AS902" s="109"/>
    </row>
    <row r="903" spans="1:45" ht="12.6" customHeight="1" x14ac:dyDescent="0.3">
      <c r="A903" s="78"/>
      <c r="B903" s="78"/>
      <c r="C903" s="78"/>
      <c r="D903" s="78"/>
      <c r="E903" s="78"/>
      <c r="F903" s="78"/>
      <c r="G903" s="16" t="s">
        <v>1317</v>
      </c>
      <c r="Z903" s="109"/>
      <c r="AA903" s="109"/>
      <c r="AB903" s="109"/>
      <c r="AC903" s="109"/>
      <c r="AD903" s="109"/>
      <c r="AE903" s="109"/>
      <c r="AF903" s="109"/>
      <c r="AG903" s="109"/>
      <c r="AH903" s="109"/>
      <c r="AI903" s="109"/>
      <c r="AJ903" s="109"/>
      <c r="AK903" s="109"/>
      <c r="AL903" s="109"/>
      <c r="AM903" s="109"/>
      <c r="AN903" s="109"/>
      <c r="AO903" s="109"/>
      <c r="AP903" s="109"/>
      <c r="AQ903" s="109"/>
      <c r="AR903" s="109"/>
      <c r="AS903" s="109"/>
    </row>
    <row r="904" spans="1:45" ht="12.6" customHeight="1" x14ac:dyDescent="0.3">
      <c r="A904" s="68"/>
      <c r="B904" s="97" t="str">
        <f>" V1="&amp;Z904&amp;" , V2="&amp;AD904&amp;" , V3="&amp;AH904&amp;" , V4="&amp;AL904&amp;""</f>
        <v xml:space="preserve"> V1=30 , V2=35 , V3=10 , V4=15</v>
      </c>
      <c r="C904" s="78"/>
      <c r="D904" s="78"/>
      <c r="E904" s="78"/>
      <c r="F904" s="78"/>
      <c r="G904" s="16" t="s">
        <v>1696</v>
      </c>
      <c r="Z904" s="111">
        <v>30</v>
      </c>
      <c r="AA904" s="20" t="s">
        <v>1326</v>
      </c>
      <c r="AB904" s="112">
        <f>Z904</f>
        <v>30</v>
      </c>
      <c r="AC904" s="20" t="s">
        <v>1385</v>
      </c>
      <c r="AD904" s="111">
        <v>35</v>
      </c>
      <c r="AE904" s="20" t="s">
        <v>1326</v>
      </c>
      <c r="AF904" s="112">
        <f>AD904</f>
        <v>35</v>
      </c>
      <c r="AG904" s="20" t="s">
        <v>1385</v>
      </c>
      <c r="AH904" s="111">
        <v>10</v>
      </c>
      <c r="AI904" s="20" t="s">
        <v>1326</v>
      </c>
      <c r="AJ904" s="112">
        <f>AH904</f>
        <v>10</v>
      </c>
      <c r="AK904" s="20" t="s">
        <v>1385</v>
      </c>
      <c r="AL904" s="111">
        <v>15</v>
      </c>
      <c r="AM904" s="20" t="s">
        <v>1326</v>
      </c>
      <c r="AN904" s="112">
        <f>AL904</f>
        <v>15</v>
      </c>
      <c r="AO904" s="20" t="s">
        <v>1385</v>
      </c>
      <c r="AP904" s="109"/>
      <c r="AQ904" s="109"/>
      <c r="AR904" s="109"/>
      <c r="AS904" s="109"/>
    </row>
    <row r="905" spans="1:45" ht="12.6" customHeight="1" x14ac:dyDescent="0.3">
      <c r="A905" s="78"/>
      <c r="B905" s="78"/>
      <c r="C905" s="78"/>
      <c r="D905" s="78"/>
      <c r="E905" s="78"/>
      <c r="F905" s="78"/>
      <c r="G905" s="16" t="s">
        <v>1317</v>
      </c>
      <c r="Z905" s="109"/>
      <c r="AA905" s="109"/>
      <c r="AB905" s="109"/>
      <c r="AC905" s="109"/>
      <c r="AD905" s="109"/>
      <c r="AE905" s="109"/>
      <c r="AF905" s="109"/>
      <c r="AG905" s="109"/>
      <c r="AH905" s="109"/>
      <c r="AI905" s="109"/>
      <c r="AJ905" s="109"/>
      <c r="AK905" s="109"/>
      <c r="AL905" s="109"/>
      <c r="AM905" s="109"/>
      <c r="AN905" s="109"/>
      <c r="AO905" s="109"/>
      <c r="AP905" s="109"/>
      <c r="AQ905" s="109"/>
      <c r="AR905" s="109"/>
      <c r="AS905" s="109"/>
    </row>
    <row r="906" spans="1:45" ht="12.6" customHeight="1" x14ac:dyDescent="0.3">
      <c r="A906" s="68"/>
      <c r="B906" s="97" t="str">
        <f>" q1 (덤프트럭 1회 적재량(ton))  = "&amp;Z906&amp;""</f>
        <v xml:space="preserve"> q1 (덤프트럭 1회 적재량(ton))  = 15</v>
      </c>
      <c r="C906" s="78"/>
      <c r="D906" s="78"/>
      <c r="E906" s="78"/>
      <c r="F906" s="78"/>
      <c r="G906" s="16" t="s">
        <v>1697</v>
      </c>
      <c r="Z906" s="111">
        <v>15</v>
      </c>
      <c r="AA906" s="20" t="s">
        <v>1326</v>
      </c>
      <c r="AB906" s="112">
        <f>Z906</f>
        <v>15</v>
      </c>
      <c r="AC906" s="109"/>
      <c r="AD906" s="109"/>
      <c r="AE906" s="109"/>
      <c r="AF906" s="109"/>
      <c r="AG906" s="109"/>
      <c r="AH906" s="109"/>
      <c r="AI906" s="109"/>
      <c r="AJ906" s="109"/>
      <c r="AK906" s="109"/>
      <c r="AL906" s="109"/>
      <c r="AM906" s="109"/>
      <c r="AN906" s="109"/>
      <c r="AO906" s="109"/>
      <c r="AP906" s="109"/>
      <c r="AQ906" s="109"/>
      <c r="AR906" s="109"/>
      <c r="AS906" s="109"/>
    </row>
    <row r="907" spans="1:45" ht="12.6" customHeight="1" x14ac:dyDescent="0.3">
      <c r="A907" s="78"/>
      <c r="B907" s="78"/>
      <c r="C907" s="78"/>
      <c r="D907" s="78"/>
      <c r="E907" s="78"/>
      <c r="F907" s="78"/>
      <c r="G907" s="16" t="s">
        <v>1317</v>
      </c>
      <c r="Z907" s="109"/>
      <c r="AA907" s="109"/>
      <c r="AB907" s="109"/>
      <c r="AC907" s="109"/>
      <c r="AD907" s="109"/>
      <c r="AE907" s="109"/>
      <c r="AF907" s="109"/>
      <c r="AG907" s="109"/>
      <c r="AH907" s="109"/>
      <c r="AI907" s="109"/>
      <c r="AJ907" s="109"/>
      <c r="AK907" s="109"/>
      <c r="AL907" s="109"/>
      <c r="AM907" s="109"/>
      <c r="AN907" s="109"/>
      <c r="AO907" s="109"/>
      <c r="AP907" s="109"/>
      <c r="AQ907" s="109"/>
      <c r="AR907" s="109"/>
      <c r="AS907" s="109"/>
    </row>
    <row r="908" spans="1:45" ht="12.6" customHeight="1" x14ac:dyDescent="0.3">
      <c r="A908" s="68"/>
      <c r="B908" s="77" t="s">
        <v>1699</v>
      </c>
      <c r="C908" s="78"/>
      <c r="D908" s="78"/>
      <c r="E908" s="78"/>
      <c r="F908" s="78"/>
      <c r="G908" s="16" t="s">
        <v>1698</v>
      </c>
      <c r="Z908" s="109"/>
      <c r="AA908" s="109"/>
      <c r="AB908" s="109"/>
      <c r="AC908" s="109"/>
      <c r="AD908" s="109"/>
      <c r="AE908" s="109"/>
      <c r="AF908" s="109"/>
      <c r="AG908" s="109"/>
      <c r="AH908" s="109"/>
      <c r="AI908" s="109"/>
      <c r="AJ908" s="109"/>
      <c r="AK908" s="109"/>
      <c r="AL908" s="109"/>
      <c r="AM908" s="109"/>
      <c r="AN908" s="109"/>
      <c r="AO908" s="109"/>
      <c r="AP908" s="109"/>
      <c r="AQ908" s="109"/>
      <c r="AR908" s="109"/>
      <c r="AS908" s="109"/>
    </row>
    <row r="909" spans="1:45" ht="12.6" customHeight="1" x14ac:dyDescent="0.3">
      <c r="A909" s="78"/>
      <c r="B909" s="78"/>
      <c r="C909" s="78"/>
      <c r="D909" s="78"/>
      <c r="E909" s="78"/>
      <c r="F909" s="78"/>
      <c r="G909" s="16" t="s">
        <v>1317</v>
      </c>
      <c r="Z909" s="109"/>
      <c r="AA909" s="109"/>
      <c r="AB909" s="109"/>
      <c r="AC909" s="109"/>
      <c r="AD909" s="109"/>
      <c r="AE909" s="109"/>
      <c r="AF909" s="109"/>
      <c r="AG909" s="109"/>
      <c r="AH909" s="109"/>
      <c r="AI909" s="109"/>
      <c r="AJ909" s="109"/>
      <c r="AK909" s="109"/>
      <c r="AL909" s="109"/>
      <c r="AM909" s="109"/>
      <c r="AN909" s="109"/>
      <c r="AO909" s="109"/>
      <c r="AP909" s="109"/>
      <c r="AQ909" s="109"/>
      <c r="AR909" s="109"/>
      <c r="AS909" s="109"/>
    </row>
    <row r="910" spans="1:45" ht="12.6" customHeight="1" x14ac:dyDescent="0.3">
      <c r="A910" s="68"/>
      <c r="B910" s="97" t="str">
        <f>" n =q1 / ("&amp;AB910&amp;" * k) = "&amp;AG910&amp;"  회 "</f>
        <v xml:space="preserve"> n =q1 / (2.73 * k) = 9.99  회 </v>
      </c>
      <c r="C910" s="78"/>
      <c r="D910" s="78"/>
      <c r="E910" s="78"/>
      <c r="F910" s="78"/>
      <c r="G910" s="16" t="s">
        <v>1700</v>
      </c>
      <c r="Z910" s="112">
        <f>AB906</f>
        <v>15</v>
      </c>
      <c r="AA910" s="20" t="s">
        <v>1531</v>
      </c>
      <c r="AB910" s="110">
        <v>2.73</v>
      </c>
      <c r="AC910" s="20" t="s">
        <v>1390</v>
      </c>
      <c r="AD910" s="112">
        <f>AB902</f>
        <v>0.55000000000000004</v>
      </c>
      <c r="AE910" s="20" t="s">
        <v>1532</v>
      </c>
      <c r="AF910" s="20" t="s">
        <v>1326</v>
      </c>
      <c r="AG910" s="112" t="str">
        <f>TEXT(ROUND(AB906/(AB910*AB902),2),"0.00")</f>
        <v>9.99</v>
      </c>
      <c r="AH910" s="109"/>
      <c r="AI910" s="109"/>
      <c r="AJ910" s="109"/>
      <c r="AK910" s="109"/>
      <c r="AL910" s="109"/>
      <c r="AM910" s="109"/>
      <c r="AN910" s="109"/>
      <c r="AO910" s="109"/>
      <c r="AP910" s="109"/>
      <c r="AQ910" s="109"/>
      <c r="AR910" s="109"/>
      <c r="AS910" s="109"/>
    </row>
    <row r="911" spans="1:45" ht="12.6" customHeight="1" x14ac:dyDescent="0.3">
      <c r="A911" s="78"/>
      <c r="B911" s="78"/>
      <c r="C911" s="78"/>
      <c r="D911" s="78"/>
      <c r="E911" s="78"/>
      <c r="F911" s="78"/>
      <c r="G911" s="16" t="s">
        <v>1317</v>
      </c>
      <c r="Z911" s="109"/>
      <c r="AA911" s="109"/>
      <c r="AB911" s="109"/>
      <c r="AC911" s="109"/>
      <c r="AD911" s="109"/>
      <c r="AE911" s="109"/>
      <c r="AF911" s="109"/>
      <c r="AG911" s="109"/>
      <c r="AH911" s="109"/>
      <c r="AI911" s="109"/>
      <c r="AJ911" s="109"/>
      <c r="AK911" s="109"/>
      <c r="AL911" s="109"/>
      <c r="AM911" s="109"/>
      <c r="AN911" s="109"/>
      <c r="AO911" s="109"/>
      <c r="AP911" s="109"/>
      <c r="AQ911" s="109"/>
      <c r="AR911" s="109"/>
      <c r="AS911" s="109"/>
    </row>
    <row r="912" spans="1:45" ht="12.6" customHeight="1" x14ac:dyDescent="0.3">
      <c r="A912" s="68"/>
      <c r="B912" s="97" t="str">
        <f>" t1 (적재시간)  ="&amp;Z912&amp;" * n / ("&amp;AD912&amp;" * "&amp;AF912&amp;") = "&amp;AI912&amp;" 분 "</f>
        <v xml:space="preserve"> t1 (적재시간)  =20 * n / (60 * 0.35) = 9.51 분 </v>
      </c>
      <c r="C912" s="78"/>
      <c r="D912" s="78"/>
      <c r="E912" s="78"/>
      <c r="F912" s="78"/>
      <c r="G912" s="16" t="s">
        <v>1701</v>
      </c>
      <c r="Z912" s="111">
        <v>20</v>
      </c>
      <c r="AA912" s="20" t="s">
        <v>1390</v>
      </c>
      <c r="AB912" s="112" t="str">
        <f>AG910</f>
        <v>9.99</v>
      </c>
      <c r="AC912" s="20" t="s">
        <v>1531</v>
      </c>
      <c r="AD912" s="111">
        <v>60</v>
      </c>
      <c r="AE912" s="20" t="s">
        <v>1390</v>
      </c>
      <c r="AF912" s="110">
        <v>0.35</v>
      </c>
      <c r="AG912" s="20" t="s">
        <v>1532</v>
      </c>
      <c r="AH912" s="20" t="s">
        <v>1326</v>
      </c>
      <c r="AI912" s="112" t="str">
        <f>TEXT(ROUND(Z912*AG910/(AD912*AF912),2),"0.00")</f>
        <v>9.51</v>
      </c>
      <c r="AJ912" s="109"/>
      <c r="AK912" s="109"/>
      <c r="AL912" s="109"/>
      <c r="AM912" s="109"/>
      <c r="AN912" s="109"/>
      <c r="AO912" s="109"/>
      <c r="AP912" s="109"/>
      <c r="AQ912" s="109"/>
      <c r="AR912" s="109"/>
      <c r="AS912" s="109"/>
    </row>
    <row r="913" spans="1:45" ht="12.6" customHeight="1" x14ac:dyDescent="0.3">
      <c r="A913" s="78"/>
      <c r="B913" s="78"/>
      <c r="C913" s="78"/>
      <c r="D913" s="78"/>
      <c r="E913" s="78"/>
      <c r="F913" s="78"/>
      <c r="G913" s="16" t="s">
        <v>1317</v>
      </c>
      <c r="Z913" s="109"/>
      <c r="AA913" s="109"/>
      <c r="AB913" s="109"/>
      <c r="AC913" s="109"/>
      <c r="AD913" s="109"/>
      <c r="AE913" s="109"/>
      <c r="AF913" s="109"/>
      <c r="AG913" s="109"/>
      <c r="AH913" s="109"/>
      <c r="AI913" s="109"/>
      <c r="AJ913" s="109"/>
      <c r="AK913" s="109"/>
      <c r="AL913" s="109"/>
      <c r="AM913" s="109"/>
      <c r="AN913" s="109"/>
      <c r="AO913" s="109"/>
      <c r="AP913" s="109"/>
      <c r="AQ913" s="109"/>
      <c r="AR913" s="109"/>
      <c r="AS913" s="109"/>
    </row>
    <row r="914" spans="1:45" ht="12.6" customHeight="1" x14ac:dyDescent="0.3">
      <c r="A914" s="68"/>
      <c r="B914" s="97" t="str">
        <f>" t2 (왕복시간) =(L1/V1+L1/V2+L2/V3+L2/V4 ) * "&amp;AQ914&amp;" = "&amp;AS914&amp;" 분 "</f>
        <v xml:space="preserve"> t2 (왕복시간) =(L1/V1+L1/V2+L2/V3+L2/V4 ) * 60 = 341.14 분 </v>
      </c>
      <c r="C914" s="78"/>
      <c r="D914" s="78"/>
      <c r="E914" s="78"/>
      <c r="F914" s="78"/>
      <c r="G914" s="16" t="s">
        <v>1702</v>
      </c>
      <c r="Z914" s="20" t="s">
        <v>1526</v>
      </c>
      <c r="AA914" s="112">
        <f>AB885</f>
        <v>73</v>
      </c>
      <c r="AB914" s="20" t="s">
        <v>1387</v>
      </c>
      <c r="AC914" s="112">
        <f>AB904</f>
        <v>30</v>
      </c>
      <c r="AD914" s="20" t="s">
        <v>1535</v>
      </c>
      <c r="AE914" s="112">
        <f>AB885</f>
        <v>73</v>
      </c>
      <c r="AF914" s="20" t="s">
        <v>1387</v>
      </c>
      <c r="AG914" s="112">
        <f>AF904</f>
        <v>35</v>
      </c>
      <c r="AH914" s="20" t="s">
        <v>1535</v>
      </c>
      <c r="AI914" s="112">
        <f>AB887</f>
        <v>7</v>
      </c>
      <c r="AJ914" s="20" t="s">
        <v>1387</v>
      </c>
      <c r="AK914" s="112">
        <f>AJ904</f>
        <v>10</v>
      </c>
      <c r="AL914" s="20" t="s">
        <v>1535</v>
      </c>
      <c r="AM914" s="112">
        <f>AB887</f>
        <v>7</v>
      </c>
      <c r="AN914" s="20" t="s">
        <v>1387</v>
      </c>
      <c r="AO914" s="112">
        <f>AN904</f>
        <v>15</v>
      </c>
      <c r="AP914" s="20" t="s">
        <v>1527</v>
      </c>
      <c r="AQ914" s="111">
        <v>60</v>
      </c>
      <c r="AR914" s="20" t="s">
        <v>1326</v>
      </c>
      <c r="AS914" s="112" t="str">
        <f>TEXT(ROUND((AB885/AB904+AB885/AF904+AB887/AJ904+AB887/AN904)*AQ914,2),"0.00")</f>
        <v>341.14</v>
      </c>
    </row>
    <row r="915" spans="1:45" ht="12.6" customHeight="1" x14ac:dyDescent="0.3">
      <c r="A915" s="78"/>
      <c r="B915" s="78"/>
      <c r="C915" s="78"/>
      <c r="D915" s="78"/>
      <c r="E915" s="78"/>
      <c r="F915" s="78"/>
      <c r="G915" s="16" t="s">
        <v>1317</v>
      </c>
      <c r="Z915" s="109"/>
      <c r="AA915" s="109"/>
      <c r="AB915" s="109"/>
      <c r="AC915" s="109"/>
      <c r="AD915" s="109"/>
      <c r="AE915" s="109"/>
      <c r="AF915" s="109"/>
      <c r="AG915" s="109"/>
      <c r="AH915" s="109"/>
      <c r="AI915" s="109"/>
      <c r="AJ915" s="109"/>
      <c r="AK915" s="109"/>
      <c r="AL915" s="109"/>
      <c r="AM915" s="109"/>
      <c r="AN915" s="109"/>
      <c r="AO915" s="109"/>
      <c r="AP915" s="109"/>
      <c r="AQ915" s="109"/>
      <c r="AR915" s="109"/>
      <c r="AS915" s="109"/>
    </row>
    <row r="916" spans="1:45" ht="12.6" customHeight="1" x14ac:dyDescent="0.3">
      <c r="A916" s="68"/>
      <c r="B916" s="97" t="str">
        <f>" t3 (적하시간) ="&amp;Z916&amp;" 분 "</f>
        <v xml:space="preserve"> t3 (적하시간) =1.1 분 </v>
      </c>
      <c r="C916" s="78"/>
      <c r="D916" s="78"/>
      <c r="E916" s="78"/>
      <c r="F916" s="78"/>
      <c r="G916" s="16" t="s">
        <v>1703</v>
      </c>
      <c r="Z916" s="110">
        <v>1.1000000000000001</v>
      </c>
      <c r="AA916" s="20" t="s">
        <v>1326</v>
      </c>
      <c r="AB916" s="112">
        <f>Z916</f>
        <v>1.1000000000000001</v>
      </c>
      <c r="AC916" s="109"/>
      <c r="AD916" s="109"/>
      <c r="AE916" s="109"/>
      <c r="AF916" s="109"/>
      <c r="AG916" s="109"/>
      <c r="AH916" s="109"/>
      <c r="AI916" s="109"/>
      <c r="AJ916" s="109"/>
      <c r="AK916" s="109"/>
      <c r="AL916" s="109"/>
      <c r="AM916" s="109"/>
      <c r="AN916" s="109"/>
      <c r="AO916" s="109"/>
      <c r="AP916" s="109"/>
      <c r="AQ916" s="109"/>
      <c r="AR916" s="109"/>
      <c r="AS916" s="109"/>
    </row>
    <row r="917" spans="1:45" ht="12.6" customHeight="1" x14ac:dyDescent="0.3">
      <c r="A917" s="78"/>
      <c r="B917" s="78"/>
      <c r="C917" s="78"/>
      <c r="D917" s="78"/>
      <c r="E917" s="78"/>
      <c r="F917" s="78"/>
      <c r="G917" s="16" t="s">
        <v>1317</v>
      </c>
      <c r="Z917" s="109"/>
      <c r="AA917" s="109"/>
      <c r="AB917" s="109"/>
      <c r="AC917" s="109"/>
      <c r="AD917" s="109"/>
      <c r="AE917" s="109"/>
      <c r="AF917" s="109"/>
      <c r="AG917" s="109"/>
      <c r="AH917" s="109"/>
      <c r="AI917" s="109"/>
      <c r="AJ917" s="109"/>
      <c r="AK917" s="109"/>
      <c r="AL917" s="109"/>
      <c r="AM917" s="109"/>
      <c r="AN917" s="109"/>
      <c r="AO917" s="109"/>
      <c r="AP917" s="109"/>
      <c r="AQ917" s="109"/>
      <c r="AR917" s="109"/>
      <c r="AS917" s="109"/>
    </row>
    <row r="918" spans="1:45" ht="12.6" customHeight="1" x14ac:dyDescent="0.3">
      <c r="A918" s="68"/>
      <c r="B918" s="97" t="str">
        <f>" t4 (적재작업이 시작될 때까지의 시간) ="&amp;Z918&amp;" 분 "</f>
        <v xml:space="preserve"> t4 (적재작업이 시작될 때까지의 시간) =0.15 분 </v>
      </c>
      <c r="C918" s="78"/>
      <c r="D918" s="78"/>
      <c r="E918" s="78"/>
      <c r="F918" s="78"/>
      <c r="G918" s="16" t="s">
        <v>1704</v>
      </c>
      <c r="Z918" s="110">
        <v>0.15</v>
      </c>
      <c r="AA918" s="20" t="s">
        <v>1326</v>
      </c>
      <c r="AB918" s="112">
        <f>Z918</f>
        <v>0.15</v>
      </c>
      <c r="AC918" s="109"/>
      <c r="AD918" s="109"/>
      <c r="AE918" s="109"/>
      <c r="AF918" s="109"/>
      <c r="AG918" s="109"/>
      <c r="AH918" s="109"/>
      <c r="AI918" s="109"/>
      <c r="AJ918" s="109"/>
      <c r="AK918" s="109"/>
      <c r="AL918" s="109"/>
      <c r="AM918" s="109"/>
      <c r="AN918" s="109"/>
      <c r="AO918" s="109"/>
      <c r="AP918" s="109"/>
      <c r="AQ918" s="109"/>
      <c r="AR918" s="109"/>
      <c r="AS918" s="109"/>
    </row>
    <row r="919" spans="1:45" ht="12.6" customHeight="1" x14ac:dyDescent="0.3">
      <c r="A919" s="78"/>
      <c r="B919" s="78"/>
      <c r="C919" s="78"/>
      <c r="D919" s="78"/>
      <c r="E919" s="78"/>
      <c r="F919" s="78"/>
      <c r="G919" s="16" t="s">
        <v>1317</v>
      </c>
      <c r="Z919" s="109"/>
      <c r="AA919" s="109"/>
      <c r="AB919" s="109"/>
      <c r="AC919" s="109"/>
      <c r="AD919" s="109"/>
      <c r="AE919" s="109"/>
      <c r="AF919" s="109"/>
      <c r="AG919" s="109"/>
      <c r="AH919" s="109"/>
      <c r="AI919" s="109"/>
      <c r="AJ919" s="109"/>
      <c r="AK919" s="109"/>
      <c r="AL919" s="109"/>
      <c r="AM919" s="109"/>
      <c r="AN919" s="109"/>
      <c r="AO919" s="109"/>
      <c r="AP919" s="109"/>
      <c r="AQ919" s="109"/>
      <c r="AR919" s="109"/>
      <c r="AS919" s="109"/>
    </row>
    <row r="920" spans="1:45" ht="12.6" customHeight="1" x14ac:dyDescent="0.3">
      <c r="A920" s="68"/>
      <c r="B920" s="97" t="str">
        <f>" t5 (적재함 덮개 설치 및 해체시간(분)  = "&amp;Z920&amp;" 분 "</f>
        <v xml:space="preserve"> t5 (적재함 덮개 설치 및 해체시간(분)  = 0.5 분 </v>
      </c>
      <c r="C920" s="78"/>
      <c r="D920" s="78"/>
      <c r="E920" s="78"/>
      <c r="F920" s="78"/>
      <c r="G920" s="16" t="s">
        <v>1705</v>
      </c>
      <c r="Z920" s="110">
        <v>0.5</v>
      </c>
      <c r="AA920" s="20" t="s">
        <v>1326</v>
      </c>
      <c r="AB920" s="112">
        <f>Z920</f>
        <v>0.5</v>
      </c>
      <c r="AC920" s="109"/>
      <c r="AD920" s="109"/>
      <c r="AE920" s="109"/>
      <c r="AF920" s="109"/>
      <c r="AG920" s="109"/>
      <c r="AH920" s="109"/>
      <c r="AI920" s="109"/>
      <c r="AJ920" s="109"/>
      <c r="AK920" s="109"/>
      <c r="AL920" s="109"/>
      <c r="AM920" s="109"/>
      <c r="AN920" s="109"/>
      <c r="AO920" s="109"/>
      <c r="AP920" s="109"/>
      <c r="AQ920" s="109"/>
      <c r="AR920" s="109"/>
      <c r="AS920" s="109"/>
    </row>
    <row r="921" spans="1:45" ht="12.6" customHeight="1" x14ac:dyDescent="0.3">
      <c r="A921" s="78"/>
      <c r="B921" s="78"/>
      <c r="C921" s="78"/>
      <c r="D921" s="78"/>
      <c r="E921" s="78"/>
      <c r="F921" s="78"/>
      <c r="G921" s="16" t="s">
        <v>1433</v>
      </c>
      <c r="Z921" s="109"/>
      <c r="AA921" s="109"/>
      <c r="AB921" s="109"/>
      <c r="AC921" s="109"/>
      <c r="AD921" s="109"/>
      <c r="AE921" s="109"/>
      <c r="AF921" s="109"/>
      <c r="AG921" s="109"/>
      <c r="AH921" s="109"/>
      <c r="AI921" s="109"/>
      <c r="AJ921" s="109"/>
      <c r="AK921" s="109"/>
      <c r="AL921" s="109"/>
      <c r="AM921" s="109"/>
      <c r="AN921" s="109"/>
      <c r="AO921" s="109"/>
      <c r="AP921" s="109"/>
      <c r="AQ921" s="109"/>
      <c r="AR921" s="109"/>
      <c r="AS921" s="109"/>
    </row>
    <row r="922" spans="1:45" ht="12.6" customHeight="1" x14ac:dyDescent="0.3">
      <c r="A922" s="68"/>
      <c r="B922" s="97" t="str">
        <f>" t6 (세륜기통과시간) ="&amp;Z922&amp;" 분 "</f>
        <v xml:space="preserve"> t6 (세륜기통과시간) =1.5 분 </v>
      </c>
      <c r="C922" s="78"/>
      <c r="D922" s="78"/>
      <c r="E922" s="78"/>
      <c r="F922" s="78"/>
      <c r="G922" s="16" t="s">
        <v>1706</v>
      </c>
      <c r="Z922" s="110">
        <v>1.5</v>
      </c>
      <c r="AA922" s="20" t="s">
        <v>1326</v>
      </c>
      <c r="AB922" s="112">
        <f>Z922</f>
        <v>1.5</v>
      </c>
      <c r="AC922" s="109"/>
      <c r="AD922" s="109"/>
      <c r="AE922" s="109"/>
      <c r="AF922" s="109"/>
      <c r="AG922" s="109"/>
      <c r="AH922" s="109"/>
      <c r="AI922" s="109"/>
      <c r="AJ922" s="109"/>
      <c r="AK922" s="109"/>
      <c r="AL922" s="109"/>
      <c r="AM922" s="109"/>
      <c r="AN922" s="109"/>
      <c r="AO922" s="109"/>
      <c r="AP922" s="109"/>
      <c r="AQ922" s="109"/>
      <c r="AR922" s="109"/>
      <c r="AS922" s="109"/>
    </row>
    <row r="923" spans="1:45" ht="12.6" customHeight="1" x14ac:dyDescent="0.3">
      <c r="A923" s="78"/>
      <c r="B923" s="78"/>
      <c r="C923" s="78"/>
      <c r="D923" s="78"/>
      <c r="E923" s="78"/>
      <c r="F923" s="78"/>
      <c r="G923" s="16" t="s">
        <v>1317</v>
      </c>
      <c r="Z923" s="109"/>
      <c r="AA923" s="109"/>
      <c r="AB923" s="109"/>
      <c r="AC923" s="109"/>
      <c r="AD923" s="109"/>
      <c r="AE923" s="109"/>
      <c r="AF923" s="109"/>
      <c r="AG923" s="109"/>
      <c r="AH923" s="109"/>
      <c r="AI923" s="109"/>
      <c r="AJ923" s="109"/>
      <c r="AK923" s="109"/>
      <c r="AL923" s="109"/>
      <c r="AM923" s="109"/>
      <c r="AN923" s="109"/>
      <c r="AO923" s="109"/>
      <c r="AP923" s="109"/>
      <c r="AQ923" s="109"/>
      <c r="AR923" s="109"/>
      <c r="AS923" s="109"/>
    </row>
    <row r="924" spans="1:45" ht="12.6" customHeight="1" x14ac:dyDescent="0.3">
      <c r="A924" s="68"/>
      <c r="B924" s="97" t="str">
        <f>" Cm (1회 사이클 시간(분))  = t1 + t2 + t3 + t4 + t5 +t6 = "&amp;AL924&amp;" 분 "</f>
        <v xml:space="preserve"> Cm (1회 사이클 시간(분))  = t1 + t2 + t3 + t4 + t5 +t6 = 353.90 분 </v>
      </c>
      <c r="C924" s="78"/>
      <c r="D924" s="78"/>
      <c r="E924" s="78"/>
      <c r="F924" s="78"/>
      <c r="G924" s="16" t="s">
        <v>1707</v>
      </c>
      <c r="Z924" s="112" t="str">
        <f>AI912</f>
        <v>9.51</v>
      </c>
      <c r="AA924" s="20" t="s">
        <v>1535</v>
      </c>
      <c r="AB924" s="112" t="str">
        <f>AS914</f>
        <v>341.14</v>
      </c>
      <c r="AC924" s="20" t="s">
        <v>1535</v>
      </c>
      <c r="AD924" s="112">
        <f>AB916</f>
        <v>1.1000000000000001</v>
      </c>
      <c r="AE924" s="20" t="s">
        <v>1535</v>
      </c>
      <c r="AF924" s="112">
        <f>AB918</f>
        <v>0.15</v>
      </c>
      <c r="AG924" s="20" t="s">
        <v>1535</v>
      </c>
      <c r="AH924" s="112">
        <f>AB920</f>
        <v>0.5</v>
      </c>
      <c r="AI924" s="20" t="s">
        <v>1535</v>
      </c>
      <c r="AJ924" s="112">
        <f>AB922</f>
        <v>1.5</v>
      </c>
      <c r="AK924" s="20" t="s">
        <v>1326</v>
      </c>
      <c r="AL924" s="112" t="str">
        <f>TEXT(ROUND(AI912+AS914+AB916+AB918+AB920+AB922,2),"0.00")</f>
        <v>353.90</v>
      </c>
      <c r="AM924" s="109"/>
      <c r="AN924" s="109"/>
      <c r="AO924" s="109"/>
      <c r="AP924" s="109"/>
      <c r="AQ924" s="109"/>
      <c r="AR924" s="109"/>
      <c r="AS924" s="109"/>
    </row>
    <row r="925" spans="1:45" ht="12.6" customHeight="1" x14ac:dyDescent="0.3">
      <c r="A925" s="78"/>
      <c r="B925" s="78"/>
      <c r="C925" s="78"/>
      <c r="D925" s="78"/>
      <c r="E925" s="78"/>
      <c r="F925" s="78"/>
      <c r="G925" s="16" t="s">
        <v>1317</v>
      </c>
      <c r="Z925" s="109"/>
      <c r="AA925" s="109"/>
      <c r="AB925" s="109"/>
      <c r="AC925" s="109"/>
      <c r="AD925" s="109"/>
      <c r="AE925" s="109"/>
      <c r="AF925" s="109"/>
      <c r="AG925" s="109"/>
      <c r="AH925" s="109"/>
      <c r="AI925" s="109"/>
      <c r="AJ925" s="109"/>
      <c r="AK925" s="109"/>
      <c r="AL925" s="109"/>
      <c r="AM925" s="109"/>
      <c r="AN925" s="109"/>
      <c r="AO925" s="109"/>
      <c r="AP925" s="109"/>
      <c r="AQ925" s="109"/>
      <c r="AR925" s="109"/>
      <c r="AS925" s="109"/>
    </row>
    <row r="926" spans="1:45" ht="12.6" customHeight="1" x14ac:dyDescent="0.3">
      <c r="A926" s="68"/>
      <c r="B926" s="97" t="str">
        <f>" Q (시간당작업량)  = "&amp;Z926&amp;" * q1 * f * E / Cm = "&amp;AJ926&amp;" ton/hr "</f>
        <v xml:space="preserve"> Q (시간당작업량)  = 60 * q1 * f * E / Cm = 2.29 ton/hr </v>
      </c>
      <c r="C926" s="78"/>
      <c r="D926" s="78"/>
      <c r="E926" s="78"/>
      <c r="F926" s="78"/>
      <c r="G926" s="16" t="s">
        <v>1708</v>
      </c>
      <c r="Z926" s="111">
        <v>60</v>
      </c>
      <c r="AA926" s="20" t="s">
        <v>1390</v>
      </c>
      <c r="AB926" s="112">
        <f>AB906</f>
        <v>15</v>
      </c>
      <c r="AC926" s="20" t="s">
        <v>1390</v>
      </c>
      <c r="AD926" s="112" t="str">
        <f>AB900</f>
        <v>1.00</v>
      </c>
      <c r="AE926" s="20" t="s">
        <v>1390</v>
      </c>
      <c r="AF926" s="112">
        <f>AF900</f>
        <v>0.9</v>
      </c>
      <c r="AG926" s="20" t="s">
        <v>1387</v>
      </c>
      <c r="AH926" s="112" t="str">
        <f>AL924</f>
        <v>353.90</v>
      </c>
      <c r="AI926" s="20" t="s">
        <v>1326</v>
      </c>
      <c r="AJ926" s="112" t="str">
        <f>TEXT(ROUND(Z926*AB906*AB900*AF900/AL924,2),"0.00")</f>
        <v>2.29</v>
      </c>
      <c r="AK926" s="109"/>
      <c r="AL926" s="109"/>
      <c r="AM926" s="109"/>
      <c r="AN926" s="109"/>
      <c r="AO926" s="109"/>
      <c r="AP926" s="109"/>
      <c r="AQ926" s="109"/>
      <c r="AR926" s="109"/>
      <c r="AS926" s="109"/>
    </row>
    <row r="927" spans="1:45" ht="12.6" customHeight="1" x14ac:dyDescent="0.3">
      <c r="A927" s="78"/>
      <c r="B927" s="78"/>
      <c r="C927" s="78"/>
      <c r="D927" s="78"/>
      <c r="E927" s="78"/>
      <c r="F927" s="78"/>
      <c r="G927" s="16" t="s">
        <v>1317</v>
      </c>
      <c r="Z927" s="109"/>
      <c r="AA927" s="109"/>
      <c r="AB927" s="109"/>
      <c r="AC927" s="109"/>
      <c r="AD927" s="109"/>
      <c r="AE927" s="109"/>
      <c r="AF927" s="109"/>
      <c r="AG927" s="109"/>
      <c r="AH927" s="109"/>
      <c r="AI927" s="109"/>
      <c r="AJ927" s="109"/>
      <c r="AK927" s="109"/>
      <c r="AL927" s="109"/>
      <c r="AM927" s="109"/>
      <c r="AN927" s="109"/>
      <c r="AO927" s="109"/>
      <c r="AP927" s="109"/>
      <c r="AQ927" s="109"/>
      <c r="AR927" s="109"/>
      <c r="AS927" s="109"/>
    </row>
    <row r="928" spans="1:45" ht="12.6" customHeight="1" x14ac:dyDescent="0.3">
      <c r="A928" s="68" t="s">
        <v>1710</v>
      </c>
      <c r="B928" s="97" t="str">
        <f>"  노 무 비  :   "&amp;TEXT(I928,"#,##0"&amp;IF(I928&lt;&gt;INT(I928),".###",""))&amp;" / Q = "&amp;TEXT(C928,"#,##0.0")&amp;""</f>
        <v xml:space="preserve">  노 무 비  :   55,700 / Q = 24,323.1</v>
      </c>
      <c r="C928" s="99">
        <f>E928+D928+F928</f>
        <v>24323.1</v>
      </c>
      <c r="D928" s="99">
        <f>IF(H928=0,0,ROUNDDOWN(J928*H928,1))</f>
        <v>24323.1</v>
      </c>
      <c r="E928" s="99">
        <f>IF(H928=0,0,ROUNDDOWN(K928*H928,1))</f>
        <v>0</v>
      </c>
      <c r="F928" s="99">
        <f>IF(H928=0,0,ROUNDDOWN(L928*H928,1))</f>
        <v>0</v>
      </c>
      <c r="G928" s="16" t="s">
        <v>1709</v>
      </c>
      <c r="H928" s="105">
        <f>AC928</f>
        <v>0.4366812227074236</v>
      </c>
      <c r="I928" s="106">
        <f>K928+J928+L928</f>
        <v>55700</v>
      </c>
      <c r="J928" s="39">
        <f>중기목록표!F13</f>
        <v>55700</v>
      </c>
      <c r="M928" s="20" t="s">
        <v>1711</v>
      </c>
      <c r="N928" s="20" t="s">
        <v>1721</v>
      </c>
      <c r="X928" s="108" t="str">
        <f>중기목록표!B13&amp;" / "&amp;중기목록표!C13</f>
        <v>덤프트럭15ton(암) / 할증율:1.25</v>
      </c>
      <c r="Y928" s="19" t="str">
        <f ca="1">HYPERLINK("#"&amp;중기목록표!J2&amp;"!A"&amp;ROW(중기목록표!A13),"중기   10 →")</f>
        <v>중기   10 →</v>
      </c>
      <c r="Z928" s="20" t="s">
        <v>1393</v>
      </c>
      <c r="AA928" s="112" t="str">
        <f>AJ926</f>
        <v>2.29</v>
      </c>
      <c r="AB928" s="20" t="s">
        <v>1326</v>
      </c>
      <c r="AC928" s="113">
        <f>1/AJ926</f>
        <v>0.4366812227074236</v>
      </c>
      <c r="AD928" s="109"/>
      <c r="AE928" s="109"/>
      <c r="AF928" s="109"/>
      <c r="AG928" s="109"/>
      <c r="AH928" s="109"/>
      <c r="AI928" s="109"/>
      <c r="AJ928" s="109"/>
      <c r="AK928" s="109"/>
      <c r="AL928" s="109"/>
      <c r="AM928" s="109"/>
      <c r="AN928" s="109"/>
      <c r="AO928" s="109"/>
      <c r="AP928" s="109"/>
      <c r="AQ928" s="109"/>
      <c r="AR928" s="109"/>
      <c r="AS928" s="109"/>
    </row>
    <row r="929" spans="1:45" ht="12.6" customHeight="1" x14ac:dyDescent="0.3">
      <c r="A929" s="78"/>
      <c r="B929" s="78"/>
      <c r="C929" s="78"/>
      <c r="D929" s="78"/>
      <c r="E929" s="78"/>
      <c r="F929" s="78"/>
      <c r="G929" s="16" t="s">
        <v>1317</v>
      </c>
      <c r="Z929" s="109"/>
      <c r="AA929" s="109"/>
      <c r="AB929" s="109"/>
      <c r="AC929" s="109"/>
      <c r="AD929" s="109"/>
      <c r="AE929" s="109"/>
      <c r="AF929" s="109"/>
      <c r="AG929" s="109"/>
      <c r="AH929" s="109"/>
      <c r="AI929" s="109"/>
      <c r="AJ929" s="109"/>
      <c r="AK929" s="109"/>
      <c r="AL929" s="109"/>
      <c r="AM929" s="109"/>
      <c r="AN929" s="109"/>
      <c r="AO929" s="109"/>
      <c r="AP929" s="109"/>
      <c r="AQ929" s="109"/>
      <c r="AR929" s="109"/>
      <c r="AS929" s="109"/>
    </row>
    <row r="930" spans="1:45" ht="12.6" customHeight="1" x14ac:dyDescent="0.3">
      <c r="A930" s="68" t="s">
        <v>1713</v>
      </c>
      <c r="B930" s="97" t="str">
        <f>"  재 료 비  :   "&amp;TEXT(I930,"#,##0"&amp;IF(I930&lt;&gt;INT(I930),".###",""))&amp;" / Q = "&amp;TEXT(C930,"#,##0.0")&amp;""</f>
        <v xml:space="preserve">  재 료 비  :   27,910 / Q = 12,187.7</v>
      </c>
      <c r="C930" s="99">
        <f>E930+D930+F930</f>
        <v>12187.7</v>
      </c>
      <c r="D930" s="99">
        <f>IF(H930=0,0,ROUNDDOWN(J930*H930,1))</f>
        <v>0</v>
      </c>
      <c r="E930" s="99">
        <f>IF(H930=0,0,ROUNDDOWN(K930*H930,1))</f>
        <v>12187.7</v>
      </c>
      <c r="F930" s="99">
        <f>IF(H930=0,0,ROUNDDOWN(L930*H930,1))</f>
        <v>0</v>
      </c>
      <c r="G930" s="16" t="s">
        <v>1712</v>
      </c>
      <c r="H930" s="105">
        <f>AC930</f>
        <v>0.4366812227074236</v>
      </c>
      <c r="I930" s="106">
        <f>K930+J930+L930</f>
        <v>27910</v>
      </c>
      <c r="K930" s="39">
        <f>중기목록표!G13</f>
        <v>27910</v>
      </c>
      <c r="M930" s="20" t="s">
        <v>1711</v>
      </c>
      <c r="N930" s="20" t="s">
        <v>1721</v>
      </c>
      <c r="X930" s="108" t="str">
        <f>중기목록표!B13&amp;" / "&amp;중기목록표!C13</f>
        <v>덤프트럭15ton(암) / 할증율:1.25</v>
      </c>
      <c r="Y930" s="19" t="str">
        <f ca="1">HYPERLINK("#"&amp;중기목록표!J2&amp;"!A"&amp;ROW(중기목록표!A13),"중기   10 →")</f>
        <v>중기   10 →</v>
      </c>
      <c r="Z930" s="20" t="s">
        <v>1393</v>
      </c>
      <c r="AA930" s="112" t="str">
        <f>AJ926</f>
        <v>2.29</v>
      </c>
      <c r="AB930" s="20" t="s">
        <v>1326</v>
      </c>
      <c r="AC930" s="113">
        <f>1/AJ926</f>
        <v>0.4366812227074236</v>
      </c>
      <c r="AD930" s="109"/>
      <c r="AE930" s="109"/>
      <c r="AF930" s="109"/>
      <c r="AG930" s="109"/>
      <c r="AH930" s="109"/>
      <c r="AI930" s="109"/>
      <c r="AJ930" s="109"/>
      <c r="AK930" s="109"/>
      <c r="AL930" s="109"/>
      <c r="AM930" s="109"/>
      <c r="AN930" s="109"/>
      <c r="AO930" s="109"/>
      <c r="AP930" s="109"/>
      <c r="AQ930" s="109"/>
      <c r="AR930" s="109"/>
      <c r="AS930" s="109"/>
    </row>
    <row r="931" spans="1:45" ht="12.6" customHeight="1" x14ac:dyDescent="0.3">
      <c r="A931" s="78"/>
      <c r="B931" s="78"/>
      <c r="C931" s="78"/>
      <c r="D931" s="78"/>
      <c r="E931" s="78"/>
      <c r="F931" s="78"/>
      <c r="G931" s="16" t="s">
        <v>1317</v>
      </c>
      <c r="Z931" s="109"/>
      <c r="AA931" s="109"/>
      <c r="AB931" s="109"/>
      <c r="AC931" s="109"/>
      <c r="AD931" s="109"/>
      <c r="AE931" s="109"/>
      <c r="AF931" s="109"/>
      <c r="AG931" s="109"/>
      <c r="AH931" s="109"/>
      <c r="AI931" s="109"/>
      <c r="AJ931" s="109"/>
      <c r="AK931" s="109"/>
      <c r="AL931" s="109"/>
      <c r="AM931" s="109"/>
      <c r="AN931" s="109"/>
      <c r="AO931" s="109"/>
      <c r="AP931" s="109"/>
      <c r="AQ931" s="109"/>
      <c r="AR931" s="109"/>
      <c r="AS931" s="109"/>
    </row>
    <row r="932" spans="1:45" ht="12.6" customHeight="1" x14ac:dyDescent="0.3">
      <c r="A932" s="68" t="s">
        <v>1715</v>
      </c>
      <c r="B932" s="97" t="str">
        <f>"  경    비  :   "&amp;TEXT(I932,"#,##0"&amp;IF(I932&lt;&gt;INT(I932),".###",""))&amp;" / Q = "&amp;TEXT(C932,"#,##0.0")&amp;""</f>
        <v xml:space="preserve">  경    비  :   23,077 / Q = 10,077.2</v>
      </c>
      <c r="C932" s="99">
        <f>E932+D932+F932</f>
        <v>10077.200000000001</v>
      </c>
      <c r="D932" s="99">
        <f>IF(H932=0,0,ROUNDDOWN(J932*H932,1))</f>
        <v>0</v>
      </c>
      <c r="E932" s="99">
        <f>IF(H932=0,0,ROUNDDOWN(K932*H932,1))</f>
        <v>0</v>
      </c>
      <c r="F932" s="99">
        <f>IF(H932=0,0,ROUNDDOWN(L932*H932,1))</f>
        <v>10077.200000000001</v>
      </c>
      <c r="G932" s="16" t="s">
        <v>1714</v>
      </c>
      <c r="H932" s="105">
        <f>AC932</f>
        <v>0.4366812227074236</v>
      </c>
      <c r="I932" s="106">
        <f>K932+J932+L932</f>
        <v>23077</v>
      </c>
      <c r="L932" s="39">
        <f>중기목록표!H13</f>
        <v>23077</v>
      </c>
      <c r="M932" s="20" t="s">
        <v>1711</v>
      </c>
      <c r="N932" s="20" t="s">
        <v>1721</v>
      </c>
      <c r="X932" s="108" t="str">
        <f>중기목록표!B13&amp;" / "&amp;중기목록표!C13</f>
        <v>덤프트럭15ton(암) / 할증율:1.25</v>
      </c>
      <c r="Y932" s="19" t="str">
        <f ca="1">HYPERLINK("#"&amp;중기목록표!J2&amp;"!A"&amp;ROW(중기목록표!A13),"중기   10 →")</f>
        <v>중기   10 →</v>
      </c>
      <c r="Z932" s="20" t="s">
        <v>1393</v>
      </c>
      <c r="AA932" s="112" t="str">
        <f>AJ926</f>
        <v>2.29</v>
      </c>
      <c r="AB932" s="20" t="s">
        <v>1326</v>
      </c>
      <c r="AC932" s="113">
        <f>1/AJ926</f>
        <v>0.4366812227074236</v>
      </c>
      <c r="AD932" s="109"/>
      <c r="AE932" s="109"/>
      <c r="AF932" s="109"/>
      <c r="AG932" s="109"/>
      <c r="AH932" s="109"/>
      <c r="AI932" s="109"/>
      <c r="AJ932" s="109"/>
      <c r="AK932" s="109"/>
      <c r="AL932" s="109"/>
      <c r="AM932" s="109"/>
      <c r="AN932" s="109"/>
      <c r="AO932" s="109"/>
      <c r="AP932" s="109"/>
      <c r="AQ932" s="109"/>
      <c r="AR932" s="109"/>
      <c r="AS932" s="109"/>
    </row>
    <row r="933" spans="1:45" ht="12.6" customHeight="1" x14ac:dyDescent="0.3">
      <c r="A933" s="78"/>
      <c r="B933" s="78"/>
      <c r="C933" s="78"/>
      <c r="D933" s="78"/>
      <c r="E933" s="78"/>
      <c r="F933" s="78"/>
      <c r="G933" s="16" t="s">
        <v>1317</v>
      </c>
      <c r="Z933" s="109"/>
      <c r="AA933" s="109"/>
      <c r="AB933" s="109"/>
      <c r="AC933" s="109"/>
      <c r="AD933" s="109"/>
      <c r="AE933" s="109"/>
      <c r="AF933" s="109"/>
      <c r="AG933" s="109"/>
      <c r="AH933" s="109"/>
      <c r="AI933" s="109"/>
      <c r="AJ933" s="109"/>
      <c r="AK933" s="109"/>
      <c r="AL933" s="109"/>
      <c r="AM933" s="109"/>
      <c r="AN933" s="109"/>
      <c r="AO933" s="109"/>
      <c r="AP933" s="109"/>
      <c r="AQ933" s="109"/>
      <c r="AR933" s="109"/>
      <c r="AS933" s="109"/>
    </row>
    <row r="934" spans="1:45" ht="12.6" customHeight="1" x14ac:dyDescent="0.3">
      <c r="A934" s="68" t="s">
        <v>1717</v>
      </c>
      <c r="B934" s="97" t="str">
        <f>"                "&amp;TEXT(I934,"#,##0"&amp;IF(I934&lt;&gt;INT(I934),".###",""))&amp;" / Q = "&amp;TEXT(C934,"#,##0.0")&amp;""</f>
        <v xml:space="preserve">                414 / Q = 180.7</v>
      </c>
      <c r="C934" s="99">
        <f>E934+D934+F934</f>
        <v>180.7</v>
      </c>
      <c r="D934" s="99">
        <f>IF(H934=0,0,ROUNDDOWN(J934*H934,1))</f>
        <v>0</v>
      </c>
      <c r="E934" s="99">
        <f>IF(H934=0,0,ROUNDDOWN(K934*H934,1))</f>
        <v>0</v>
      </c>
      <c r="F934" s="99">
        <f>IF(H934=0,0,ROUNDDOWN(L934*H934,1))</f>
        <v>180.7</v>
      </c>
      <c r="G934" s="16" t="s">
        <v>1716</v>
      </c>
      <c r="H934" s="105">
        <f>AC934</f>
        <v>0.4366812227074236</v>
      </c>
      <c r="I934" s="106">
        <f>K934+J934+L934</f>
        <v>414</v>
      </c>
      <c r="L934" s="39">
        <f>중기목록표!H14</f>
        <v>414</v>
      </c>
      <c r="M934" s="20" t="s">
        <v>1718</v>
      </c>
      <c r="N934" s="20" t="s">
        <v>1721</v>
      </c>
      <c r="X934" s="108" t="str">
        <f>중기목록표!B14&amp;" / "&amp;중기목록표!C14</f>
        <v>덤프자동덮개 / 15톤</v>
      </c>
      <c r="Y934" s="19" t="str">
        <f ca="1">HYPERLINK("#"&amp;중기목록표!J2&amp;"!A"&amp;ROW(중기목록표!A14),"중기   11 →")</f>
        <v>중기   11 →</v>
      </c>
      <c r="Z934" s="20" t="s">
        <v>1393</v>
      </c>
      <c r="AA934" s="112" t="str">
        <f>AJ926</f>
        <v>2.29</v>
      </c>
      <c r="AB934" s="20" t="s">
        <v>1326</v>
      </c>
      <c r="AC934" s="113">
        <f>1/AJ926</f>
        <v>0.4366812227074236</v>
      </c>
      <c r="AD934" s="109"/>
      <c r="AE934" s="109"/>
      <c r="AF934" s="109"/>
      <c r="AG934" s="109"/>
      <c r="AH934" s="109"/>
      <c r="AI934" s="109"/>
      <c r="AJ934" s="109"/>
      <c r="AK934" s="109"/>
      <c r="AL934" s="109"/>
      <c r="AM934" s="109"/>
      <c r="AN934" s="109"/>
      <c r="AO934" s="109"/>
      <c r="AP934" s="109"/>
      <c r="AQ934" s="109"/>
      <c r="AR934" s="109"/>
      <c r="AS934" s="109"/>
    </row>
    <row r="935" spans="1:45" ht="12.6" customHeight="1" x14ac:dyDescent="0.3">
      <c r="A935" s="78"/>
      <c r="B935" s="78"/>
      <c r="C935" s="78"/>
      <c r="D935" s="78"/>
      <c r="E935" s="78"/>
      <c r="F935" s="78"/>
      <c r="G935" s="16" t="s">
        <v>1317</v>
      </c>
      <c r="Z935" s="109"/>
      <c r="AA935" s="109"/>
      <c r="AB935" s="109"/>
      <c r="AC935" s="109"/>
      <c r="AD935" s="109"/>
      <c r="AE935" s="109"/>
      <c r="AF935" s="109"/>
      <c r="AG935" s="109"/>
      <c r="AH935" s="109"/>
      <c r="AI935" s="109"/>
      <c r="AJ935" s="109"/>
      <c r="AK935" s="109"/>
      <c r="AL935" s="109"/>
      <c r="AM935" s="109"/>
      <c r="AN935" s="109"/>
      <c r="AO935" s="109"/>
      <c r="AP935" s="109"/>
      <c r="AQ935" s="109"/>
      <c r="AR935" s="109"/>
      <c r="AS935" s="109"/>
    </row>
    <row r="936" spans="1:45" ht="12.6" customHeight="1" x14ac:dyDescent="0.3">
      <c r="A936" s="68"/>
      <c r="B936" s="77" t="s">
        <v>1720</v>
      </c>
      <c r="C936" s="103">
        <f>E936+D936+F936</f>
        <v>46768.700000000004</v>
      </c>
      <c r="D936" s="103">
        <f>SUMIF(N882:N935,M936,D882:D935)</f>
        <v>24323.1</v>
      </c>
      <c r="E936" s="103">
        <f>SUMIF(N882:N935,M936,E882:E935)</f>
        <v>12187.7</v>
      </c>
      <c r="F936" s="103">
        <f>SUMIF(N882:N935,M936,F882:F935)</f>
        <v>10257.900000000001</v>
      </c>
      <c r="G936" s="16" t="s">
        <v>1719</v>
      </c>
      <c r="M936" s="20" t="s">
        <v>1721</v>
      </c>
      <c r="Z936" s="109"/>
      <c r="AA936" s="109"/>
      <c r="AB936" s="109"/>
      <c r="AC936" s="109"/>
      <c r="AD936" s="109"/>
      <c r="AE936" s="109"/>
      <c r="AF936" s="109"/>
      <c r="AG936" s="109"/>
      <c r="AH936" s="109"/>
      <c r="AI936" s="109"/>
      <c r="AJ936" s="109"/>
      <c r="AK936" s="109"/>
      <c r="AL936" s="109"/>
      <c r="AM936" s="109"/>
      <c r="AN936" s="109"/>
      <c r="AO936" s="109"/>
      <c r="AP936" s="109"/>
      <c r="AQ936" s="109"/>
      <c r="AR936" s="109"/>
      <c r="AS936" s="109"/>
    </row>
    <row r="937" spans="1:45" ht="12.6" customHeight="1" x14ac:dyDescent="0.3">
      <c r="A937" s="78"/>
      <c r="B937" s="78"/>
      <c r="C937" s="104"/>
      <c r="D937" s="104"/>
      <c r="E937" s="104"/>
      <c r="F937" s="104"/>
      <c r="G937" s="16" t="s">
        <v>1317</v>
      </c>
      <c r="Z937" s="109"/>
      <c r="AA937" s="109"/>
      <c r="AB937" s="109"/>
      <c r="AC937" s="109"/>
      <c r="AD937" s="109"/>
      <c r="AE937" s="109"/>
      <c r="AF937" s="109"/>
      <c r="AG937" s="109"/>
      <c r="AH937" s="109"/>
      <c r="AI937" s="109"/>
      <c r="AJ937" s="109"/>
      <c r="AK937" s="109"/>
      <c r="AL937" s="109"/>
      <c r="AM937" s="109"/>
      <c r="AN937" s="109"/>
      <c r="AO937" s="109"/>
      <c r="AP937" s="109"/>
      <c r="AQ937" s="109"/>
      <c r="AR937" s="109"/>
      <c r="AS937" s="109"/>
    </row>
    <row r="938" spans="1:45" ht="12.6" customHeight="1" x14ac:dyDescent="0.3">
      <c r="A938" s="68"/>
      <c r="B938" s="77" t="s">
        <v>1723</v>
      </c>
      <c r="C938" s="78"/>
      <c r="D938" s="78"/>
      <c r="E938" s="78"/>
      <c r="F938" s="78"/>
      <c r="G938" s="16" t="s">
        <v>1722</v>
      </c>
      <c r="Z938" s="109"/>
      <c r="AA938" s="109"/>
      <c r="AB938" s="109"/>
      <c r="AC938" s="109"/>
      <c r="AD938" s="109"/>
      <c r="AE938" s="109"/>
      <c r="AF938" s="109"/>
      <c r="AG938" s="109"/>
      <c r="AH938" s="109"/>
      <c r="AI938" s="109"/>
      <c r="AJ938" s="109"/>
      <c r="AK938" s="109"/>
      <c r="AL938" s="109"/>
      <c r="AM938" s="109"/>
      <c r="AN938" s="109"/>
      <c r="AO938" s="109"/>
      <c r="AP938" s="109"/>
      <c r="AQ938" s="109"/>
      <c r="AR938" s="109"/>
      <c r="AS938" s="109"/>
    </row>
    <row r="939" spans="1:45" ht="12.6" customHeight="1" x14ac:dyDescent="0.3">
      <c r="A939" s="78"/>
      <c r="B939" s="78"/>
      <c r="C939" s="78"/>
      <c r="D939" s="78"/>
      <c r="E939" s="78"/>
      <c r="F939" s="78"/>
      <c r="G939" s="16" t="s">
        <v>1317</v>
      </c>
      <c r="Z939" s="109"/>
      <c r="AA939" s="109"/>
      <c r="AB939" s="109"/>
      <c r="AC939" s="109"/>
      <c r="AD939" s="109"/>
      <c r="AE939" s="109"/>
      <c r="AF939" s="109"/>
      <c r="AG939" s="109"/>
      <c r="AH939" s="109"/>
      <c r="AI939" s="109"/>
      <c r="AJ939" s="109"/>
      <c r="AK939" s="109"/>
      <c r="AL939" s="109"/>
      <c r="AM939" s="109"/>
      <c r="AN939" s="109"/>
      <c r="AO939" s="109"/>
      <c r="AP939" s="109"/>
      <c r="AQ939" s="109"/>
      <c r="AR939" s="109"/>
      <c r="AS939" s="109"/>
    </row>
    <row r="940" spans="1:45" ht="12.6" customHeight="1" x14ac:dyDescent="0.3">
      <c r="A940" s="68"/>
      <c r="B940" s="77" t="s">
        <v>1691</v>
      </c>
      <c r="C940" s="78"/>
      <c r="D940" s="78"/>
      <c r="E940" s="78"/>
      <c r="F940" s="78"/>
      <c r="G940" s="16" t="s">
        <v>1690</v>
      </c>
      <c r="Z940" s="109"/>
      <c r="AA940" s="109"/>
      <c r="AB940" s="109"/>
      <c r="AC940" s="109"/>
      <c r="AD940" s="109"/>
      <c r="AE940" s="109"/>
      <c r="AF940" s="109"/>
      <c r="AG940" s="109"/>
      <c r="AH940" s="109"/>
      <c r="AI940" s="109"/>
      <c r="AJ940" s="109"/>
      <c r="AK940" s="109"/>
      <c r="AL940" s="109"/>
      <c r="AM940" s="109"/>
      <c r="AN940" s="109"/>
      <c r="AO940" s="109"/>
      <c r="AP940" s="109"/>
      <c r="AQ940" s="109"/>
      <c r="AR940" s="109"/>
      <c r="AS940" s="109"/>
    </row>
    <row r="941" spans="1:45" ht="12.6" customHeight="1" x14ac:dyDescent="0.3">
      <c r="A941" s="78"/>
      <c r="B941" s="78"/>
      <c r="C941" s="78"/>
      <c r="D941" s="78"/>
      <c r="E941" s="78"/>
      <c r="F941" s="78"/>
      <c r="G941" s="16" t="s">
        <v>1317</v>
      </c>
      <c r="Z941" s="109"/>
      <c r="AA941" s="109"/>
      <c r="AB941" s="109"/>
      <c r="AC941" s="109"/>
      <c r="AD941" s="109"/>
      <c r="AE941" s="109"/>
      <c r="AF941" s="109"/>
      <c r="AG941" s="109"/>
      <c r="AH941" s="109"/>
      <c r="AI941" s="109"/>
      <c r="AJ941" s="109"/>
      <c r="AK941" s="109"/>
      <c r="AL941" s="109"/>
      <c r="AM941" s="109"/>
      <c r="AN941" s="109"/>
      <c r="AO941" s="109"/>
      <c r="AP941" s="109"/>
      <c r="AQ941" s="109"/>
      <c r="AR941" s="109"/>
      <c r="AS941" s="109"/>
    </row>
    <row r="942" spans="1:45" ht="12.6" customHeight="1" x14ac:dyDescent="0.3">
      <c r="A942" s="68"/>
      <c r="B942" s="77" t="s">
        <v>1693</v>
      </c>
      <c r="C942" s="78"/>
      <c r="D942" s="78"/>
      <c r="E942" s="78"/>
      <c r="F942" s="78"/>
      <c r="G942" s="16" t="s">
        <v>1692</v>
      </c>
      <c r="Z942" s="109"/>
      <c r="AA942" s="109"/>
      <c r="AB942" s="109"/>
      <c r="AC942" s="109"/>
      <c r="AD942" s="109"/>
      <c r="AE942" s="109"/>
      <c r="AF942" s="109"/>
      <c r="AG942" s="109"/>
      <c r="AH942" s="109"/>
      <c r="AI942" s="109"/>
      <c r="AJ942" s="109"/>
      <c r="AK942" s="109"/>
      <c r="AL942" s="109"/>
      <c r="AM942" s="109"/>
      <c r="AN942" s="109"/>
      <c r="AO942" s="109"/>
      <c r="AP942" s="109"/>
      <c r="AQ942" s="109"/>
      <c r="AR942" s="109"/>
      <c r="AS942" s="109"/>
    </row>
    <row r="943" spans="1:45" ht="12.6" customHeight="1" x14ac:dyDescent="0.3">
      <c r="A943" s="78"/>
      <c r="B943" s="78"/>
      <c r="C943" s="78"/>
      <c r="D943" s="78"/>
      <c r="E943" s="78"/>
      <c r="F943" s="78"/>
      <c r="G943" s="16" t="s">
        <v>1317</v>
      </c>
      <c r="Z943" s="109"/>
      <c r="AA943" s="109"/>
      <c r="AB943" s="109"/>
      <c r="AC943" s="109"/>
      <c r="AD943" s="109"/>
      <c r="AE943" s="109"/>
      <c r="AF943" s="109"/>
      <c r="AG943" s="109"/>
      <c r="AH943" s="109"/>
      <c r="AI943" s="109"/>
      <c r="AJ943" s="109"/>
      <c r="AK943" s="109"/>
      <c r="AL943" s="109"/>
      <c r="AM943" s="109"/>
      <c r="AN943" s="109"/>
      <c r="AO943" s="109"/>
      <c r="AP943" s="109"/>
      <c r="AQ943" s="109"/>
      <c r="AR943" s="109"/>
      <c r="AS943" s="109"/>
    </row>
    <row r="944" spans="1:45" ht="12.6" customHeight="1" x14ac:dyDescent="0.3">
      <c r="A944" s="68"/>
      <c r="B944" s="97" t="str">
        <f>" f (체적환산계수) ="&amp;Z944&amp;"= "&amp;AB944&amp;" , E (작업효율) ="&amp;AD944&amp;""</f>
        <v xml:space="preserve"> f (체적환산계수) =1= 1.00 , E (작업효율) =0.9</v>
      </c>
      <c r="C944" s="78"/>
      <c r="D944" s="78"/>
      <c r="E944" s="78"/>
      <c r="F944" s="78"/>
      <c r="G944" s="16" t="s">
        <v>1694</v>
      </c>
      <c r="Z944" s="111">
        <v>1</v>
      </c>
      <c r="AA944" s="20" t="s">
        <v>1326</v>
      </c>
      <c r="AB944" s="112" t="str">
        <f>TEXT(ROUND(Z944,2),"0.00")</f>
        <v>1.00</v>
      </c>
      <c r="AC944" s="20" t="s">
        <v>1385</v>
      </c>
      <c r="AD944" s="110">
        <v>0.9</v>
      </c>
      <c r="AE944" s="20" t="s">
        <v>1326</v>
      </c>
      <c r="AF944" s="112">
        <f>AD944</f>
        <v>0.9</v>
      </c>
      <c r="AG944" s="20" t="s">
        <v>1385</v>
      </c>
      <c r="AH944" s="109"/>
      <c r="AI944" s="109"/>
      <c r="AJ944" s="109"/>
      <c r="AK944" s="109"/>
      <c r="AL944" s="109"/>
      <c r="AM944" s="109"/>
      <c r="AN944" s="109"/>
      <c r="AO944" s="109"/>
      <c r="AP944" s="109"/>
      <c r="AQ944" s="109"/>
      <c r="AR944" s="109"/>
      <c r="AS944" s="109"/>
    </row>
    <row r="945" spans="1:45" ht="12.6" customHeight="1" x14ac:dyDescent="0.3">
      <c r="A945" s="78"/>
      <c r="B945" s="78"/>
      <c r="C945" s="78"/>
      <c r="D945" s="78"/>
      <c r="E945" s="78"/>
      <c r="F945" s="78"/>
      <c r="G945" s="16" t="s">
        <v>1317</v>
      </c>
      <c r="Z945" s="109"/>
      <c r="AA945" s="109"/>
      <c r="AB945" s="109"/>
      <c r="AC945" s="109"/>
      <c r="AD945" s="109"/>
      <c r="AE945" s="109"/>
      <c r="AF945" s="109"/>
      <c r="AG945" s="109"/>
      <c r="AH945" s="109"/>
      <c r="AI945" s="109"/>
      <c r="AJ945" s="109"/>
      <c r="AK945" s="109"/>
      <c r="AL945" s="109"/>
      <c r="AM945" s="109"/>
      <c r="AN945" s="109"/>
      <c r="AO945" s="109"/>
      <c r="AP945" s="109"/>
      <c r="AQ945" s="109"/>
      <c r="AR945" s="109"/>
      <c r="AS945" s="109"/>
    </row>
    <row r="946" spans="1:45" ht="12.6" customHeight="1" x14ac:dyDescent="0.3">
      <c r="A946" s="68"/>
      <c r="B946" s="97" t="str">
        <f>" k (버킷계수) ="&amp;Z946&amp;""</f>
        <v xml:space="preserve"> k (버킷계수) =0.55</v>
      </c>
      <c r="C946" s="78"/>
      <c r="D946" s="78"/>
      <c r="E946" s="78"/>
      <c r="F946" s="78"/>
      <c r="G946" s="16" t="s">
        <v>1695</v>
      </c>
      <c r="Z946" s="110">
        <v>0.55000000000000004</v>
      </c>
      <c r="AA946" s="20" t="s">
        <v>1326</v>
      </c>
      <c r="AB946" s="112">
        <f>Z946</f>
        <v>0.55000000000000004</v>
      </c>
      <c r="AC946" s="109"/>
      <c r="AD946" s="109"/>
      <c r="AE946" s="109"/>
      <c r="AF946" s="109"/>
      <c r="AG946" s="109"/>
      <c r="AH946" s="109"/>
      <c r="AI946" s="109"/>
      <c r="AJ946" s="109"/>
      <c r="AK946" s="109"/>
      <c r="AL946" s="109"/>
      <c r="AM946" s="109"/>
      <c r="AN946" s="109"/>
      <c r="AO946" s="109"/>
      <c r="AP946" s="109"/>
      <c r="AQ946" s="109"/>
      <c r="AR946" s="109"/>
      <c r="AS946" s="109"/>
    </row>
    <row r="947" spans="1:45" ht="12.6" customHeight="1" x14ac:dyDescent="0.3">
      <c r="A947" s="78"/>
      <c r="B947" s="78"/>
      <c r="C947" s="78"/>
      <c r="D947" s="78"/>
      <c r="E947" s="78"/>
      <c r="F947" s="78"/>
      <c r="G947" s="16" t="s">
        <v>1317</v>
      </c>
      <c r="Z947" s="109"/>
      <c r="AA947" s="109"/>
      <c r="AB947" s="109"/>
      <c r="AC947" s="109"/>
      <c r="AD947" s="109"/>
      <c r="AE947" s="109"/>
      <c r="AF947" s="109"/>
      <c r="AG947" s="109"/>
      <c r="AH947" s="109"/>
      <c r="AI947" s="109"/>
      <c r="AJ947" s="109"/>
      <c r="AK947" s="109"/>
      <c r="AL947" s="109"/>
      <c r="AM947" s="109"/>
      <c r="AN947" s="109"/>
      <c r="AO947" s="109"/>
      <c r="AP947" s="109"/>
      <c r="AQ947" s="109"/>
      <c r="AR947" s="109"/>
      <c r="AS947" s="109"/>
    </row>
    <row r="948" spans="1:45" ht="12.6" customHeight="1" x14ac:dyDescent="0.3">
      <c r="A948" s="68"/>
      <c r="B948" s="97" t="str">
        <f>" V1="&amp;Z948&amp;" , V2="&amp;AD948&amp;" , V3="&amp;AH948&amp;" , V4="&amp;AL948&amp;""</f>
        <v xml:space="preserve"> V1=30 , V2=35 , V3=10 , V4=15</v>
      </c>
      <c r="C948" s="78"/>
      <c r="D948" s="78"/>
      <c r="E948" s="78"/>
      <c r="F948" s="78"/>
      <c r="G948" s="16" t="s">
        <v>1696</v>
      </c>
      <c r="Z948" s="111">
        <v>30</v>
      </c>
      <c r="AA948" s="20" t="s">
        <v>1326</v>
      </c>
      <c r="AB948" s="112">
        <f>Z948</f>
        <v>30</v>
      </c>
      <c r="AC948" s="20" t="s">
        <v>1385</v>
      </c>
      <c r="AD948" s="111">
        <v>35</v>
      </c>
      <c r="AE948" s="20" t="s">
        <v>1326</v>
      </c>
      <c r="AF948" s="112">
        <f>AD948</f>
        <v>35</v>
      </c>
      <c r="AG948" s="20" t="s">
        <v>1385</v>
      </c>
      <c r="AH948" s="111">
        <v>10</v>
      </c>
      <c r="AI948" s="20" t="s">
        <v>1326</v>
      </c>
      <c r="AJ948" s="112">
        <f>AH948</f>
        <v>10</v>
      </c>
      <c r="AK948" s="20" t="s">
        <v>1385</v>
      </c>
      <c r="AL948" s="111">
        <v>15</v>
      </c>
      <c r="AM948" s="20" t="s">
        <v>1326</v>
      </c>
      <c r="AN948" s="112">
        <f>AL948</f>
        <v>15</v>
      </c>
      <c r="AO948" s="20" t="s">
        <v>1385</v>
      </c>
      <c r="AP948" s="109"/>
      <c r="AQ948" s="109"/>
      <c r="AR948" s="109"/>
      <c r="AS948" s="109"/>
    </row>
    <row r="949" spans="1:45" ht="12.6" customHeight="1" x14ac:dyDescent="0.3">
      <c r="A949" s="78"/>
      <c r="B949" s="78"/>
      <c r="C949" s="78"/>
      <c r="D949" s="78"/>
      <c r="E949" s="78"/>
      <c r="F949" s="78"/>
      <c r="G949" s="16" t="s">
        <v>1317</v>
      </c>
      <c r="Z949" s="109"/>
      <c r="AA949" s="109"/>
      <c r="AB949" s="109"/>
      <c r="AC949" s="109"/>
      <c r="AD949" s="109"/>
      <c r="AE949" s="109"/>
      <c r="AF949" s="109"/>
      <c r="AG949" s="109"/>
      <c r="AH949" s="109"/>
      <c r="AI949" s="109"/>
      <c r="AJ949" s="109"/>
      <c r="AK949" s="109"/>
      <c r="AL949" s="109"/>
      <c r="AM949" s="109"/>
      <c r="AN949" s="109"/>
      <c r="AO949" s="109"/>
      <c r="AP949" s="109"/>
      <c r="AQ949" s="109"/>
      <c r="AR949" s="109"/>
      <c r="AS949" s="109"/>
    </row>
    <row r="950" spans="1:45" ht="12.6" customHeight="1" x14ac:dyDescent="0.3">
      <c r="A950" s="68"/>
      <c r="B950" s="97" t="str">
        <f>" q1 (덤프트럭 1회 적재량(ton))  = "&amp;Z950&amp;""</f>
        <v xml:space="preserve"> q1 (덤프트럭 1회 적재량(ton))  = 24</v>
      </c>
      <c r="C950" s="78"/>
      <c r="D950" s="78"/>
      <c r="E950" s="78"/>
      <c r="F950" s="78"/>
      <c r="G950" s="16" t="s">
        <v>1724</v>
      </c>
      <c r="Z950" s="111">
        <v>24</v>
      </c>
      <c r="AA950" s="20" t="s">
        <v>1326</v>
      </c>
      <c r="AB950" s="112">
        <f>Z950</f>
        <v>24</v>
      </c>
      <c r="AC950" s="109"/>
      <c r="AD950" s="109"/>
      <c r="AE950" s="109"/>
      <c r="AF950" s="109"/>
      <c r="AG950" s="109"/>
      <c r="AH950" s="109"/>
      <c r="AI950" s="109"/>
      <c r="AJ950" s="109"/>
      <c r="AK950" s="109"/>
      <c r="AL950" s="109"/>
      <c r="AM950" s="109"/>
      <c r="AN950" s="109"/>
      <c r="AO950" s="109"/>
      <c r="AP950" s="109"/>
      <c r="AQ950" s="109"/>
      <c r="AR950" s="109"/>
      <c r="AS950" s="109"/>
    </row>
    <row r="951" spans="1:45" ht="12.6" customHeight="1" x14ac:dyDescent="0.3">
      <c r="A951" s="78"/>
      <c r="B951" s="78"/>
      <c r="C951" s="78"/>
      <c r="D951" s="78"/>
      <c r="E951" s="78"/>
      <c r="F951" s="78"/>
      <c r="G951" s="16" t="s">
        <v>1317</v>
      </c>
      <c r="Z951" s="109"/>
      <c r="AA951" s="109"/>
      <c r="AB951" s="109"/>
      <c r="AC951" s="109"/>
      <c r="AD951" s="109"/>
      <c r="AE951" s="109"/>
      <c r="AF951" s="109"/>
      <c r="AG951" s="109"/>
      <c r="AH951" s="109"/>
      <c r="AI951" s="109"/>
      <c r="AJ951" s="109"/>
      <c r="AK951" s="109"/>
      <c r="AL951" s="109"/>
      <c r="AM951" s="109"/>
      <c r="AN951" s="109"/>
      <c r="AO951" s="109"/>
      <c r="AP951" s="109"/>
      <c r="AQ951" s="109"/>
      <c r="AR951" s="109"/>
      <c r="AS951" s="109"/>
    </row>
    <row r="952" spans="1:45" ht="12.6" customHeight="1" x14ac:dyDescent="0.3">
      <c r="A952" s="68"/>
      <c r="B952" s="77" t="s">
        <v>1699</v>
      </c>
      <c r="C952" s="78"/>
      <c r="D952" s="78"/>
      <c r="E952" s="78"/>
      <c r="F952" s="78"/>
      <c r="G952" s="16" t="s">
        <v>1698</v>
      </c>
      <c r="Z952" s="109"/>
      <c r="AA952" s="109"/>
      <c r="AB952" s="109"/>
      <c r="AC952" s="109"/>
      <c r="AD952" s="109"/>
      <c r="AE952" s="109"/>
      <c r="AF952" s="109"/>
      <c r="AG952" s="109"/>
      <c r="AH952" s="109"/>
      <c r="AI952" s="109"/>
      <c r="AJ952" s="109"/>
      <c r="AK952" s="109"/>
      <c r="AL952" s="109"/>
      <c r="AM952" s="109"/>
      <c r="AN952" s="109"/>
      <c r="AO952" s="109"/>
      <c r="AP952" s="109"/>
      <c r="AQ952" s="109"/>
      <c r="AR952" s="109"/>
      <c r="AS952" s="109"/>
    </row>
    <row r="953" spans="1:45" ht="12.6" customHeight="1" x14ac:dyDescent="0.3">
      <c r="A953" s="78"/>
      <c r="B953" s="78"/>
      <c r="C953" s="78"/>
      <c r="D953" s="78"/>
      <c r="E953" s="78"/>
      <c r="F953" s="78"/>
      <c r="G953" s="16" t="s">
        <v>1317</v>
      </c>
      <c r="Z953" s="109"/>
      <c r="AA953" s="109"/>
      <c r="AB953" s="109"/>
      <c r="AC953" s="109"/>
      <c r="AD953" s="109"/>
      <c r="AE953" s="109"/>
      <c r="AF953" s="109"/>
      <c r="AG953" s="109"/>
      <c r="AH953" s="109"/>
      <c r="AI953" s="109"/>
      <c r="AJ953" s="109"/>
      <c r="AK953" s="109"/>
      <c r="AL953" s="109"/>
      <c r="AM953" s="109"/>
      <c r="AN953" s="109"/>
      <c r="AO953" s="109"/>
      <c r="AP953" s="109"/>
      <c r="AQ953" s="109"/>
      <c r="AR953" s="109"/>
      <c r="AS953" s="109"/>
    </row>
    <row r="954" spans="1:45" ht="12.6" customHeight="1" x14ac:dyDescent="0.3">
      <c r="A954" s="68"/>
      <c r="B954" s="97" t="str">
        <f>" n =q1 / ("&amp;AB954&amp;" * k) = "&amp;AG954&amp;"  회 "</f>
        <v xml:space="preserve"> n =q1 / (2.73 * k) = 15.98  회 </v>
      </c>
      <c r="C954" s="78"/>
      <c r="D954" s="78"/>
      <c r="E954" s="78"/>
      <c r="F954" s="78"/>
      <c r="G954" s="16" t="s">
        <v>1700</v>
      </c>
      <c r="Z954" s="112">
        <f>AB950</f>
        <v>24</v>
      </c>
      <c r="AA954" s="20" t="s">
        <v>1531</v>
      </c>
      <c r="AB954" s="110">
        <v>2.73</v>
      </c>
      <c r="AC954" s="20" t="s">
        <v>1390</v>
      </c>
      <c r="AD954" s="112">
        <f>AB946</f>
        <v>0.55000000000000004</v>
      </c>
      <c r="AE954" s="20" t="s">
        <v>1532</v>
      </c>
      <c r="AF954" s="20" t="s">
        <v>1326</v>
      </c>
      <c r="AG954" s="112" t="str">
        <f>TEXT(ROUND(AB950/(AB954*AB946),2),"0.00")</f>
        <v>15.98</v>
      </c>
      <c r="AH954" s="109"/>
      <c r="AI954" s="109"/>
      <c r="AJ954" s="109"/>
      <c r="AK954" s="109"/>
      <c r="AL954" s="109"/>
      <c r="AM954" s="109"/>
      <c r="AN954" s="109"/>
      <c r="AO954" s="109"/>
      <c r="AP954" s="109"/>
      <c r="AQ954" s="109"/>
      <c r="AR954" s="109"/>
      <c r="AS954" s="109"/>
    </row>
    <row r="955" spans="1:45" ht="12.6" customHeight="1" x14ac:dyDescent="0.3">
      <c r="A955" s="78"/>
      <c r="B955" s="78"/>
      <c r="C955" s="78"/>
      <c r="D955" s="78"/>
      <c r="E955" s="78"/>
      <c r="F955" s="78"/>
      <c r="G955" s="16" t="s">
        <v>1317</v>
      </c>
      <c r="Z955" s="109"/>
      <c r="AA955" s="109"/>
      <c r="AB955" s="109"/>
      <c r="AC955" s="109"/>
      <c r="AD955" s="109"/>
      <c r="AE955" s="109"/>
      <c r="AF955" s="109"/>
      <c r="AG955" s="109"/>
      <c r="AH955" s="109"/>
      <c r="AI955" s="109"/>
      <c r="AJ955" s="109"/>
      <c r="AK955" s="109"/>
      <c r="AL955" s="109"/>
      <c r="AM955" s="109"/>
      <c r="AN955" s="109"/>
      <c r="AO955" s="109"/>
      <c r="AP955" s="109"/>
      <c r="AQ955" s="109"/>
      <c r="AR955" s="109"/>
      <c r="AS955" s="109"/>
    </row>
    <row r="956" spans="1:45" ht="12.6" customHeight="1" x14ac:dyDescent="0.3">
      <c r="A956" s="68"/>
      <c r="B956" s="97" t="str">
        <f>" t1 (적재시간)  ="&amp;Z956&amp;" * n / ("&amp;AD956&amp;" * "&amp;AF956&amp;") = "&amp;AI956&amp;" 분 "</f>
        <v xml:space="preserve"> t1 (적재시간)  =20 * n / (60 * 0.35) = 15.22 분 </v>
      </c>
      <c r="C956" s="78"/>
      <c r="D956" s="78"/>
      <c r="E956" s="78"/>
      <c r="F956" s="78"/>
      <c r="G956" s="16" t="s">
        <v>1701</v>
      </c>
      <c r="Z956" s="111">
        <v>20</v>
      </c>
      <c r="AA956" s="20" t="s">
        <v>1390</v>
      </c>
      <c r="AB956" s="112" t="str">
        <f>AG954</f>
        <v>15.98</v>
      </c>
      <c r="AC956" s="20" t="s">
        <v>1531</v>
      </c>
      <c r="AD956" s="111">
        <v>60</v>
      </c>
      <c r="AE956" s="20" t="s">
        <v>1390</v>
      </c>
      <c r="AF956" s="110">
        <v>0.35</v>
      </c>
      <c r="AG956" s="20" t="s">
        <v>1532</v>
      </c>
      <c r="AH956" s="20" t="s">
        <v>1326</v>
      </c>
      <c r="AI956" s="112" t="str">
        <f>TEXT(ROUND(Z956*AG954/(AD956*AF956),2),"0.00")</f>
        <v>15.22</v>
      </c>
      <c r="AJ956" s="109"/>
      <c r="AK956" s="109"/>
      <c r="AL956" s="109"/>
      <c r="AM956" s="109"/>
      <c r="AN956" s="109"/>
      <c r="AO956" s="109"/>
      <c r="AP956" s="109"/>
      <c r="AQ956" s="109"/>
      <c r="AR956" s="109"/>
      <c r="AS956" s="109"/>
    </row>
    <row r="957" spans="1:45" ht="12.6" customHeight="1" x14ac:dyDescent="0.3">
      <c r="A957" s="78"/>
      <c r="B957" s="78"/>
      <c r="C957" s="78"/>
      <c r="D957" s="78"/>
      <c r="E957" s="78"/>
      <c r="F957" s="78"/>
      <c r="G957" s="16" t="s">
        <v>1317</v>
      </c>
      <c r="Z957" s="109"/>
      <c r="AA957" s="109"/>
      <c r="AB957" s="109"/>
      <c r="AC957" s="109"/>
      <c r="AD957" s="109"/>
      <c r="AE957" s="109"/>
      <c r="AF957" s="109"/>
      <c r="AG957" s="109"/>
      <c r="AH957" s="109"/>
      <c r="AI957" s="109"/>
      <c r="AJ957" s="109"/>
      <c r="AK957" s="109"/>
      <c r="AL957" s="109"/>
      <c r="AM957" s="109"/>
      <c r="AN957" s="109"/>
      <c r="AO957" s="109"/>
      <c r="AP957" s="109"/>
      <c r="AQ957" s="109"/>
      <c r="AR957" s="109"/>
      <c r="AS957" s="109"/>
    </row>
    <row r="958" spans="1:45" ht="12.6" customHeight="1" x14ac:dyDescent="0.3">
      <c r="A958" s="68"/>
      <c r="B958" s="97" t="str">
        <f>" t2 (왕복시간) =(L1/V1+L1/V2+L2/V3+L2/V4 ) * "&amp;AQ958&amp;" = "&amp;AS958&amp;" 분 "</f>
        <v xml:space="preserve"> t2 (왕복시간) =(L1/V1+L1/V2+L2/V3+L2/V4 ) * 60 = 341.14 분 </v>
      </c>
      <c r="C958" s="78"/>
      <c r="D958" s="78"/>
      <c r="E958" s="78"/>
      <c r="F958" s="78"/>
      <c r="G958" s="16" t="s">
        <v>1702</v>
      </c>
      <c r="Z958" s="20" t="s">
        <v>1526</v>
      </c>
      <c r="AA958" s="112">
        <f>AB885</f>
        <v>73</v>
      </c>
      <c r="AB958" s="20" t="s">
        <v>1387</v>
      </c>
      <c r="AC958" s="112">
        <f>AB948</f>
        <v>30</v>
      </c>
      <c r="AD958" s="20" t="s">
        <v>1535</v>
      </c>
      <c r="AE958" s="112">
        <f>AB885</f>
        <v>73</v>
      </c>
      <c r="AF958" s="20" t="s">
        <v>1387</v>
      </c>
      <c r="AG958" s="112">
        <f>AF948</f>
        <v>35</v>
      </c>
      <c r="AH958" s="20" t="s">
        <v>1535</v>
      </c>
      <c r="AI958" s="112">
        <f>AB887</f>
        <v>7</v>
      </c>
      <c r="AJ958" s="20" t="s">
        <v>1387</v>
      </c>
      <c r="AK958" s="112">
        <f>AJ948</f>
        <v>10</v>
      </c>
      <c r="AL958" s="20" t="s">
        <v>1535</v>
      </c>
      <c r="AM958" s="112">
        <f>AB887</f>
        <v>7</v>
      </c>
      <c r="AN958" s="20" t="s">
        <v>1387</v>
      </c>
      <c r="AO958" s="112">
        <f>AN948</f>
        <v>15</v>
      </c>
      <c r="AP958" s="20" t="s">
        <v>1527</v>
      </c>
      <c r="AQ958" s="111">
        <v>60</v>
      </c>
      <c r="AR958" s="20" t="s">
        <v>1326</v>
      </c>
      <c r="AS958" s="112" t="str">
        <f>TEXT(ROUND((AB885/AB948+AB885/AF948+AB887/AJ948+AB887/AN948)*AQ958,2),"0.00")</f>
        <v>341.14</v>
      </c>
    </row>
    <row r="959" spans="1:45" ht="12.6" customHeight="1" x14ac:dyDescent="0.3">
      <c r="A959" s="78"/>
      <c r="B959" s="78"/>
      <c r="C959" s="78"/>
      <c r="D959" s="78"/>
      <c r="E959" s="78"/>
      <c r="F959" s="78"/>
      <c r="G959" s="16" t="s">
        <v>1317</v>
      </c>
      <c r="Z959" s="109"/>
      <c r="AA959" s="109"/>
      <c r="AB959" s="109"/>
      <c r="AC959" s="109"/>
      <c r="AD959" s="109"/>
      <c r="AE959" s="109"/>
      <c r="AF959" s="109"/>
      <c r="AG959" s="109"/>
      <c r="AH959" s="109"/>
      <c r="AI959" s="109"/>
      <c r="AJ959" s="109"/>
      <c r="AK959" s="109"/>
      <c r="AL959" s="109"/>
      <c r="AM959" s="109"/>
      <c r="AN959" s="109"/>
      <c r="AO959" s="109"/>
      <c r="AP959" s="109"/>
      <c r="AQ959" s="109"/>
      <c r="AR959" s="109"/>
      <c r="AS959" s="109"/>
    </row>
    <row r="960" spans="1:45" ht="12.6" customHeight="1" x14ac:dyDescent="0.3">
      <c r="A960" s="68"/>
      <c r="B960" s="97" t="str">
        <f>" t3 (적하시간) ="&amp;Z960&amp;" 분 "</f>
        <v xml:space="preserve"> t3 (적하시간) =1.1 분 </v>
      </c>
      <c r="C960" s="78"/>
      <c r="D960" s="78"/>
      <c r="E960" s="78"/>
      <c r="F960" s="78"/>
      <c r="G960" s="16" t="s">
        <v>1703</v>
      </c>
      <c r="Z960" s="110">
        <v>1.1000000000000001</v>
      </c>
      <c r="AA960" s="20" t="s">
        <v>1326</v>
      </c>
      <c r="AB960" s="112">
        <f>Z960</f>
        <v>1.1000000000000001</v>
      </c>
      <c r="AC960" s="109"/>
      <c r="AD960" s="109"/>
      <c r="AE960" s="109"/>
      <c r="AF960" s="109"/>
      <c r="AG960" s="109"/>
      <c r="AH960" s="109"/>
      <c r="AI960" s="109"/>
      <c r="AJ960" s="109"/>
      <c r="AK960" s="109"/>
      <c r="AL960" s="109"/>
      <c r="AM960" s="109"/>
      <c r="AN960" s="109"/>
      <c r="AO960" s="109"/>
      <c r="AP960" s="109"/>
      <c r="AQ960" s="109"/>
      <c r="AR960" s="109"/>
      <c r="AS960" s="109"/>
    </row>
    <row r="961" spans="1:45" ht="12.6" customHeight="1" x14ac:dyDescent="0.3">
      <c r="A961" s="78"/>
      <c r="B961" s="78"/>
      <c r="C961" s="78"/>
      <c r="D961" s="78"/>
      <c r="E961" s="78"/>
      <c r="F961" s="78"/>
      <c r="G961" s="16" t="s">
        <v>1317</v>
      </c>
      <c r="Z961" s="109"/>
      <c r="AA961" s="109"/>
      <c r="AB961" s="109"/>
      <c r="AC961" s="109"/>
      <c r="AD961" s="109"/>
      <c r="AE961" s="109"/>
      <c r="AF961" s="109"/>
      <c r="AG961" s="109"/>
      <c r="AH961" s="109"/>
      <c r="AI961" s="109"/>
      <c r="AJ961" s="109"/>
      <c r="AK961" s="109"/>
      <c r="AL961" s="109"/>
      <c r="AM961" s="109"/>
      <c r="AN961" s="109"/>
      <c r="AO961" s="109"/>
      <c r="AP961" s="109"/>
      <c r="AQ961" s="109"/>
      <c r="AR961" s="109"/>
      <c r="AS961" s="109"/>
    </row>
    <row r="962" spans="1:45" ht="12.6" customHeight="1" x14ac:dyDescent="0.3">
      <c r="A962" s="68"/>
      <c r="B962" s="97" t="str">
        <f>" t4 (적재작업이 시작될 때까지의 시간) ="&amp;Z962&amp;" 분 "</f>
        <v xml:space="preserve"> t4 (적재작업이 시작될 때까지의 시간) =0.15 분 </v>
      </c>
      <c r="C962" s="78"/>
      <c r="D962" s="78"/>
      <c r="E962" s="78"/>
      <c r="F962" s="78"/>
      <c r="G962" s="16" t="s">
        <v>1704</v>
      </c>
      <c r="Z962" s="110">
        <v>0.15</v>
      </c>
      <c r="AA962" s="20" t="s">
        <v>1326</v>
      </c>
      <c r="AB962" s="112">
        <f>Z962</f>
        <v>0.15</v>
      </c>
      <c r="AC962" s="109"/>
      <c r="AD962" s="109"/>
      <c r="AE962" s="109"/>
      <c r="AF962" s="109"/>
      <c r="AG962" s="109"/>
      <c r="AH962" s="109"/>
      <c r="AI962" s="109"/>
      <c r="AJ962" s="109"/>
      <c r="AK962" s="109"/>
      <c r="AL962" s="109"/>
      <c r="AM962" s="109"/>
      <c r="AN962" s="109"/>
      <c r="AO962" s="109"/>
      <c r="AP962" s="109"/>
      <c r="AQ962" s="109"/>
      <c r="AR962" s="109"/>
      <c r="AS962" s="109"/>
    </row>
    <row r="963" spans="1:45" ht="12.6" customHeight="1" x14ac:dyDescent="0.3">
      <c r="A963" s="78"/>
      <c r="B963" s="78"/>
      <c r="C963" s="78"/>
      <c r="D963" s="78"/>
      <c r="E963" s="78"/>
      <c r="F963" s="78"/>
      <c r="G963" s="16" t="s">
        <v>1317</v>
      </c>
      <c r="Z963" s="109"/>
      <c r="AA963" s="109"/>
      <c r="AB963" s="109"/>
      <c r="AC963" s="109"/>
      <c r="AD963" s="109"/>
      <c r="AE963" s="109"/>
      <c r="AF963" s="109"/>
      <c r="AG963" s="109"/>
      <c r="AH963" s="109"/>
      <c r="AI963" s="109"/>
      <c r="AJ963" s="109"/>
      <c r="AK963" s="109"/>
      <c r="AL963" s="109"/>
      <c r="AM963" s="109"/>
      <c r="AN963" s="109"/>
      <c r="AO963" s="109"/>
      <c r="AP963" s="109"/>
      <c r="AQ963" s="109"/>
      <c r="AR963" s="109"/>
      <c r="AS963" s="109"/>
    </row>
    <row r="964" spans="1:45" ht="12.6" customHeight="1" x14ac:dyDescent="0.3">
      <c r="A964" s="68"/>
      <c r="B964" s="97" t="str">
        <f>" t5 (적재함 덮개 설치 및 해체시간(분)  = "&amp;Z964&amp;" 분 "</f>
        <v xml:space="preserve"> t5 (적재함 덮개 설치 및 해체시간(분)  = 0.5 분 </v>
      </c>
      <c r="C964" s="78"/>
      <c r="D964" s="78"/>
      <c r="E964" s="78"/>
      <c r="F964" s="78"/>
      <c r="G964" s="16" t="s">
        <v>1705</v>
      </c>
      <c r="Z964" s="110">
        <v>0.5</v>
      </c>
      <c r="AA964" s="20" t="s">
        <v>1326</v>
      </c>
      <c r="AB964" s="112">
        <f>Z964</f>
        <v>0.5</v>
      </c>
      <c r="AC964" s="109"/>
      <c r="AD964" s="109"/>
      <c r="AE964" s="109"/>
      <c r="AF964" s="109"/>
      <c r="AG964" s="109"/>
      <c r="AH964" s="109"/>
      <c r="AI964" s="109"/>
      <c r="AJ964" s="109"/>
      <c r="AK964" s="109"/>
      <c r="AL964" s="109"/>
      <c r="AM964" s="109"/>
      <c r="AN964" s="109"/>
      <c r="AO964" s="109"/>
      <c r="AP964" s="109"/>
      <c r="AQ964" s="109"/>
      <c r="AR964" s="109"/>
      <c r="AS964" s="109"/>
    </row>
    <row r="965" spans="1:45" ht="12.6" customHeight="1" x14ac:dyDescent="0.3">
      <c r="A965" s="78"/>
      <c r="B965" s="78"/>
      <c r="C965" s="78"/>
      <c r="D965" s="78"/>
      <c r="E965" s="78"/>
      <c r="F965" s="78"/>
      <c r="G965" s="16" t="s">
        <v>1433</v>
      </c>
      <c r="Z965" s="109"/>
      <c r="AA965" s="109"/>
      <c r="AB965" s="109"/>
      <c r="AC965" s="109"/>
      <c r="AD965" s="109"/>
      <c r="AE965" s="109"/>
      <c r="AF965" s="109"/>
      <c r="AG965" s="109"/>
      <c r="AH965" s="109"/>
      <c r="AI965" s="109"/>
      <c r="AJ965" s="109"/>
      <c r="AK965" s="109"/>
      <c r="AL965" s="109"/>
      <c r="AM965" s="109"/>
      <c r="AN965" s="109"/>
      <c r="AO965" s="109"/>
      <c r="AP965" s="109"/>
      <c r="AQ965" s="109"/>
      <c r="AR965" s="109"/>
      <c r="AS965" s="109"/>
    </row>
    <row r="966" spans="1:45" ht="12.6" customHeight="1" x14ac:dyDescent="0.3">
      <c r="A966" s="68"/>
      <c r="B966" s="97" t="str">
        <f>" t6 (세륜기통과시간) ="&amp;Z966&amp;" 분 "</f>
        <v xml:space="preserve"> t6 (세륜기통과시간) =1.5 분 </v>
      </c>
      <c r="C966" s="78"/>
      <c r="D966" s="78"/>
      <c r="E966" s="78"/>
      <c r="F966" s="78"/>
      <c r="G966" s="16" t="s">
        <v>1706</v>
      </c>
      <c r="Z966" s="110">
        <v>1.5</v>
      </c>
      <c r="AA966" s="20" t="s">
        <v>1326</v>
      </c>
      <c r="AB966" s="112">
        <f>Z966</f>
        <v>1.5</v>
      </c>
      <c r="AC966" s="109"/>
      <c r="AD966" s="109"/>
      <c r="AE966" s="109"/>
      <c r="AF966" s="109"/>
      <c r="AG966" s="109"/>
      <c r="AH966" s="109"/>
      <c r="AI966" s="109"/>
      <c r="AJ966" s="109"/>
      <c r="AK966" s="109"/>
      <c r="AL966" s="109"/>
      <c r="AM966" s="109"/>
      <c r="AN966" s="109"/>
      <c r="AO966" s="109"/>
      <c r="AP966" s="109"/>
      <c r="AQ966" s="109"/>
      <c r="AR966" s="109"/>
      <c r="AS966" s="109"/>
    </row>
    <row r="967" spans="1:45" ht="12.6" customHeight="1" x14ac:dyDescent="0.3">
      <c r="A967" s="78"/>
      <c r="B967" s="78"/>
      <c r="C967" s="78"/>
      <c r="D967" s="78"/>
      <c r="E967" s="78"/>
      <c r="F967" s="78"/>
      <c r="G967" s="16" t="s">
        <v>1317</v>
      </c>
      <c r="Z967" s="109"/>
      <c r="AA967" s="109"/>
      <c r="AB967" s="109"/>
      <c r="AC967" s="109"/>
      <c r="AD967" s="109"/>
      <c r="AE967" s="109"/>
      <c r="AF967" s="109"/>
      <c r="AG967" s="109"/>
      <c r="AH967" s="109"/>
      <c r="AI967" s="109"/>
      <c r="AJ967" s="109"/>
      <c r="AK967" s="109"/>
      <c r="AL967" s="109"/>
      <c r="AM967" s="109"/>
      <c r="AN967" s="109"/>
      <c r="AO967" s="109"/>
      <c r="AP967" s="109"/>
      <c r="AQ967" s="109"/>
      <c r="AR967" s="109"/>
      <c r="AS967" s="109"/>
    </row>
    <row r="968" spans="1:45" ht="12.6" customHeight="1" x14ac:dyDescent="0.3">
      <c r="A968" s="68"/>
      <c r="B968" s="97" t="str">
        <f>" Cm (1회 사이클 시간(분))  = t1 + t2 + t3 + t4 + t5 +t6 = "&amp;AL968&amp;" 분 "</f>
        <v xml:space="preserve"> Cm (1회 사이클 시간(분))  = t1 + t2 + t3 + t4 + t5 +t6 = 359.61 분 </v>
      </c>
      <c r="C968" s="78"/>
      <c r="D968" s="78"/>
      <c r="E968" s="78"/>
      <c r="F968" s="78"/>
      <c r="G968" s="16" t="s">
        <v>1707</v>
      </c>
      <c r="Z968" s="112" t="str">
        <f>AI956</f>
        <v>15.22</v>
      </c>
      <c r="AA968" s="20" t="s">
        <v>1535</v>
      </c>
      <c r="AB968" s="112" t="str">
        <f>AS958</f>
        <v>341.14</v>
      </c>
      <c r="AC968" s="20" t="s">
        <v>1535</v>
      </c>
      <c r="AD968" s="112">
        <f>AB960</f>
        <v>1.1000000000000001</v>
      </c>
      <c r="AE968" s="20" t="s">
        <v>1535</v>
      </c>
      <c r="AF968" s="112">
        <f>AB962</f>
        <v>0.15</v>
      </c>
      <c r="AG968" s="20" t="s">
        <v>1535</v>
      </c>
      <c r="AH968" s="112">
        <f>AB964</f>
        <v>0.5</v>
      </c>
      <c r="AI968" s="20" t="s">
        <v>1535</v>
      </c>
      <c r="AJ968" s="112">
        <f>AB966</f>
        <v>1.5</v>
      </c>
      <c r="AK968" s="20" t="s">
        <v>1326</v>
      </c>
      <c r="AL968" s="112" t="str">
        <f>TEXT(ROUND(AI956+AS958+AB960+AB962+AB964+AB966,2),"0.00")</f>
        <v>359.61</v>
      </c>
      <c r="AM968" s="109"/>
      <c r="AN968" s="109"/>
      <c r="AO968" s="109"/>
      <c r="AP968" s="109"/>
      <c r="AQ968" s="109"/>
      <c r="AR968" s="109"/>
      <c r="AS968" s="109"/>
    </row>
    <row r="969" spans="1:45" ht="12.6" customHeight="1" x14ac:dyDescent="0.3">
      <c r="A969" s="78"/>
      <c r="B969" s="78"/>
      <c r="C969" s="78"/>
      <c r="D969" s="78"/>
      <c r="E969" s="78"/>
      <c r="F969" s="78"/>
      <c r="G969" s="16" t="s">
        <v>1317</v>
      </c>
      <c r="Z969" s="109"/>
      <c r="AA969" s="109"/>
      <c r="AB969" s="109"/>
      <c r="AC969" s="109"/>
      <c r="AD969" s="109"/>
      <c r="AE969" s="109"/>
      <c r="AF969" s="109"/>
      <c r="AG969" s="109"/>
      <c r="AH969" s="109"/>
      <c r="AI969" s="109"/>
      <c r="AJ969" s="109"/>
      <c r="AK969" s="109"/>
      <c r="AL969" s="109"/>
      <c r="AM969" s="109"/>
      <c r="AN969" s="109"/>
      <c r="AO969" s="109"/>
      <c r="AP969" s="109"/>
      <c r="AQ969" s="109"/>
      <c r="AR969" s="109"/>
      <c r="AS969" s="109"/>
    </row>
    <row r="970" spans="1:45" ht="12.6" customHeight="1" x14ac:dyDescent="0.3">
      <c r="A970" s="68"/>
      <c r="B970" s="97" t="str">
        <f>" OH (상차 10분 초과 시 운반기계의 유류보정) =(cm-t1)/Cm= "&amp;AG970&amp;""</f>
        <v xml:space="preserve"> OH (상차 10분 초과 시 운반기계의 유류보정) =(cm-t1)/Cm= 0.96</v>
      </c>
      <c r="C970" s="78"/>
      <c r="D970" s="78"/>
      <c r="E970" s="78"/>
      <c r="F970" s="78"/>
      <c r="G970" s="16" t="s">
        <v>1725</v>
      </c>
      <c r="Z970" s="20" t="s">
        <v>1526</v>
      </c>
      <c r="AA970" s="112" t="str">
        <f>AL968</f>
        <v>359.61</v>
      </c>
      <c r="AB970" s="20" t="s">
        <v>1407</v>
      </c>
      <c r="AC970" s="112" t="str">
        <f>AI956</f>
        <v>15.22</v>
      </c>
      <c r="AD970" s="20" t="s">
        <v>1727</v>
      </c>
      <c r="AE970" s="112" t="str">
        <f>AL968</f>
        <v>359.61</v>
      </c>
      <c r="AF970" s="20" t="s">
        <v>1326</v>
      </c>
      <c r="AG970" s="112" t="str">
        <f>TEXT(ROUND((AL968-AI956)/AL968,2),"0.00")</f>
        <v>0.96</v>
      </c>
      <c r="AH970" s="109"/>
      <c r="AI970" s="109"/>
      <c r="AJ970" s="109"/>
      <c r="AK970" s="109"/>
      <c r="AL970" s="109"/>
      <c r="AM970" s="109"/>
      <c r="AN970" s="109"/>
      <c r="AO970" s="109"/>
      <c r="AP970" s="109"/>
      <c r="AQ970" s="109"/>
      <c r="AR970" s="109"/>
      <c r="AS970" s="109"/>
    </row>
    <row r="971" spans="1:45" ht="12.6" customHeight="1" x14ac:dyDescent="0.3">
      <c r="A971" s="78"/>
      <c r="B971" s="78"/>
      <c r="C971" s="78"/>
      <c r="D971" s="78"/>
      <c r="E971" s="78"/>
      <c r="F971" s="78"/>
      <c r="G971" s="16" t="s">
        <v>1317</v>
      </c>
      <c r="Z971" s="109"/>
      <c r="AA971" s="109"/>
      <c r="AB971" s="109"/>
      <c r="AC971" s="109"/>
      <c r="AD971" s="109"/>
      <c r="AE971" s="109"/>
      <c r="AF971" s="109"/>
      <c r="AG971" s="109"/>
      <c r="AH971" s="109"/>
      <c r="AI971" s="109"/>
      <c r="AJ971" s="109"/>
      <c r="AK971" s="109"/>
      <c r="AL971" s="109"/>
      <c r="AM971" s="109"/>
      <c r="AN971" s="109"/>
      <c r="AO971" s="109"/>
      <c r="AP971" s="109"/>
      <c r="AQ971" s="109"/>
      <c r="AR971" s="109"/>
      <c r="AS971" s="109"/>
    </row>
    <row r="972" spans="1:45" ht="12.6" customHeight="1" x14ac:dyDescent="0.3">
      <c r="A972" s="68"/>
      <c r="B972" s="97" t="str">
        <f>" Q (시간당작업량)  = "&amp;Z972&amp;" * q1 * f * E / Cm = "&amp;AJ972&amp;" ton/hr "</f>
        <v xml:space="preserve"> Q (시간당작업량)  = 60 * q1 * f * E / Cm = 3.60 ton/hr </v>
      </c>
      <c r="C972" s="78"/>
      <c r="D972" s="78"/>
      <c r="E972" s="78"/>
      <c r="F972" s="78"/>
      <c r="G972" s="16" t="s">
        <v>1708</v>
      </c>
      <c r="Z972" s="111">
        <v>60</v>
      </c>
      <c r="AA972" s="20" t="s">
        <v>1390</v>
      </c>
      <c r="AB972" s="112">
        <f>AB950</f>
        <v>24</v>
      </c>
      <c r="AC972" s="20" t="s">
        <v>1390</v>
      </c>
      <c r="AD972" s="112" t="str">
        <f>AB944</f>
        <v>1.00</v>
      </c>
      <c r="AE972" s="20" t="s">
        <v>1390</v>
      </c>
      <c r="AF972" s="112">
        <f>AF944</f>
        <v>0.9</v>
      </c>
      <c r="AG972" s="20" t="s">
        <v>1387</v>
      </c>
      <c r="AH972" s="112" t="str">
        <f>AL968</f>
        <v>359.61</v>
      </c>
      <c r="AI972" s="20" t="s">
        <v>1326</v>
      </c>
      <c r="AJ972" s="112" t="str">
        <f>TEXT(ROUND(Z972*AB950*AB944*AF944/AL968,2),"0.00")</f>
        <v>3.60</v>
      </c>
      <c r="AK972" s="109"/>
      <c r="AL972" s="109"/>
      <c r="AM972" s="109"/>
      <c r="AN972" s="109"/>
      <c r="AO972" s="109"/>
      <c r="AP972" s="109"/>
      <c r="AQ972" s="109"/>
      <c r="AR972" s="109"/>
      <c r="AS972" s="109"/>
    </row>
    <row r="973" spans="1:45" ht="12.6" customHeight="1" x14ac:dyDescent="0.3">
      <c r="A973" s="78"/>
      <c r="B973" s="78"/>
      <c r="C973" s="78"/>
      <c r="D973" s="78"/>
      <c r="E973" s="78"/>
      <c r="F973" s="78"/>
      <c r="G973" s="16" t="s">
        <v>1317</v>
      </c>
      <c r="Z973" s="109"/>
      <c r="AA973" s="109"/>
      <c r="AB973" s="109"/>
      <c r="AC973" s="109"/>
      <c r="AD973" s="109"/>
      <c r="AE973" s="109"/>
      <c r="AF973" s="109"/>
      <c r="AG973" s="109"/>
      <c r="AH973" s="109"/>
      <c r="AI973" s="109"/>
      <c r="AJ973" s="109"/>
      <c r="AK973" s="109"/>
      <c r="AL973" s="109"/>
      <c r="AM973" s="109"/>
      <c r="AN973" s="109"/>
      <c r="AO973" s="109"/>
      <c r="AP973" s="109"/>
      <c r="AQ973" s="109"/>
      <c r="AR973" s="109"/>
      <c r="AS973" s="109"/>
    </row>
    <row r="974" spans="1:45" ht="12.6" customHeight="1" x14ac:dyDescent="0.3">
      <c r="A974" s="68" t="s">
        <v>1728</v>
      </c>
      <c r="B974" s="97" t="str">
        <f>"  노 무 비  :   "&amp;TEXT(I974,"#,##0"&amp;IF(I974&lt;&gt;INT(I974),".###",""))&amp;" / Q = "&amp;TEXT(C974,"#,##0.0")&amp;""</f>
        <v xml:space="preserve">  노 무 비  :   55,700 / Q = 15,472.2</v>
      </c>
      <c r="C974" s="99">
        <f>E974+D974+F974</f>
        <v>15472.2</v>
      </c>
      <c r="D974" s="99">
        <f>IF(H974=0,0,ROUNDDOWN(J974*H974,1))</f>
        <v>15472.2</v>
      </c>
      <c r="E974" s="99">
        <f>IF(H974=0,0,ROUNDDOWN(K974*H974,1))</f>
        <v>0</v>
      </c>
      <c r="F974" s="99">
        <f>IF(H974=0,0,ROUNDDOWN(L974*H974,1))</f>
        <v>0</v>
      </c>
      <c r="G974" s="16" t="s">
        <v>1726</v>
      </c>
      <c r="H974" s="105">
        <f>AC974</f>
        <v>0.27777777777777779</v>
      </c>
      <c r="I974" s="106">
        <f>K974+J974+L974</f>
        <v>55700</v>
      </c>
      <c r="J974" s="39">
        <f>중기목록표!F22</f>
        <v>55700</v>
      </c>
      <c r="M974" s="20" t="s">
        <v>1729</v>
      </c>
      <c r="N974" s="20" t="s">
        <v>1332</v>
      </c>
      <c r="X974" s="108" t="str">
        <f>중기목록표!B22&amp;" / "&amp;중기목록표!C22</f>
        <v xml:space="preserve">덤프트럭24ton(토사) / </v>
      </c>
      <c r="Y974" s="19" t="str">
        <f ca="1">HYPERLINK("#"&amp;중기목록표!J2&amp;"!A"&amp;ROW(중기목록표!A22),"중기   19 →")</f>
        <v>중기   19 →</v>
      </c>
      <c r="Z974" s="20" t="s">
        <v>1393</v>
      </c>
      <c r="AA974" s="112" t="str">
        <f>AJ972</f>
        <v>3.60</v>
      </c>
      <c r="AB974" s="20" t="s">
        <v>1326</v>
      </c>
      <c r="AC974" s="113">
        <f>1/AJ972</f>
        <v>0.27777777777777779</v>
      </c>
      <c r="AD974" s="109"/>
      <c r="AE974" s="109"/>
      <c r="AF974" s="109"/>
      <c r="AG974" s="109"/>
      <c r="AH974" s="109"/>
      <c r="AI974" s="109"/>
      <c r="AJ974" s="109"/>
      <c r="AK974" s="109"/>
      <c r="AL974" s="109"/>
      <c r="AM974" s="109"/>
      <c r="AN974" s="109"/>
      <c r="AO974" s="109"/>
      <c r="AP974" s="109"/>
      <c r="AQ974" s="109"/>
      <c r="AR974" s="109"/>
      <c r="AS974" s="109"/>
    </row>
    <row r="975" spans="1:45" ht="12.6" customHeight="1" x14ac:dyDescent="0.3">
      <c r="A975" s="78"/>
      <c r="B975" s="78"/>
      <c r="C975" s="78"/>
      <c r="D975" s="78"/>
      <c r="E975" s="78"/>
      <c r="F975" s="78"/>
      <c r="G975" s="16" t="s">
        <v>1317</v>
      </c>
      <c r="Z975" s="109"/>
      <c r="AA975" s="109"/>
      <c r="AB975" s="109"/>
      <c r="AC975" s="109"/>
      <c r="AD975" s="109"/>
      <c r="AE975" s="109"/>
      <c r="AF975" s="109"/>
      <c r="AG975" s="109"/>
      <c r="AH975" s="109"/>
      <c r="AI975" s="109"/>
      <c r="AJ975" s="109"/>
      <c r="AK975" s="109"/>
      <c r="AL975" s="109"/>
      <c r="AM975" s="109"/>
      <c r="AN975" s="109"/>
      <c r="AO975" s="109"/>
      <c r="AP975" s="109"/>
      <c r="AQ975" s="109"/>
      <c r="AR975" s="109"/>
      <c r="AS975" s="109"/>
    </row>
    <row r="976" spans="1:45" ht="12.6" customHeight="1" x14ac:dyDescent="0.3">
      <c r="A976" s="68" t="s">
        <v>1731</v>
      </c>
      <c r="B976" s="97" t="str">
        <f>"  재 료 비  :   "&amp;TEXT(I976,"#,##0"&amp;IF(I976&lt;&gt;INT(I976),".###",""))&amp;" / Q *OH = "&amp;TEXT(C976,"#,##0.0")&amp;""</f>
        <v xml:space="preserve">  재 료 비  :   40,373 / Q *OH = 10,766.1</v>
      </c>
      <c r="C976" s="99">
        <f>E976+D976+F976</f>
        <v>10766.1</v>
      </c>
      <c r="D976" s="99">
        <f>IF(H976=0,0,ROUNDDOWN(J976*H976,1))</f>
        <v>0</v>
      </c>
      <c r="E976" s="99">
        <f>IF(H976=0,0,ROUNDDOWN(K976*H976,1))</f>
        <v>10766.1</v>
      </c>
      <c r="F976" s="99">
        <f>IF(H976=0,0,ROUNDDOWN(L976*H976,1))</f>
        <v>0</v>
      </c>
      <c r="G976" s="16" t="s">
        <v>1730</v>
      </c>
      <c r="H976" s="105">
        <f>AE976</f>
        <v>0.26666666666666666</v>
      </c>
      <c r="I976" s="106">
        <f>K976+J976+L976</f>
        <v>40373</v>
      </c>
      <c r="K976" s="39">
        <f>중기목록표!G22</f>
        <v>40373</v>
      </c>
      <c r="M976" s="20" t="s">
        <v>1729</v>
      </c>
      <c r="N976" s="20" t="s">
        <v>1332</v>
      </c>
      <c r="X976" s="108" t="str">
        <f>중기목록표!B22&amp;" / "&amp;중기목록표!C22</f>
        <v xml:space="preserve">덤프트럭24ton(토사) / </v>
      </c>
      <c r="Y976" s="19" t="str">
        <f ca="1">HYPERLINK("#"&amp;중기목록표!J2&amp;"!A"&amp;ROW(중기목록표!A22),"중기   19 →")</f>
        <v>중기   19 →</v>
      </c>
      <c r="Z976" s="20" t="s">
        <v>1393</v>
      </c>
      <c r="AA976" s="112" t="str">
        <f>AJ972</f>
        <v>3.60</v>
      </c>
      <c r="AB976" s="20" t="s">
        <v>1390</v>
      </c>
      <c r="AC976" s="112" t="str">
        <f>AG970</f>
        <v>0.96</v>
      </c>
      <c r="AD976" s="20" t="s">
        <v>1326</v>
      </c>
      <c r="AE976" s="113">
        <f>1/AJ972*AG970</f>
        <v>0.26666666666666666</v>
      </c>
      <c r="AF976" s="109"/>
      <c r="AG976" s="109"/>
      <c r="AH976" s="109"/>
      <c r="AI976" s="109"/>
      <c r="AJ976" s="109"/>
      <c r="AK976" s="109"/>
      <c r="AL976" s="109"/>
      <c r="AM976" s="109"/>
      <c r="AN976" s="109"/>
      <c r="AO976" s="109"/>
      <c r="AP976" s="109"/>
      <c r="AQ976" s="109"/>
      <c r="AR976" s="109"/>
      <c r="AS976" s="109"/>
    </row>
    <row r="977" spans="1:45" ht="12.6" customHeight="1" x14ac:dyDescent="0.3">
      <c r="A977" s="78"/>
      <c r="B977" s="78"/>
      <c r="C977" s="78"/>
      <c r="D977" s="78"/>
      <c r="E977" s="78"/>
      <c r="F977" s="78"/>
      <c r="G977" s="16" t="s">
        <v>1317</v>
      </c>
      <c r="Z977" s="109"/>
      <c r="AA977" s="109"/>
      <c r="AB977" s="109"/>
      <c r="AC977" s="109"/>
      <c r="AD977" s="109"/>
      <c r="AE977" s="109"/>
      <c r="AF977" s="109"/>
      <c r="AG977" s="109"/>
      <c r="AH977" s="109"/>
      <c r="AI977" s="109"/>
      <c r="AJ977" s="109"/>
      <c r="AK977" s="109"/>
      <c r="AL977" s="109"/>
      <c r="AM977" s="109"/>
      <c r="AN977" s="109"/>
      <c r="AO977" s="109"/>
      <c r="AP977" s="109"/>
      <c r="AQ977" s="109"/>
      <c r="AR977" s="109"/>
      <c r="AS977" s="109"/>
    </row>
    <row r="978" spans="1:45" ht="12.6" customHeight="1" x14ac:dyDescent="0.3">
      <c r="A978" s="68" t="s">
        <v>1733</v>
      </c>
      <c r="B978" s="97" t="str">
        <f>"  경    비  :   "&amp;TEXT(I978,"#,##0"&amp;IF(I978&lt;&gt;INT(I978),".###",""))&amp;" / Q = "&amp;TEXT(C978,"#,##0.0")&amp;""</f>
        <v xml:space="preserve">  경    비  :   31,406 / Q = 8,723.8</v>
      </c>
      <c r="C978" s="99">
        <f>E978+D978+F978</f>
        <v>8723.7999999999993</v>
      </c>
      <c r="D978" s="99">
        <f>IF(H978=0,0,ROUNDDOWN(J978*H978,1))</f>
        <v>0</v>
      </c>
      <c r="E978" s="99">
        <f>IF(H978=0,0,ROUNDDOWN(K978*H978,1))</f>
        <v>0</v>
      </c>
      <c r="F978" s="99">
        <f>IF(H978=0,0,ROUNDDOWN(L978*H978,1))</f>
        <v>8723.7999999999993</v>
      </c>
      <c r="G978" s="16" t="s">
        <v>1732</v>
      </c>
      <c r="H978" s="105">
        <f>AC978</f>
        <v>0.27777777777777779</v>
      </c>
      <c r="I978" s="106">
        <f>K978+J978+L978</f>
        <v>31406</v>
      </c>
      <c r="L978" s="39">
        <f>중기목록표!H22</f>
        <v>31406</v>
      </c>
      <c r="M978" s="20" t="s">
        <v>1729</v>
      </c>
      <c r="N978" s="20" t="s">
        <v>1332</v>
      </c>
      <c r="X978" s="108" t="str">
        <f>중기목록표!B22&amp;" / "&amp;중기목록표!C22</f>
        <v xml:space="preserve">덤프트럭24ton(토사) / </v>
      </c>
      <c r="Y978" s="19" t="str">
        <f ca="1">HYPERLINK("#"&amp;중기목록표!J2&amp;"!A"&amp;ROW(중기목록표!A22),"중기   19 →")</f>
        <v>중기   19 →</v>
      </c>
      <c r="Z978" s="20" t="s">
        <v>1393</v>
      </c>
      <c r="AA978" s="112" t="str">
        <f>AJ972</f>
        <v>3.60</v>
      </c>
      <c r="AB978" s="20" t="s">
        <v>1326</v>
      </c>
      <c r="AC978" s="113">
        <f>1/AJ972</f>
        <v>0.27777777777777779</v>
      </c>
      <c r="AD978" s="109"/>
      <c r="AE978" s="109"/>
      <c r="AF978" s="109"/>
      <c r="AG978" s="109"/>
      <c r="AH978" s="109"/>
      <c r="AI978" s="109"/>
      <c r="AJ978" s="109"/>
      <c r="AK978" s="109"/>
      <c r="AL978" s="109"/>
      <c r="AM978" s="109"/>
      <c r="AN978" s="109"/>
      <c r="AO978" s="109"/>
      <c r="AP978" s="109"/>
      <c r="AQ978" s="109"/>
      <c r="AR978" s="109"/>
      <c r="AS978" s="109"/>
    </row>
    <row r="979" spans="1:45" ht="12.6" customHeight="1" x14ac:dyDescent="0.3">
      <c r="A979" s="78"/>
      <c r="B979" s="78"/>
      <c r="C979" s="78"/>
      <c r="D979" s="78"/>
      <c r="E979" s="78"/>
      <c r="F979" s="78"/>
      <c r="G979" s="16" t="s">
        <v>1317</v>
      </c>
      <c r="Z979" s="109"/>
      <c r="AA979" s="109"/>
      <c r="AB979" s="109"/>
      <c r="AC979" s="109"/>
      <c r="AD979" s="109"/>
      <c r="AE979" s="109"/>
      <c r="AF979" s="109"/>
      <c r="AG979" s="109"/>
      <c r="AH979" s="109"/>
      <c r="AI979" s="109"/>
      <c r="AJ979" s="109"/>
      <c r="AK979" s="109"/>
      <c r="AL979" s="109"/>
      <c r="AM979" s="109"/>
      <c r="AN979" s="109"/>
      <c r="AO979" s="109"/>
      <c r="AP979" s="109"/>
      <c r="AQ979" s="109"/>
      <c r="AR979" s="109"/>
      <c r="AS979" s="109"/>
    </row>
    <row r="980" spans="1:45" ht="12.6" customHeight="1" x14ac:dyDescent="0.3">
      <c r="A980" s="68" t="s">
        <v>1735</v>
      </c>
      <c r="B980" s="97" t="str">
        <f>"                "&amp;TEXT(I980,"#,##0"&amp;IF(I980&lt;&gt;INT(I980),".###",""))&amp;" / Q = "&amp;TEXT(C980,"#,##0.0")&amp;""</f>
        <v xml:space="preserve">                1,794 / Q = 498.3</v>
      </c>
      <c r="C980" s="99">
        <f>E980+D980+F980</f>
        <v>498.3</v>
      </c>
      <c r="D980" s="99">
        <f>IF(H980=0,0,ROUNDDOWN(J980*H980,1))</f>
        <v>0</v>
      </c>
      <c r="E980" s="99">
        <f>IF(H980=0,0,ROUNDDOWN(K980*H980,1))</f>
        <v>0</v>
      </c>
      <c r="F980" s="99">
        <f>IF(H980=0,0,ROUNDDOWN(L980*H980,1))</f>
        <v>498.3</v>
      </c>
      <c r="G980" s="16" t="s">
        <v>1734</v>
      </c>
      <c r="H980" s="105">
        <f>AC980</f>
        <v>0.27777777777777779</v>
      </c>
      <c r="I980" s="106">
        <f>K980+J980+L980</f>
        <v>1794</v>
      </c>
      <c r="L980" s="39">
        <f>경비목록표!E24</f>
        <v>1794</v>
      </c>
      <c r="M980" s="20" t="s">
        <v>1736</v>
      </c>
      <c r="N980" s="20" t="s">
        <v>1332</v>
      </c>
      <c r="X980" s="108" t="str">
        <f>경비목록표!B24&amp;" / "&amp;경비목록표!C24</f>
        <v>덤프자동덮개 / 24톤</v>
      </c>
      <c r="Y980" s="19" t="str">
        <f ca="1">HYPERLINK("#"&amp;경비목록표!G2&amp;"!A"&amp;ROW(경비목록표!A24),"경비   21 →")</f>
        <v>경비   21 →</v>
      </c>
      <c r="Z980" s="20" t="s">
        <v>1393</v>
      </c>
      <c r="AA980" s="112" t="str">
        <f>AJ972</f>
        <v>3.60</v>
      </c>
      <c r="AB980" s="20" t="s">
        <v>1326</v>
      </c>
      <c r="AC980" s="113">
        <f>1/AJ972</f>
        <v>0.27777777777777779</v>
      </c>
      <c r="AD980" s="109"/>
      <c r="AE980" s="109"/>
      <c r="AF980" s="109"/>
      <c r="AG980" s="109"/>
      <c r="AH980" s="109"/>
      <c r="AI980" s="109"/>
      <c r="AJ980" s="109"/>
      <c r="AK980" s="109"/>
      <c r="AL980" s="109"/>
      <c r="AM980" s="109"/>
      <c r="AN980" s="109"/>
      <c r="AO980" s="109"/>
      <c r="AP980" s="109"/>
      <c r="AQ980" s="109"/>
      <c r="AR980" s="109"/>
      <c r="AS980" s="109"/>
    </row>
    <row r="981" spans="1:45" ht="12.6" customHeight="1" x14ac:dyDescent="0.3">
      <c r="A981" s="78"/>
      <c r="B981" s="78"/>
      <c r="C981" s="78"/>
      <c r="D981" s="78"/>
      <c r="E981" s="78"/>
      <c r="F981" s="78"/>
      <c r="G981" s="16" t="s">
        <v>1317</v>
      </c>
      <c r="Z981" s="109"/>
      <c r="AA981" s="109"/>
      <c r="AB981" s="109"/>
      <c r="AC981" s="109"/>
      <c r="AD981" s="109"/>
      <c r="AE981" s="109"/>
      <c r="AF981" s="109"/>
      <c r="AG981" s="109"/>
      <c r="AH981" s="109"/>
      <c r="AI981" s="109"/>
      <c r="AJ981" s="109"/>
      <c r="AK981" s="109"/>
      <c r="AL981" s="109"/>
      <c r="AM981" s="109"/>
      <c r="AN981" s="109"/>
      <c r="AO981" s="109"/>
      <c r="AP981" s="109"/>
      <c r="AQ981" s="109"/>
      <c r="AR981" s="109"/>
      <c r="AS981" s="109"/>
    </row>
    <row r="982" spans="1:45" ht="12.6" customHeight="1" x14ac:dyDescent="0.3">
      <c r="A982" s="68"/>
      <c r="B982" s="77" t="s">
        <v>1331</v>
      </c>
      <c r="C982" s="100">
        <f>E982+D982+F982</f>
        <v>35460.400000000001</v>
      </c>
      <c r="D982" s="100">
        <f>SUMIF(N937:N981,M982,D937:D981)</f>
        <v>15472.2</v>
      </c>
      <c r="E982" s="100">
        <f>SUMIF(N937:N981,M982,E937:E981)</f>
        <v>10766.1</v>
      </c>
      <c r="F982" s="100">
        <f>SUMIF(N937:N981,M982,F937:F981)</f>
        <v>9222.0999999999985</v>
      </c>
      <c r="G982" s="16" t="s">
        <v>1415</v>
      </c>
      <c r="M982" s="20" t="s">
        <v>1332</v>
      </c>
      <c r="N982" s="20" t="s">
        <v>1400</v>
      </c>
      <c r="Z982" s="109"/>
      <c r="AA982" s="109"/>
      <c r="AB982" s="109"/>
      <c r="AC982" s="109"/>
      <c r="AD982" s="109"/>
      <c r="AE982" s="109"/>
      <c r="AF982" s="109"/>
      <c r="AG982" s="109"/>
      <c r="AH982" s="109"/>
      <c r="AI982" s="109"/>
      <c r="AJ982" s="109"/>
      <c r="AK982" s="109"/>
      <c r="AL982" s="109"/>
      <c r="AM982" s="109"/>
      <c r="AN982" s="109"/>
      <c r="AO982" s="109"/>
      <c r="AP982" s="109"/>
      <c r="AQ982" s="109"/>
      <c r="AR982" s="109"/>
      <c r="AS982" s="109"/>
    </row>
    <row r="983" spans="1:45" ht="12.6" customHeight="1" x14ac:dyDescent="0.3">
      <c r="A983" s="78"/>
      <c r="B983" s="78"/>
      <c r="C983" s="98"/>
      <c r="D983" s="98"/>
      <c r="E983" s="98"/>
      <c r="F983" s="98"/>
      <c r="G983" s="16" t="s">
        <v>1317</v>
      </c>
      <c r="Z983" s="109"/>
      <c r="AA983" s="109"/>
      <c r="AB983" s="109"/>
      <c r="AC983" s="109"/>
      <c r="AD983" s="109"/>
      <c r="AE983" s="109"/>
      <c r="AF983" s="109"/>
      <c r="AG983" s="109"/>
      <c r="AH983" s="109"/>
      <c r="AI983" s="109"/>
      <c r="AJ983" s="109"/>
      <c r="AK983" s="109"/>
      <c r="AL983" s="109"/>
      <c r="AM983" s="109"/>
      <c r="AN983" s="109"/>
      <c r="AO983" s="109"/>
      <c r="AP983" s="109"/>
      <c r="AQ983" s="109"/>
      <c r="AR983" s="109"/>
      <c r="AS983" s="109"/>
    </row>
    <row r="984" spans="1:45" ht="12.6" customHeight="1" x14ac:dyDescent="0.3">
      <c r="A984" s="68"/>
      <c r="B984" s="77" t="s">
        <v>1399</v>
      </c>
      <c r="C984" s="100">
        <f>E984+D984+F984</f>
        <v>35460.400000000001</v>
      </c>
      <c r="D984" s="100">
        <f>SUMIF(N882:N983,M984,D882:D983)</f>
        <v>15472.2</v>
      </c>
      <c r="E984" s="100">
        <f>SUMIF(N882:N983,M984,E882:E983)</f>
        <v>10766.1</v>
      </c>
      <c r="F984" s="100">
        <f>SUMIF(N882:N983,M984,F882:F983)</f>
        <v>9222.0999999999985</v>
      </c>
      <c r="G984" s="16" t="s">
        <v>1398</v>
      </c>
      <c r="M984" s="20" t="s">
        <v>1400</v>
      </c>
      <c r="N984" s="20" t="s">
        <v>1128</v>
      </c>
      <c r="Z984" s="109"/>
      <c r="AA984" s="109"/>
      <c r="AB984" s="109"/>
      <c r="AC984" s="109"/>
      <c r="AD984" s="109"/>
      <c r="AE984" s="109"/>
      <c r="AF984" s="109"/>
      <c r="AG984" s="109"/>
      <c r="AH984" s="109"/>
      <c r="AI984" s="109"/>
      <c r="AJ984" s="109"/>
      <c r="AK984" s="109"/>
      <c r="AL984" s="109"/>
      <c r="AM984" s="109"/>
      <c r="AN984" s="109"/>
      <c r="AO984" s="109"/>
      <c r="AP984" s="109"/>
      <c r="AQ984" s="109"/>
      <c r="AR984" s="109"/>
      <c r="AS984" s="109"/>
    </row>
    <row r="985" spans="1:45" ht="12.6" customHeight="1" x14ac:dyDescent="0.3">
      <c r="A985" s="78"/>
      <c r="B985" s="78"/>
      <c r="C985" s="98"/>
      <c r="D985" s="98"/>
      <c r="E985" s="98"/>
      <c r="F985" s="98"/>
      <c r="Z985" s="109"/>
      <c r="AA985" s="109"/>
      <c r="AB985" s="109"/>
      <c r="AC985" s="109"/>
      <c r="AD985" s="109"/>
      <c r="AE985" s="109"/>
      <c r="AF985" s="109"/>
      <c r="AG985" s="109"/>
      <c r="AH985" s="109"/>
      <c r="AI985" s="109"/>
      <c r="AJ985" s="109"/>
      <c r="AK985" s="109"/>
      <c r="AL985" s="109"/>
      <c r="AM985" s="109"/>
      <c r="AN985" s="109"/>
      <c r="AO985" s="109"/>
      <c r="AP985" s="109"/>
      <c r="AQ985" s="109"/>
      <c r="AR985" s="109"/>
      <c r="AS985" s="109"/>
    </row>
    <row r="986" spans="1:45" ht="12.6" customHeight="1" x14ac:dyDescent="0.3">
      <c r="A986" s="78"/>
      <c r="B986" s="78"/>
      <c r="C986" s="78"/>
      <c r="D986" s="78"/>
      <c r="E986" s="78"/>
      <c r="F986" s="78"/>
      <c r="Z986" s="109"/>
      <c r="AA986" s="109"/>
      <c r="AB986" s="109"/>
      <c r="AC986" s="109"/>
      <c r="AD986" s="109"/>
      <c r="AE986" s="109"/>
      <c r="AF986" s="109"/>
      <c r="AG986" s="109"/>
      <c r="AH986" s="109"/>
      <c r="AI986" s="109"/>
      <c r="AJ986" s="109"/>
      <c r="AK986" s="109"/>
      <c r="AL986" s="109"/>
      <c r="AM986" s="109"/>
      <c r="AN986" s="109"/>
      <c r="AO986" s="109"/>
      <c r="AP986" s="109"/>
      <c r="AQ986" s="109"/>
      <c r="AR986" s="109"/>
      <c r="AS986" s="109"/>
    </row>
    <row r="987" spans="1:45" ht="12.6" customHeight="1" x14ac:dyDescent="0.3">
      <c r="A987" s="78"/>
      <c r="B987" s="78"/>
      <c r="C987" s="78"/>
      <c r="D987" s="78"/>
      <c r="E987" s="78"/>
      <c r="F987" s="78"/>
      <c r="Z987" s="109"/>
      <c r="AA987" s="109"/>
      <c r="AB987" s="109"/>
      <c r="AC987" s="109"/>
      <c r="AD987" s="109"/>
      <c r="AE987" s="109"/>
      <c r="AF987" s="109"/>
      <c r="AG987" s="109"/>
      <c r="AH987" s="109"/>
      <c r="AI987" s="109"/>
      <c r="AJ987" s="109"/>
      <c r="AK987" s="109"/>
      <c r="AL987" s="109"/>
      <c r="AM987" s="109"/>
      <c r="AN987" s="109"/>
      <c r="AO987" s="109"/>
      <c r="AP987" s="109"/>
      <c r="AQ987" s="109"/>
      <c r="AR987" s="109"/>
      <c r="AS987" s="109"/>
    </row>
    <row r="988" spans="1:45" ht="12.6" customHeight="1" x14ac:dyDescent="0.3">
      <c r="A988" s="78"/>
      <c r="B988" s="78"/>
      <c r="C988" s="78"/>
      <c r="D988" s="78"/>
      <c r="E988" s="78"/>
      <c r="F988" s="78"/>
      <c r="Z988" s="109"/>
      <c r="AA988" s="109"/>
      <c r="AB988" s="109"/>
      <c r="AC988" s="109"/>
      <c r="AD988" s="109"/>
      <c r="AE988" s="109"/>
      <c r="AF988" s="109"/>
      <c r="AG988" s="109"/>
      <c r="AH988" s="109"/>
      <c r="AI988" s="109"/>
      <c r="AJ988" s="109"/>
      <c r="AK988" s="109"/>
      <c r="AL988" s="109"/>
      <c r="AM988" s="109"/>
      <c r="AN988" s="109"/>
      <c r="AO988" s="109"/>
      <c r="AP988" s="109"/>
      <c r="AQ988" s="109"/>
      <c r="AR988" s="109"/>
      <c r="AS988" s="109"/>
    </row>
    <row r="989" spans="1:45" ht="12.6" customHeight="1" x14ac:dyDescent="0.3">
      <c r="A989" s="78"/>
      <c r="B989" s="78"/>
      <c r="C989" s="78"/>
      <c r="D989" s="78"/>
      <c r="E989" s="78"/>
      <c r="F989" s="78"/>
      <c r="Z989" s="109"/>
      <c r="AA989" s="109"/>
      <c r="AB989" s="109"/>
      <c r="AC989" s="109"/>
      <c r="AD989" s="109"/>
      <c r="AE989" s="109"/>
      <c r="AF989" s="109"/>
      <c r="AG989" s="109"/>
      <c r="AH989" s="109"/>
      <c r="AI989" s="109"/>
      <c r="AJ989" s="109"/>
      <c r="AK989" s="109"/>
      <c r="AL989" s="109"/>
      <c r="AM989" s="109"/>
      <c r="AN989" s="109"/>
      <c r="AO989" s="109"/>
      <c r="AP989" s="109"/>
      <c r="AQ989" s="109"/>
      <c r="AR989" s="109"/>
      <c r="AS989" s="109"/>
    </row>
    <row r="990" spans="1:45" ht="12.6" customHeight="1" x14ac:dyDescent="0.3">
      <c r="A990" s="78"/>
      <c r="B990" s="78"/>
      <c r="C990" s="78"/>
      <c r="D990" s="78"/>
      <c r="E990" s="78"/>
      <c r="F990" s="78"/>
      <c r="Z990" s="109"/>
      <c r="AA990" s="109"/>
      <c r="AB990" s="109"/>
      <c r="AC990" s="109"/>
      <c r="AD990" s="109"/>
      <c r="AE990" s="109"/>
      <c r="AF990" s="109"/>
      <c r="AG990" s="109"/>
      <c r="AH990" s="109"/>
      <c r="AI990" s="109"/>
      <c r="AJ990" s="109"/>
      <c r="AK990" s="109"/>
      <c r="AL990" s="109"/>
      <c r="AM990" s="109"/>
      <c r="AN990" s="109"/>
      <c r="AO990" s="109"/>
      <c r="AP990" s="109"/>
      <c r="AQ990" s="109"/>
      <c r="AR990" s="109"/>
      <c r="AS990" s="109"/>
    </row>
    <row r="991" spans="1:45" ht="12.6" customHeight="1" x14ac:dyDescent="0.3">
      <c r="A991" s="78"/>
      <c r="B991" s="78"/>
      <c r="C991" s="78"/>
      <c r="D991" s="78"/>
      <c r="E991" s="78"/>
      <c r="F991" s="78"/>
      <c r="Z991" s="109"/>
      <c r="AA991" s="109"/>
      <c r="AB991" s="109"/>
      <c r="AC991" s="109"/>
      <c r="AD991" s="109"/>
      <c r="AE991" s="109"/>
      <c r="AF991" s="109"/>
      <c r="AG991" s="109"/>
      <c r="AH991" s="109"/>
      <c r="AI991" s="109"/>
      <c r="AJ991" s="109"/>
      <c r="AK991" s="109"/>
      <c r="AL991" s="109"/>
      <c r="AM991" s="109"/>
      <c r="AN991" s="109"/>
      <c r="AO991" s="109"/>
      <c r="AP991" s="109"/>
      <c r="AQ991" s="109"/>
      <c r="AR991" s="109"/>
      <c r="AS991" s="109"/>
    </row>
    <row r="992" spans="1:45" ht="12.6" customHeight="1" x14ac:dyDescent="0.3">
      <c r="A992" s="78"/>
      <c r="B992" s="78"/>
      <c r="C992" s="78"/>
      <c r="D992" s="78"/>
      <c r="E992" s="78"/>
      <c r="F992" s="78"/>
      <c r="Z992" s="109"/>
      <c r="AA992" s="109"/>
      <c r="AB992" s="109"/>
      <c r="AC992" s="109"/>
      <c r="AD992" s="109"/>
      <c r="AE992" s="109"/>
      <c r="AF992" s="109"/>
      <c r="AG992" s="109"/>
      <c r="AH992" s="109"/>
      <c r="AI992" s="109"/>
      <c r="AJ992" s="109"/>
      <c r="AK992" s="109"/>
      <c r="AL992" s="109"/>
      <c r="AM992" s="109"/>
      <c r="AN992" s="109"/>
      <c r="AO992" s="109"/>
      <c r="AP992" s="109"/>
      <c r="AQ992" s="109"/>
      <c r="AR992" s="109"/>
      <c r="AS992" s="109"/>
    </row>
    <row r="993" spans="1:45" ht="12.6" customHeight="1" x14ac:dyDescent="0.3">
      <c r="A993" s="78"/>
      <c r="B993" s="78"/>
      <c r="C993" s="78"/>
      <c r="D993" s="78"/>
      <c r="E993" s="78"/>
      <c r="F993" s="78"/>
      <c r="Z993" s="109"/>
      <c r="AA993" s="109"/>
      <c r="AB993" s="109"/>
      <c r="AC993" s="109"/>
      <c r="AD993" s="109"/>
      <c r="AE993" s="109"/>
      <c r="AF993" s="109"/>
      <c r="AG993" s="109"/>
      <c r="AH993" s="109"/>
      <c r="AI993" s="109"/>
      <c r="AJ993" s="109"/>
      <c r="AK993" s="109"/>
      <c r="AL993" s="109"/>
      <c r="AM993" s="109"/>
      <c r="AN993" s="109"/>
      <c r="AO993" s="109"/>
      <c r="AP993" s="109"/>
      <c r="AQ993" s="109"/>
      <c r="AR993" s="109"/>
      <c r="AS993" s="109"/>
    </row>
    <row r="994" spans="1:45" ht="12.6" customHeight="1" x14ac:dyDescent="0.3">
      <c r="A994" s="78"/>
      <c r="B994" s="78"/>
      <c r="C994" s="78"/>
      <c r="D994" s="78"/>
      <c r="E994" s="78"/>
      <c r="F994" s="78"/>
      <c r="Z994" s="109"/>
      <c r="AA994" s="109"/>
      <c r="AB994" s="109"/>
      <c r="AC994" s="109"/>
      <c r="AD994" s="109"/>
      <c r="AE994" s="109"/>
      <c r="AF994" s="109"/>
      <c r="AG994" s="109"/>
      <c r="AH994" s="109"/>
      <c r="AI994" s="109"/>
      <c r="AJ994" s="109"/>
      <c r="AK994" s="109"/>
      <c r="AL994" s="109"/>
      <c r="AM994" s="109"/>
      <c r="AN994" s="109"/>
      <c r="AO994" s="109"/>
      <c r="AP994" s="109"/>
      <c r="AQ994" s="109"/>
      <c r="AR994" s="109"/>
      <c r="AS994" s="109"/>
    </row>
    <row r="995" spans="1:45" ht="12.6" customHeight="1" x14ac:dyDescent="0.3">
      <c r="A995" s="78"/>
      <c r="B995" s="78"/>
      <c r="C995" s="78"/>
      <c r="D995" s="78"/>
      <c r="E995" s="78"/>
      <c r="F995" s="78"/>
      <c r="Z995" s="109"/>
      <c r="AA995" s="109"/>
      <c r="AB995" s="109"/>
      <c r="AC995" s="109"/>
      <c r="AD995" s="109"/>
      <c r="AE995" s="109"/>
      <c r="AF995" s="109"/>
      <c r="AG995" s="109"/>
      <c r="AH995" s="109"/>
      <c r="AI995" s="109"/>
      <c r="AJ995" s="109"/>
      <c r="AK995" s="109"/>
      <c r="AL995" s="109"/>
      <c r="AM995" s="109"/>
      <c r="AN995" s="109"/>
      <c r="AO995" s="109"/>
      <c r="AP995" s="109"/>
      <c r="AQ995" s="109"/>
      <c r="AR995" s="109"/>
      <c r="AS995" s="109"/>
    </row>
    <row r="996" spans="1:45" ht="12.6" customHeight="1" x14ac:dyDescent="0.3">
      <c r="A996" s="78"/>
      <c r="B996" s="78"/>
      <c r="C996" s="78"/>
      <c r="D996" s="78"/>
      <c r="E996" s="78"/>
      <c r="F996" s="78"/>
      <c r="Z996" s="109"/>
      <c r="AA996" s="109"/>
      <c r="AB996" s="109"/>
      <c r="AC996" s="109"/>
      <c r="AD996" s="109"/>
      <c r="AE996" s="109"/>
      <c r="AF996" s="109"/>
      <c r="AG996" s="109"/>
      <c r="AH996" s="109"/>
      <c r="AI996" s="109"/>
      <c r="AJ996" s="109"/>
      <c r="AK996" s="109"/>
      <c r="AL996" s="109"/>
      <c r="AM996" s="109"/>
      <c r="AN996" s="109"/>
      <c r="AO996" s="109"/>
      <c r="AP996" s="109"/>
      <c r="AQ996" s="109"/>
      <c r="AR996" s="109"/>
      <c r="AS996" s="109"/>
    </row>
    <row r="997" spans="1:45" ht="12.6" customHeight="1" x14ac:dyDescent="0.3">
      <c r="A997" s="78"/>
      <c r="B997" s="78"/>
      <c r="C997" s="78"/>
      <c r="D997" s="78"/>
      <c r="E997" s="78"/>
      <c r="F997" s="78"/>
      <c r="Z997" s="109"/>
      <c r="AA997" s="109"/>
      <c r="AB997" s="109"/>
      <c r="AC997" s="109"/>
      <c r="AD997" s="109"/>
      <c r="AE997" s="109"/>
      <c r="AF997" s="109"/>
      <c r="AG997" s="109"/>
      <c r="AH997" s="109"/>
      <c r="AI997" s="109"/>
      <c r="AJ997" s="109"/>
      <c r="AK997" s="109"/>
      <c r="AL997" s="109"/>
      <c r="AM997" s="109"/>
      <c r="AN997" s="109"/>
      <c r="AO997" s="109"/>
      <c r="AP997" s="109"/>
      <c r="AQ997" s="109"/>
      <c r="AR997" s="109"/>
      <c r="AS997" s="109"/>
    </row>
    <row r="998" spans="1:45" ht="12.6" customHeight="1" x14ac:dyDescent="0.3">
      <c r="A998" s="78"/>
      <c r="B998" s="78"/>
      <c r="C998" s="78"/>
      <c r="D998" s="78"/>
      <c r="E998" s="78"/>
      <c r="F998" s="78"/>
      <c r="Z998" s="109"/>
      <c r="AA998" s="109"/>
      <c r="AB998" s="109"/>
      <c r="AC998" s="109"/>
      <c r="AD998" s="109"/>
      <c r="AE998" s="109"/>
      <c r="AF998" s="109"/>
      <c r="AG998" s="109"/>
      <c r="AH998" s="109"/>
      <c r="AI998" s="109"/>
      <c r="AJ998" s="109"/>
      <c r="AK998" s="109"/>
      <c r="AL998" s="109"/>
      <c r="AM998" s="109"/>
      <c r="AN998" s="109"/>
      <c r="AO998" s="109"/>
      <c r="AP998" s="109"/>
      <c r="AQ998" s="109"/>
      <c r="AR998" s="109"/>
      <c r="AS998" s="109"/>
    </row>
    <row r="999" spans="1:45" ht="12.6" customHeight="1" x14ac:dyDescent="0.3">
      <c r="A999" s="78"/>
      <c r="B999" s="78"/>
      <c r="C999" s="78"/>
      <c r="D999" s="78"/>
      <c r="E999" s="78"/>
      <c r="F999" s="78"/>
      <c r="Z999" s="109"/>
      <c r="AA999" s="109"/>
      <c r="AB999" s="109"/>
      <c r="AC999" s="109"/>
      <c r="AD999" s="109"/>
      <c r="AE999" s="109"/>
      <c r="AF999" s="109"/>
      <c r="AG999" s="109"/>
      <c r="AH999" s="109"/>
      <c r="AI999" s="109"/>
      <c r="AJ999" s="109"/>
      <c r="AK999" s="109"/>
      <c r="AL999" s="109"/>
      <c r="AM999" s="109"/>
      <c r="AN999" s="109"/>
      <c r="AO999" s="109"/>
      <c r="AP999" s="109"/>
      <c r="AQ999" s="109"/>
      <c r="AR999" s="109"/>
      <c r="AS999" s="109"/>
    </row>
    <row r="1000" spans="1:45" ht="12.6" customHeight="1" x14ac:dyDescent="0.3">
      <c r="A1000" s="78"/>
      <c r="B1000" s="78"/>
      <c r="C1000" s="78"/>
      <c r="D1000" s="78"/>
      <c r="E1000" s="78"/>
      <c r="F1000" s="78"/>
      <c r="Z1000" s="109"/>
      <c r="AA1000" s="109"/>
      <c r="AB1000" s="109"/>
      <c r="AC1000" s="109"/>
      <c r="AD1000" s="109"/>
      <c r="AE1000" s="109"/>
      <c r="AF1000" s="109"/>
      <c r="AG1000" s="109"/>
      <c r="AH1000" s="109"/>
      <c r="AI1000" s="109"/>
      <c r="AJ1000" s="109"/>
      <c r="AK1000" s="109"/>
      <c r="AL1000" s="109"/>
      <c r="AM1000" s="109"/>
      <c r="AN1000" s="109"/>
      <c r="AO1000" s="109"/>
      <c r="AP1000" s="109"/>
      <c r="AQ1000" s="109"/>
      <c r="AR1000" s="109"/>
      <c r="AS1000" s="109"/>
    </row>
    <row r="1001" spans="1:45" ht="12.6" customHeight="1" x14ac:dyDescent="0.3">
      <c r="A1001" s="78"/>
      <c r="B1001" s="78"/>
      <c r="C1001" s="78"/>
      <c r="D1001" s="78"/>
      <c r="E1001" s="78"/>
      <c r="F1001" s="78"/>
      <c r="Z1001" s="109"/>
      <c r="AA1001" s="109"/>
      <c r="AB1001" s="109"/>
      <c r="AC1001" s="109"/>
      <c r="AD1001" s="109"/>
      <c r="AE1001" s="109"/>
      <c r="AF1001" s="109"/>
      <c r="AG1001" s="109"/>
      <c r="AH1001" s="109"/>
      <c r="AI1001" s="109"/>
      <c r="AJ1001" s="109"/>
      <c r="AK1001" s="109"/>
      <c r="AL1001" s="109"/>
      <c r="AM1001" s="109"/>
      <c r="AN1001" s="109"/>
      <c r="AO1001" s="109"/>
      <c r="AP1001" s="109"/>
      <c r="AQ1001" s="109"/>
      <c r="AR1001" s="109"/>
      <c r="AS1001" s="109"/>
    </row>
    <row r="1002" spans="1:45" ht="12.6" customHeight="1" x14ac:dyDescent="0.3">
      <c r="A1002" s="78"/>
      <c r="B1002" s="78"/>
      <c r="C1002" s="78"/>
      <c r="D1002" s="78"/>
      <c r="E1002" s="78"/>
      <c r="F1002" s="78"/>
      <c r="Z1002" s="109"/>
      <c r="AA1002" s="109"/>
      <c r="AB1002" s="109"/>
      <c r="AC1002" s="109"/>
      <c r="AD1002" s="109"/>
      <c r="AE1002" s="109"/>
      <c r="AF1002" s="109"/>
      <c r="AG1002" s="109"/>
      <c r="AH1002" s="109"/>
      <c r="AI1002" s="109"/>
      <c r="AJ1002" s="109"/>
      <c r="AK1002" s="109"/>
      <c r="AL1002" s="109"/>
      <c r="AM1002" s="109"/>
      <c r="AN1002" s="109"/>
      <c r="AO1002" s="109"/>
      <c r="AP1002" s="109"/>
      <c r="AQ1002" s="109"/>
      <c r="AR1002" s="109"/>
      <c r="AS1002" s="109"/>
    </row>
    <row r="1003" spans="1:45" ht="12.6" customHeight="1" x14ac:dyDescent="0.3">
      <c r="A1003" s="78"/>
      <c r="B1003" s="78"/>
      <c r="C1003" s="78"/>
      <c r="D1003" s="78"/>
      <c r="E1003" s="78"/>
      <c r="F1003" s="78"/>
      <c r="Z1003" s="109"/>
      <c r="AA1003" s="109"/>
      <c r="AB1003" s="109"/>
      <c r="AC1003" s="109"/>
      <c r="AD1003" s="109"/>
      <c r="AE1003" s="109"/>
      <c r="AF1003" s="109"/>
      <c r="AG1003" s="109"/>
      <c r="AH1003" s="109"/>
      <c r="AI1003" s="109"/>
      <c r="AJ1003" s="109"/>
      <c r="AK1003" s="109"/>
      <c r="AL1003" s="109"/>
      <c r="AM1003" s="109"/>
      <c r="AN1003" s="109"/>
      <c r="AO1003" s="109"/>
      <c r="AP1003" s="109"/>
      <c r="AQ1003" s="109"/>
      <c r="AR1003" s="109"/>
      <c r="AS1003" s="109"/>
    </row>
    <row r="1004" spans="1:45" ht="12.6" customHeight="1" x14ac:dyDescent="0.3">
      <c r="A1004" s="78"/>
      <c r="B1004" s="78"/>
      <c r="C1004" s="78"/>
      <c r="D1004" s="78"/>
      <c r="E1004" s="78"/>
      <c r="F1004" s="78"/>
      <c r="Z1004" s="109"/>
      <c r="AA1004" s="109"/>
      <c r="AB1004" s="109"/>
      <c r="AC1004" s="109"/>
      <c r="AD1004" s="109"/>
      <c r="AE1004" s="109"/>
      <c r="AF1004" s="109"/>
      <c r="AG1004" s="109"/>
      <c r="AH1004" s="109"/>
      <c r="AI1004" s="109"/>
      <c r="AJ1004" s="109"/>
      <c r="AK1004" s="109"/>
      <c r="AL1004" s="109"/>
      <c r="AM1004" s="109"/>
      <c r="AN1004" s="109"/>
      <c r="AO1004" s="109"/>
      <c r="AP1004" s="109"/>
      <c r="AQ1004" s="109"/>
      <c r="AR1004" s="109"/>
      <c r="AS1004" s="109"/>
    </row>
    <row r="1005" spans="1:45" ht="12.6" customHeight="1" x14ac:dyDescent="0.3">
      <c r="A1005" s="78"/>
      <c r="B1005" s="78"/>
      <c r="C1005" s="78"/>
      <c r="D1005" s="78"/>
      <c r="E1005" s="78"/>
      <c r="F1005" s="78"/>
      <c r="Z1005" s="109"/>
      <c r="AA1005" s="109"/>
      <c r="AB1005" s="109"/>
      <c r="AC1005" s="109"/>
      <c r="AD1005" s="109"/>
      <c r="AE1005" s="109"/>
      <c r="AF1005" s="109"/>
      <c r="AG1005" s="109"/>
      <c r="AH1005" s="109"/>
      <c r="AI1005" s="109"/>
      <c r="AJ1005" s="109"/>
      <c r="AK1005" s="109"/>
      <c r="AL1005" s="109"/>
      <c r="AM1005" s="109"/>
      <c r="AN1005" s="109"/>
      <c r="AO1005" s="109"/>
      <c r="AP1005" s="109"/>
      <c r="AQ1005" s="109"/>
      <c r="AR1005" s="109"/>
      <c r="AS1005" s="109"/>
    </row>
    <row r="1006" spans="1:45" ht="12.6" customHeight="1" x14ac:dyDescent="0.3">
      <c r="A1006" s="78"/>
      <c r="B1006" s="78"/>
      <c r="C1006" s="78"/>
      <c r="D1006" s="78"/>
      <c r="E1006" s="78"/>
      <c r="F1006" s="78"/>
      <c r="Z1006" s="109"/>
      <c r="AA1006" s="109"/>
      <c r="AB1006" s="109"/>
      <c r="AC1006" s="109"/>
      <c r="AD1006" s="109"/>
      <c r="AE1006" s="109"/>
      <c r="AF1006" s="109"/>
      <c r="AG1006" s="109"/>
      <c r="AH1006" s="109"/>
      <c r="AI1006" s="109"/>
      <c r="AJ1006" s="109"/>
      <c r="AK1006" s="109"/>
      <c r="AL1006" s="109"/>
      <c r="AM1006" s="109"/>
      <c r="AN1006" s="109"/>
      <c r="AO1006" s="109"/>
      <c r="AP1006" s="109"/>
      <c r="AQ1006" s="109"/>
      <c r="AR1006" s="109"/>
      <c r="AS1006" s="109"/>
    </row>
    <row r="1007" spans="1:45" ht="12.6" customHeight="1" x14ac:dyDescent="0.3">
      <c r="A1007" s="78"/>
      <c r="B1007" s="78"/>
      <c r="C1007" s="78"/>
      <c r="D1007" s="78"/>
      <c r="E1007" s="78"/>
      <c r="F1007" s="78"/>
      <c r="Z1007" s="109"/>
      <c r="AA1007" s="109"/>
      <c r="AB1007" s="109"/>
      <c r="AC1007" s="109"/>
      <c r="AD1007" s="109"/>
      <c r="AE1007" s="109"/>
      <c r="AF1007" s="109"/>
      <c r="AG1007" s="109"/>
      <c r="AH1007" s="109"/>
      <c r="AI1007" s="109"/>
      <c r="AJ1007" s="109"/>
      <c r="AK1007" s="109"/>
      <c r="AL1007" s="109"/>
      <c r="AM1007" s="109"/>
      <c r="AN1007" s="109"/>
      <c r="AO1007" s="109"/>
      <c r="AP1007" s="109"/>
      <c r="AQ1007" s="109"/>
      <c r="AR1007" s="109"/>
      <c r="AS1007" s="109"/>
    </row>
    <row r="1008" spans="1:45" ht="12.6" customHeight="1" x14ac:dyDescent="0.3">
      <c r="A1008" s="78"/>
      <c r="B1008" s="78"/>
      <c r="C1008" s="78"/>
      <c r="D1008" s="78"/>
      <c r="E1008" s="78"/>
      <c r="F1008" s="78"/>
      <c r="Z1008" s="109"/>
      <c r="AA1008" s="109"/>
      <c r="AB1008" s="109"/>
      <c r="AC1008" s="109"/>
      <c r="AD1008" s="109"/>
      <c r="AE1008" s="109"/>
      <c r="AF1008" s="109"/>
      <c r="AG1008" s="109"/>
      <c r="AH1008" s="109"/>
      <c r="AI1008" s="109"/>
      <c r="AJ1008" s="109"/>
      <c r="AK1008" s="109"/>
      <c r="AL1008" s="109"/>
      <c r="AM1008" s="109"/>
      <c r="AN1008" s="109"/>
      <c r="AO1008" s="109"/>
      <c r="AP1008" s="109"/>
      <c r="AQ1008" s="109"/>
      <c r="AR1008" s="109"/>
      <c r="AS1008" s="109"/>
    </row>
    <row r="1009" spans="1:45" ht="12.6" customHeight="1" x14ac:dyDescent="0.3">
      <c r="A1009" s="78"/>
      <c r="B1009" s="78"/>
      <c r="C1009" s="78"/>
      <c r="D1009" s="78"/>
      <c r="E1009" s="78"/>
      <c r="F1009" s="78"/>
      <c r="Z1009" s="109"/>
      <c r="AA1009" s="109"/>
      <c r="AB1009" s="109"/>
      <c r="AC1009" s="109"/>
      <c r="AD1009" s="109"/>
      <c r="AE1009" s="109"/>
      <c r="AF1009" s="109"/>
      <c r="AG1009" s="109"/>
      <c r="AH1009" s="109"/>
      <c r="AI1009" s="109"/>
      <c r="AJ1009" s="109"/>
      <c r="AK1009" s="109"/>
      <c r="AL1009" s="109"/>
      <c r="AM1009" s="109"/>
      <c r="AN1009" s="109"/>
      <c r="AO1009" s="109"/>
      <c r="AP1009" s="109"/>
      <c r="AQ1009" s="109"/>
      <c r="AR1009" s="109"/>
      <c r="AS1009" s="109"/>
    </row>
    <row r="1010" spans="1:45" ht="12.6" customHeight="1" x14ac:dyDescent="0.3">
      <c r="A1010" s="78"/>
      <c r="B1010" s="78"/>
      <c r="C1010" s="78"/>
      <c r="D1010" s="78"/>
      <c r="E1010" s="78"/>
      <c r="F1010" s="78"/>
      <c r="Z1010" s="109"/>
      <c r="AA1010" s="109"/>
      <c r="AB1010" s="109"/>
      <c r="AC1010" s="109"/>
      <c r="AD1010" s="109"/>
      <c r="AE1010" s="109"/>
      <c r="AF1010" s="109"/>
      <c r="AG1010" s="109"/>
      <c r="AH1010" s="109"/>
      <c r="AI1010" s="109"/>
      <c r="AJ1010" s="109"/>
      <c r="AK1010" s="109"/>
      <c r="AL1010" s="109"/>
      <c r="AM1010" s="109"/>
      <c r="AN1010" s="109"/>
      <c r="AO1010" s="109"/>
      <c r="AP1010" s="109"/>
      <c r="AQ1010" s="109"/>
      <c r="AR1010" s="109"/>
      <c r="AS1010" s="109"/>
    </row>
    <row r="1011" spans="1:45" ht="12.6" customHeight="1" x14ac:dyDescent="0.3">
      <c r="A1011" s="78"/>
      <c r="B1011" s="78"/>
      <c r="C1011" s="78"/>
      <c r="D1011" s="78"/>
      <c r="E1011" s="78"/>
      <c r="F1011" s="78"/>
      <c r="Z1011" s="109"/>
      <c r="AA1011" s="109"/>
      <c r="AB1011" s="109"/>
      <c r="AC1011" s="109"/>
      <c r="AD1011" s="109"/>
      <c r="AE1011" s="109"/>
      <c r="AF1011" s="109"/>
      <c r="AG1011" s="109"/>
      <c r="AH1011" s="109"/>
      <c r="AI1011" s="109"/>
      <c r="AJ1011" s="109"/>
      <c r="AK1011" s="109"/>
      <c r="AL1011" s="109"/>
      <c r="AM1011" s="109"/>
      <c r="AN1011" s="109"/>
      <c r="AO1011" s="109"/>
      <c r="AP1011" s="109"/>
      <c r="AQ1011" s="109"/>
      <c r="AR1011" s="109"/>
      <c r="AS1011" s="109"/>
    </row>
    <row r="1012" spans="1:45" ht="12.6" customHeight="1" x14ac:dyDescent="0.3">
      <c r="A1012" s="78"/>
      <c r="B1012" s="78"/>
      <c r="C1012" s="78"/>
      <c r="D1012" s="78"/>
      <c r="E1012" s="78"/>
      <c r="F1012" s="78"/>
      <c r="Z1012" s="109"/>
      <c r="AA1012" s="109"/>
      <c r="AB1012" s="109"/>
      <c r="AC1012" s="109"/>
      <c r="AD1012" s="109"/>
      <c r="AE1012" s="109"/>
      <c r="AF1012" s="109"/>
      <c r="AG1012" s="109"/>
      <c r="AH1012" s="109"/>
      <c r="AI1012" s="109"/>
      <c r="AJ1012" s="109"/>
      <c r="AK1012" s="109"/>
      <c r="AL1012" s="109"/>
      <c r="AM1012" s="109"/>
      <c r="AN1012" s="109"/>
      <c r="AO1012" s="109"/>
      <c r="AP1012" s="109"/>
      <c r="AQ1012" s="109"/>
      <c r="AR1012" s="109"/>
      <c r="AS1012" s="109"/>
    </row>
    <row r="1013" spans="1:45" ht="12.6" customHeight="1" x14ac:dyDescent="0.3">
      <c r="A1013" s="78"/>
      <c r="B1013" s="78"/>
      <c r="C1013" s="78"/>
      <c r="D1013" s="78"/>
      <c r="E1013" s="78"/>
      <c r="F1013" s="78"/>
      <c r="Z1013" s="109"/>
      <c r="AA1013" s="109"/>
      <c r="AB1013" s="109"/>
      <c r="AC1013" s="109"/>
      <c r="AD1013" s="109"/>
      <c r="AE1013" s="109"/>
      <c r="AF1013" s="109"/>
      <c r="AG1013" s="109"/>
      <c r="AH1013" s="109"/>
      <c r="AI1013" s="109"/>
      <c r="AJ1013" s="109"/>
      <c r="AK1013" s="109"/>
      <c r="AL1013" s="109"/>
      <c r="AM1013" s="109"/>
      <c r="AN1013" s="109"/>
      <c r="AO1013" s="109"/>
      <c r="AP1013" s="109"/>
      <c r="AQ1013" s="109"/>
      <c r="AR1013" s="109"/>
      <c r="AS1013" s="109"/>
    </row>
    <row r="1014" spans="1:45" ht="12.6" customHeight="1" x14ac:dyDescent="0.3">
      <c r="A1014" s="78"/>
      <c r="B1014" s="78"/>
      <c r="C1014" s="78"/>
      <c r="D1014" s="78"/>
      <c r="E1014" s="78"/>
      <c r="F1014" s="78"/>
      <c r="Z1014" s="109"/>
      <c r="AA1014" s="109"/>
      <c r="AB1014" s="109"/>
      <c r="AC1014" s="109"/>
      <c r="AD1014" s="109"/>
      <c r="AE1014" s="109"/>
      <c r="AF1014" s="109"/>
      <c r="AG1014" s="109"/>
      <c r="AH1014" s="109"/>
      <c r="AI1014" s="109"/>
      <c r="AJ1014" s="109"/>
      <c r="AK1014" s="109"/>
      <c r="AL1014" s="109"/>
      <c r="AM1014" s="109"/>
      <c r="AN1014" s="109"/>
      <c r="AO1014" s="109"/>
      <c r="AP1014" s="109"/>
      <c r="AQ1014" s="109"/>
      <c r="AR1014" s="109"/>
      <c r="AS1014" s="109"/>
    </row>
    <row r="1015" spans="1:45" ht="12.6" customHeight="1" x14ac:dyDescent="0.3">
      <c r="A1015" s="78"/>
      <c r="B1015" s="78"/>
      <c r="C1015" s="78"/>
      <c r="D1015" s="78"/>
      <c r="E1015" s="78"/>
      <c r="F1015" s="78"/>
      <c r="Z1015" s="109"/>
      <c r="AA1015" s="109"/>
      <c r="AB1015" s="109"/>
      <c r="AC1015" s="109"/>
      <c r="AD1015" s="109"/>
      <c r="AE1015" s="109"/>
      <c r="AF1015" s="109"/>
      <c r="AG1015" s="109"/>
      <c r="AH1015" s="109"/>
      <c r="AI1015" s="109"/>
      <c r="AJ1015" s="109"/>
      <c r="AK1015" s="109"/>
      <c r="AL1015" s="109"/>
      <c r="AM1015" s="109"/>
      <c r="AN1015" s="109"/>
      <c r="AO1015" s="109"/>
      <c r="AP1015" s="109"/>
      <c r="AQ1015" s="109"/>
      <c r="AR1015" s="109"/>
      <c r="AS1015" s="109"/>
    </row>
    <row r="1016" spans="1:45" ht="12.6" customHeight="1" x14ac:dyDescent="0.3">
      <c r="A1016" s="78"/>
      <c r="B1016" s="78"/>
      <c r="C1016" s="78"/>
      <c r="D1016" s="78"/>
      <c r="E1016" s="78"/>
      <c r="F1016" s="78"/>
      <c r="Z1016" s="109"/>
      <c r="AA1016" s="109"/>
      <c r="AB1016" s="109"/>
      <c r="AC1016" s="109"/>
      <c r="AD1016" s="109"/>
      <c r="AE1016" s="109"/>
      <c r="AF1016" s="109"/>
      <c r="AG1016" s="109"/>
      <c r="AH1016" s="109"/>
      <c r="AI1016" s="109"/>
      <c r="AJ1016" s="109"/>
      <c r="AK1016" s="109"/>
      <c r="AL1016" s="109"/>
      <c r="AM1016" s="109"/>
      <c r="AN1016" s="109"/>
      <c r="AO1016" s="109"/>
      <c r="AP1016" s="109"/>
      <c r="AQ1016" s="109"/>
      <c r="AR1016" s="109"/>
      <c r="AS1016" s="109"/>
    </row>
    <row r="1017" spans="1:45" ht="12.6" customHeight="1" x14ac:dyDescent="0.3">
      <c r="A1017" s="78"/>
      <c r="B1017" s="78"/>
      <c r="C1017" s="78"/>
      <c r="D1017" s="78"/>
      <c r="E1017" s="78"/>
      <c r="F1017" s="78"/>
      <c r="Z1017" s="109"/>
      <c r="AA1017" s="109"/>
      <c r="AB1017" s="109"/>
      <c r="AC1017" s="109"/>
      <c r="AD1017" s="109"/>
      <c r="AE1017" s="109"/>
      <c r="AF1017" s="109"/>
      <c r="AG1017" s="109"/>
      <c r="AH1017" s="109"/>
      <c r="AI1017" s="109"/>
      <c r="AJ1017" s="109"/>
      <c r="AK1017" s="109"/>
      <c r="AL1017" s="109"/>
      <c r="AM1017" s="109"/>
      <c r="AN1017" s="109"/>
      <c r="AO1017" s="109"/>
      <c r="AP1017" s="109"/>
      <c r="AQ1017" s="109"/>
      <c r="AR1017" s="109"/>
      <c r="AS1017" s="109"/>
    </row>
    <row r="1018" spans="1:45" ht="12.6" customHeight="1" x14ac:dyDescent="0.3">
      <c r="A1018" s="58"/>
      <c r="B1018" s="58"/>
      <c r="C1018" s="58"/>
      <c r="D1018" s="58"/>
      <c r="E1018" s="58"/>
      <c r="F1018" s="58"/>
      <c r="Z1018" s="109"/>
      <c r="AA1018" s="109"/>
      <c r="AB1018" s="109"/>
      <c r="AC1018" s="109"/>
      <c r="AD1018" s="109"/>
      <c r="AE1018" s="109"/>
      <c r="AF1018" s="109"/>
      <c r="AG1018" s="109"/>
      <c r="AH1018" s="109"/>
      <c r="AI1018" s="109"/>
      <c r="AJ1018" s="109"/>
      <c r="AK1018" s="109"/>
      <c r="AL1018" s="109"/>
      <c r="AM1018" s="109"/>
      <c r="AN1018" s="109"/>
      <c r="AO1018" s="109"/>
      <c r="AP1018" s="109"/>
      <c r="AQ1018" s="109"/>
      <c r="AR1018" s="109"/>
      <c r="AS1018" s="109"/>
    </row>
    <row r="1019" spans="1:45" ht="12.6" customHeight="1" x14ac:dyDescent="0.3">
      <c r="A1019" s="159" t="s">
        <v>1737</v>
      </c>
      <c r="B1019" s="152"/>
      <c r="C1019" s="55">
        <f>E1019+D1019+F1019</f>
        <v>35460</v>
      </c>
      <c r="D1019" s="11">
        <v>0</v>
      </c>
      <c r="E1019" s="12">
        <v>0</v>
      </c>
      <c r="F1019" s="55">
        <f>ROUNDDOWN(SUMIF(N882:N984,M1019,E882:E984),0)+ROUNDDOWN(SUMIF(N882:N984,M1019,D882:D984),0)+ROUNDDOWN(SUMIF(N882:N984,M1019,F882:F984),0)</f>
        <v>35460</v>
      </c>
      <c r="M1019" s="20" t="s">
        <v>1128</v>
      </c>
      <c r="Z1019" s="109"/>
      <c r="AA1019" s="109"/>
      <c r="AB1019" s="109"/>
      <c r="AC1019" s="109"/>
      <c r="AD1019" s="109"/>
      <c r="AE1019" s="109"/>
      <c r="AF1019" s="109"/>
      <c r="AG1019" s="109"/>
      <c r="AH1019" s="109"/>
      <c r="AI1019" s="109"/>
      <c r="AJ1019" s="109"/>
      <c r="AK1019" s="109"/>
      <c r="AL1019" s="109"/>
      <c r="AM1019" s="109"/>
      <c r="AN1019" s="109"/>
      <c r="AO1019" s="109"/>
      <c r="AP1019" s="109"/>
      <c r="AQ1019" s="109"/>
      <c r="AR1019" s="109"/>
      <c r="AS1019" s="109"/>
    </row>
    <row r="1020" spans="1:45" ht="12.6" customHeight="1" x14ac:dyDescent="0.3">
      <c r="A1020" s="95" t="s">
        <v>94</v>
      </c>
      <c r="B1020" s="96" t="s">
        <v>94</v>
      </c>
      <c r="C1020" s="158">
        <f>C1124</f>
        <v>29098</v>
      </c>
      <c r="D1020" s="158">
        <f>D1124</f>
        <v>17543</v>
      </c>
      <c r="E1020" s="158">
        <f>E1124</f>
        <v>4874</v>
      </c>
      <c r="F1020" s="158">
        <f>F1124</f>
        <v>6681</v>
      </c>
      <c r="G1020" s="36" t="str">
        <f>HYPERLINK("#G"&amp;ROW(G1112),"_x0005_`BDCOD|D02119_x0007_`POSS|"&amp;ROW(G1022)&amp;"_x0007_`POSE|"&amp;ROW(G1112)&amp;"_x0007_`")</f>
        <v>_x0005_`BDCOD|D02119_x0007_`POSS|1022_x0007_`POSE|1112_x0007_`</v>
      </c>
      <c r="Z1020" s="109"/>
      <c r="AA1020" s="109"/>
      <c r="AB1020" s="109"/>
      <c r="AC1020" s="109"/>
      <c r="AD1020" s="109"/>
      <c r="AE1020" s="109"/>
      <c r="AF1020" s="109"/>
      <c r="AG1020" s="109"/>
      <c r="AH1020" s="109"/>
      <c r="AI1020" s="109"/>
      <c r="AJ1020" s="109"/>
      <c r="AK1020" s="109"/>
      <c r="AL1020" s="109"/>
      <c r="AM1020" s="109"/>
      <c r="AN1020" s="109"/>
      <c r="AO1020" s="109"/>
      <c r="AP1020" s="109"/>
      <c r="AQ1020" s="109"/>
      <c r="AR1020" s="109"/>
      <c r="AS1020" s="109"/>
    </row>
    <row r="1021" spans="1:45" ht="12.6" customHeight="1" x14ac:dyDescent="0.3">
      <c r="A1021" s="84"/>
      <c r="B1021" s="96" t="s">
        <v>231</v>
      </c>
      <c r="C1021" s="141"/>
      <c r="D1021" s="141"/>
      <c r="E1021" s="141"/>
      <c r="F1021" s="141"/>
      <c r="M1021" s="20" t="s">
        <v>230</v>
      </c>
      <c r="Z1021" s="109"/>
      <c r="AA1021" s="109"/>
      <c r="AB1021" s="109"/>
      <c r="AC1021" s="109"/>
      <c r="AD1021" s="109"/>
      <c r="AE1021" s="109"/>
      <c r="AF1021" s="109"/>
      <c r="AG1021" s="109"/>
      <c r="AH1021" s="109"/>
      <c r="AI1021" s="109"/>
      <c r="AJ1021" s="109"/>
      <c r="AK1021" s="109"/>
      <c r="AL1021" s="109"/>
      <c r="AM1021" s="109"/>
      <c r="AN1021" s="109"/>
      <c r="AO1021" s="109"/>
      <c r="AP1021" s="109"/>
      <c r="AQ1021" s="109"/>
      <c r="AR1021" s="109"/>
      <c r="AS1021" s="109"/>
    </row>
    <row r="1022" spans="1:45" ht="12.6" customHeight="1" x14ac:dyDescent="0.3">
      <c r="A1022" s="68"/>
      <c r="B1022" s="77" t="s">
        <v>1739</v>
      </c>
      <c r="C1022" s="98"/>
      <c r="D1022" s="98"/>
      <c r="E1022" s="98"/>
      <c r="F1022" s="98"/>
      <c r="G1022" s="16" t="s">
        <v>1738</v>
      </c>
      <c r="Z1022" s="109"/>
      <c r="AA1022" s="109"/>
      <c r="AB1022" s="109"/>
      <c r="AC1022" s="109"/>
      <c r="AD1022" s="109"/>
      <c r="AE1022" s="109"/>
      <c r="AF1022" s="109"/>
      <c r="AG1022" s="109"/>
      <c r="AH1022" s="109"/>
      <c r="AI1022" s="109"/>
      <c r="AJ1022" s="109"/>
      <c r="AK1022" s="109"/>
      <c r="AL1022" s="109"/>
      <c r="AM1022" s="109"/>
      <c r="AN1022" s="109"/>
      <c r="AO1022" s="109"/>
      <c r="AP1022" s="109"/>
      <c r="AQ1022" s="109"/>
      <c r="AR1022" s="109"/>
      <c r="AS1022" s="109"/>
    </row>
    <row r="1023" spans="1:45" ht="12.6" customHeight="1" x14ac:dyDescent="0.3">
      <c r="A1023" s="78"/>
      <c r="B1023" s="78"/>
      <c r="C1023" s="78"/>
      <c r="D1023" s="78"/>
      <c r="E1023" s="78"/>
      <c r="F1023" s="78"/>
      <c r="G1023" s="16" t="s">
        <v>1317</v>
      </c>
      <c r="Z1023" s="109"/>
      <c r="AA1023" s="109"/>
      <c r="AB1023" s="109"/>
      <c r="AC1023" s="109"/>
      <c r="AD1023" s="109"/>
      <c r="AE1023" s="109"/>
      <c r="AF1023" s="109"/>
      <c r="AG1023" s="109"/>
      <c r="AH1023" s="109"/>
      <c r="AI1023" s="109"/>
      <c r="AJ1023" s="109"/>
      <c r="AK1023" s="109"/>
      <c r="AL1023" s="109"/>
      <c r="AM1023" s="109"/>
      <c r="AN1023" s="109"/>
      <c r="AO1023" s="109"/>
      <c r="AP1023" s="109"/>
      <c r="AQ1023" s="109"/>
      <c r="AR1023" s="109"/>
      <c r="AS1023" s="109"/>
    </row>
    <row r="1024" spans="1:45" ht="12.6" customHeight="1" x14ac:dyDescent="0.3">
      <c r="A1024" s="68"/>
      <c r="B1024" s="77" t="s">
        <v>1576</v>
      </c>
      <c r="C1024" s="78"/>
      <c r="D1024" s="78"/>
      <c r="E1024" s="78"/>
      <c r="F1024" s="78"/>
      <c r="G1024" s="16" t="s">
        <v>1575</v>
      </c>
      <c r="Z1024" s="109"/>
      <c r="AA1024" s="109"/>
      <c r="AB1024" s="109"/>
      <c r="AC1024" s="109"/>
      <c r="AD1024" s="109"/>
      <c r="AE1024" s="109"/>
      <c r="AF1024" s="109"/>
      <c r="AG1024" s="109"/>
      <c r="AH1024" s="109"/>
      <c r="AI1024" s="109"/>
      <c r="AJ1024" s="109"/>
      <c r="AK1024" s="109"/>
      <c r="AL1024" s="109"/>
      <c r="AM1024" s="109"/>
      <c r="AN1024" s="109"/>
      <c r="AO1024" s="109"/>
      <c r="AP1024" s="109"/>
      <c r="AQ1024" s="109"/>
      <c r="AR1024" s="109"/>
      <c r="AS1024" s="109"/>
    </row>
    <row r="1025" spans="1:45" ht="12.6" customHeight="1" x14ac:dyDescent="0.3">
      <c r="A1025" s="78"/>
      <c r="B1025" s="78"/>
      <c r="C1025" s="78"/>
      <c r="D1025" s="78"/>
      <c r="E1025" s="78"/>
      <c r="F1025" s="78"/>
      <c r="G1025" s="16" t="s">
        <v>1317</v>
      </c>
      <c r="Z1025" s="109"/>
      <c r="AA1025" s="109"/>
      <c r="AB1025" s="109"/>
      <c r="AC1025" s="109"/>
      <c r="AD1025" s="109"/>
      <c r="AE1025" s="109"/>
      <c r="AF1025" s="109"/>
      <c r="AG1025" s="109"/>
      <c r="AH1025" s="109"/>
      <c r="AI1025" s="109"/>
      <c r="AJ1025" s="109"/>
      <c r="AK1025" s="109"/>
      <c r="AL1025" s="109"/>
      <c r="AM1025" s="109"/>
      <c r="AN1025" s="109"/>
      <c r="AO1025" s="109"/>
      <c r="AP1025" s="109"/>
      <c r="AQ1025" s="109"/>
      <c r="AR1025" s="109"/>
      <c r="AS1025" s="109"/>
    </row>
    <row r="1026" spans="1:45" ht="12.6" customHeight="1" x14ac:dyDescent="0.3">
      <c r="A1026" s="68"/>
      <c r="B1026" s="77" t="s">
        <v>1578</v>
      </c>
      <c r="C1026" s="78"/>
      <c r="D1026" s="78"/>
      <c r="E1026" s="78"/>
      <c r="F1026" s="78"/>
      <c r="G1026" s="16" t="s">
        <v>1577</v>
      </c>
      <c r="Z1026" s="109"/>
      <c r="AA1026" s="109"/>
      <c r="AB1026" s="109"/>
      <c r="AC1026" s="109"/>
      <c r="AD1026" s="109"/>
      <c r="AE1026" s="109"/>
      <c r="AF1026" s="109"/>
      <c r="AG1026" s="109"/>
      <c r="AH1026" s="109"/>
      <c r="AI1026" s="109"/>
      <c r="AJ1026" s="109"/>
      <c r="AK1026" s="109"/>
      <c r="AL1026" s="109"/>
      <c r="AM1026" s="109"/>
      <c r="AN1026" s="109"/>
      <c r="AO1026" s="109"/>
      <c r="AP1026" s="109"/>
      <c r="AQ1026" s="109"/>
      <c r="AR1026" s="109"/>
      <c r="AS1026" s="109"/>
    </row>
    <row r="1027" spans="1:45" ht="12.6" customHeight="1" x14ac:dyDescent="0.3">
      <c r="A1027" s="78"/>
      <c r="B1027" s="78"/>
      <c r="C1027" s="78"/>
      <c r="D1027" s="78"/>
      <c r="E1027" s="78"/>
      <c r="F1027" s="78"/>
      <c r="G1027" s="16" t="s">
        <v>1317</v>
      </c>
      <c r="Z1027" s="109"/>
      <c r="AA1027" s="109"/>
      <c r="AB1027" s="109"/>
      <c r="AC1027" s="109"/>
      <c r="AD1027" s="109"/>
      <c r="AE1027" s="109"/>
      <c r="AF1027" s="109"/>
      <c r="AG1027" s="109"/>
      <c r="AH1027" s="109"/>
      <c r="AI1027" s="109"/>
      <c r="AJ1027" s="109"/>
      <c r="AK1027" s="109"/>
      <c r="AL1027" s="109"/>
      <c r="AM1027" s="109"/>
      <c r="AN1027" s="109"/>
      <c r="AO1027" s="109"/>
      <c r="AP1027" s="109"/>
      <c r="AQ1027" s="109"/>
      <c r="AR1027" s="109"/>
      <c r="AS1027" s="109"/>
    </row>
    <row r="1028" spans="1:45" ht="12.6" customHeight="1" x14ac:dyDescent="0.3">
      <c r="A1028" s="68"/>
      <c r="B1028" s="77" t="s">
        <v>1741</v>
      </c>
      <c r="C1028" s="78"/>
      <c r="D1028" s="78"/>
      <c r="E1028" s="78"/>
      <c r="F1028" s="78"/>
      <c r="G1028" s="16" t="s">
        <v>1740</v>
      </c>
      <c r="Z1028" s="109"/>
      <c r="AA1028" s="109"/>
      <c r="AB1028" s="109"/>
      <c r="AC1028" s="109"/>
      <c r="AD1028" s="109"/>
      <c r="AE1028" s="109"/>
      <c r="AF1028" s="109"/>
      <c r="AG1028" s="109"/>
      <c r="AH1028" s="109"/>
      <c r="AI1028" s="109"/>
      <c r="AJ1028" s="109"/>
      <c r="AK1028" s="109"/>
      <c r="AL1028" s="109"/>
      <c r="AM1028" s="109"/>
      <c r="AN1028" s="109"/>
      <c r="AO1028" s="109"/>
      <c r="AP1028" s="109"/>
      <c r="AQ1028" s="109"/>
      <c r="AR1028" s="109"/>
      <c r="AS1028" s="109"/>
    </row>
    <row r="1029" spans="1:45" ht="12.6" customHeight="1" x14ac:dyDescent="0.3">
      <c r="A1029" s="78"/>
      <c r="B1029" s="78"/>
      <c r="C1029" s="78"/>
      <c r="D1029" s="78"/>
      <c r="E1029" s="78"/>
      <c r="F1029" s="78"/>
      <c r="G1029" s="16" t="s">
        <v>1317</v>
      </c>
      <c r="Z1029" s="109"/>
      <c r="AA1029" s="109"/>
      <c r="AB1029" s="109"/>
      <c r="AC1029" s="109"/>
      <c r="AD1029" s="109"/>
      <c r="AE1029" s="109"/>
      <c r="AF1029" s="109"/>
      <c r="AG1029" s="109"/>
      <c r="AH1029" s="109"/>
      <c r="AI1029" s="109"/>
      <c r="AJ1029" s="109"/>
      <c r="AK1029" s="109"/>
      <c r="AL1029" s="109"/>
      <c r="AM1029" s="109"/>
      <c r="AN1029" s="109"/>
      <c r="AO1029" s="109"/>
      <c r="AP1029" s="109"/>
      <c r="AQ1029" s="109"/>
      <c r="AR1029" s="109"/>
      <c r="AS1029" s="109"/>
    </row>
    <row r="1030" spans="1:45" ht="12.6" customHeight="1" x14ac:dyDescent="0.3">
      <c r="A1030" s="78"/>
      <c r="B1030" s="78"/>
      <c r="C1030" s="78"/>
      <c r="D1030" s="78"/>
      <c r="E1030" s="78"/>
      <c r="F1030" s="78"/>
      <c r="G1030" s="16" t="s">
        <v>1317</v>
      </c>
      <c r="Z1030" s="109"/>
      <c r="AA1030" s="109"/>
      <c r="AB1030" s="109"/>
      <c r="AC1030" s="109"/>
      <c r="AD1030" s="109"/>
      <c r="AE1030" s="109"/>
      <c r="AF1030" s="109"/>
      <c r="AG1030" s="109"/>
      <c r="AH1030" s="109"/>
      <c r="AI1030" s="109"/>
      <c r="AJ1030" s="109"/>
      <c r="AK1030" s="109"/>
      <c r="AL1030" s="109"/>
      <c r="AM1030" s="109"/>
      <c r="AN1030" s="109"/>
      <c r="AO1030" s="109"/>
      <c r="AP1030" s="109"/>
      <c r="AQ1030" s="109"/>
      <c r="AR1030" s="109"/>
      <c r="AS1030" s="109"/>
    </row>
    <row r="1031" spans="1:45" ht="12.6" customHeight="1" x14ac:dyDescent="0.3">
      <c r="A1031" s="78"/>
      <c r="B1031" s="78"/>
      <c r="C1031" s="78"/>
      <c r="D1031" s="78"/>
      <c r="E1031" s="78"/>
      <c r="F1031" s="78"/>
      <c r="G1031" s="16" t="s">
        <v>1317</v>
      </c>
      <c r="Z1031" s="109"/>
      <c r="AA1031" s="109"/>
      <c r="AB1031" s="109"/>
      <c r="AC1031" s="109"/>
      <c r="AD1031" s="109"/>
      <c r="AE1031" s="109"/>
      <c r="AF1031" s="109"/>
      <c r="AG1031" s="109"/>
      <c r="AH1031" s="109"/>
      <c r="AI1031" s="109"/>
      <c r="AJ1031" s="109"/>
      <c r="AK1031" s="109"/>
      <c r="AL1031" s="109"/>
      <c r="AM1031" s="109"/>
      <c r="AN1031" s="109"/>
      <c r="AO1031" s="109"/>
      <c r="AP1031" s="109"/>
      <c r="AQ1031" s="109"/>
      <c r="AR1031" s="109"/>
      <c r="AS1031" s="109"/>
    </row>
    <row r="1032" spans="1:45" ht="12.6" customHeight="1" x14ac:dyDescent="0.3">
      <c r="A1032" s="68"/>
      <c r="B1032" s="77" t="s">
        <v>1582</v>
      </c>
      <c r="C1032" s="78"/>
      <c r="D1032" s="78"/>
      <c r="E1032" s="78"/>
      <c r="F1032" s="78"/>
      <c r="G1032" s="16" t="s">
        <v>1581</v>
      </c>
      <c r="Z1032" s="109"/>
      <c r="AA1032" s="109"/>
      <c r="AB1032" s="109"/>
      <c r="AC1032" s="109"/>
      <c r="AD1032" s="109"/>
      <c r="AE1032" s="109"/>
      <c r="AF1032" s="109"/>
      <c r="AG1032" s="109"/>
      <c r="AH1032" s="109"/>
      <c r="AI1032" s="109"/>
      <c r="AJ1032" s="109"/>
      <c r="AK1032" s="109"/>
      <c r="AL1032" s="109"/>
      <c r="AM1032" s="109"/>
      <c r="AN1032" s="109"/>
      <c r="AO1032" s="109"/>
      <c r="AP1032" s="109"/>
      <c r="AQ1032" s="109"/>
      <c r="AR1032" s="109"/>
      <c r="AS1032" s="109"/>
    </row>
    <row r="1033" spans="1:45" ht="12.6" customHeight="1" x14ac:dyDescent="0.3">
      <c r="A1033" s="78"/>
      <c r="B1033" s="78"/>
      <c r="C1033" s="78"/>
      <c r="D1033" s="78"/>
      <c r="E1033" s="78"/>
      <c r="F1033" s="78"/>
      <c r="G1033" s="16" t="s">
        <v>1317</v>
      </c>
      <c r="Z1033" s="109"/>
      <c r="AA1033" s="109"/>
      <c r="AB1033" s="109"/>
      <c r="AC1033" s="109"/>
      <c r="AD1033" s="109"/>
      <c r="AE1033" s="109"/>
      <c r="AF1033" s="109"/>
      <c r="AG1033" s="109"/>
      <c r="AH1033" s="109"/>
      <c r="AI1033" s="109"/>
      <c r="AJ1033" s="109"/>
      <c r="AK1033" s="109"/>
      <c r="AL1033" s="109"/>
      <c r="AM1033" s="109"/>
      <c r="AN1033" s="109"/>
      <c r="AO1033" s="109"/>
      <c r="AP1033" s="109"/>
      <c r="AQ1033" s="109"/>
      <c r="AR1033" s="109"/>
      <c r="AS1033" s="109"/>
    </row>
    <row r="1034" spans="1:45" ht="12.6" customHeight="1" x14ac:dyDescent="0.3">
      <c r="A1034" s="68"/>
      <c r="B1034" s="77" t="s">
        <v>1584</v>
      </c>
      <c r="C1034" s="78"/>
      <c r="D1034" s="78"/>
      <c r="E1034" s="78"/>
      <c r="F1034" s="78"/>
      <c r="G1034" s="16" t="s">
        <v>1583</v>
      </c>
      <c r="Z1034" s="109"/>
      <c r="AA1034" s="109"/>
      <c r="AB1034" s="109"/>
      <c r="AC1034" s="109"/>
      <c r="AD1034" s="109"/>
      <c r="AE1034" s="109"/>
      <c r="AF1034" s="109"/>
      <c r="AG1034" s="109"/>
      <c r="AH1034" s="109"/>
      <c r="AI1034" s="109"/>
      <c r="AJ1034" s="109"/>
      <c r="AK1034" s="109"/>
      <c r="AL1034" s="109"/>
      <c r="AM1034" s="109"/>
      <c r="AN1034" s="109"/>
      <c r="AO1034" s="109"/>
      <c r="AP1034" s="109"/>
      <c r="AQ1034" s="109"/>
      <c r="AR1034" s="109"/>
      <c r="AS1034" s="109"/>
    </row>
    <row r="1035" spans="1:45" ht="12.6" customHeight="1" x14ac:dyDescent="0.3">
      <c r="A1035" s="78"/>
      <c r="B1035" s="78"/>
      <c r="C1035" s="78"/>
      <c r="D1035" s="78"/>
      <c r="E1035" s="78"/>
      <c r="F1035" s="78"/>
      <c r="G1035" s="16" t="s">
        <v>1317</v>
      </c>
      <c r="Z1035" s="109"/>
      <c r="AA1035" s="109"/>
      <c r="AB1035" s="109"/>
      <c r="AC1035" s="109"/>
      <c r="AD1035" s="109"/>
      <c r="AE1035" s="109"/>
      <c r="AF1035" s="109"/>
      <c r="AG1035" s="109"/>
      <c r="AH1035" s="109"/>
      <c r="AI1035" s="109"/>
      <c r="AJ1035" s="109"/>
      <c r="AK1035" s="109"/>
      <c r="AL1035" s="109"/>
      <c r="AM1035" s="109"/>
      <c r="AN1035" s="109"/>
      <c r="AO1035" s="109"/>
      <c r="AP1035" s="109"/>
      <c r="AQ1035" s="109"/>
      <c r="AR1035" s="109"/>
      <c r="AS1035" s="109"/>
    </row>
    <row r="1036" spans="1:45" ht="12.6" customHeight="1" x14ac:dyDescent="0.3">
      <c r="A1036" s="68"/>
      <c r="B1036" s="97" t="str">
        <f>" q (버킷용량)  = "&amp;Z1036&amp;"/"&amp;AB1036&amp;" = "&amp;AD1036&amp;" m2  , f (체적환산계수)  = "&amp;AF1036&amp;"  ,"</f>
        <v xml:space="preserve"> q (버킷용량)  = 3/16 = 0.19 m2  , f (체적환산계수)  = 1  ,</v>
      </c>
      <c r="C1036" s="78"/>
      <c r="D1036" s="78"/>
      <c r="E1036" s="78"/>
      <c r="F1036" s="78"/>
      <c r="G1036" s="16" t="s">
        <v>1742</v>
      </c>
      <c r="Z1036" s="111">
        <v>3</v>
      </c>
      <c r="AA1036" s="20" t="s">
        <v>1387</v>
      </c>
      <c r="AB1036" s="111">
        <v>16</v>
      </c>
      <c r="AC1036" s="20" t="s">
        <v>1326</v>
      </c>
      <c r="AD1036" s="112" t="str">
        <f>TEXT(ROUND(Z1036/AB1036,2),"0.00")</f>
        <v>0.19</v>
      </c>
      <c r="AE1036" s="20" t="s">
        <v>1385</v>
      </c>
      <c r="AF1036" s="111">
        <v>1</v>
      </c>
      <c r="AG1036" s="20" t="s">
        <v>1326</v>
      </c>
      <c r="AH1036" s="112">
        <f>AF1036</f>
        <v>1</v>
      </c>
      <c r="AI1036" s="20" t="s">
        <v>1385</v>
      </c>
      <c r="AJ1036" s="20" t="s">
        <v>1385</v>
      </c>
      <c r="AK1036" s="109"/>
      <c r="AL1036" s="109"/>
      <c r="AM1036" s="109"/>
      <c r="AN1036" s="109"/>
      <c r="AO1036" s="109"/>
      <c r="AP1036" s="109"/>
      <c r="AQ1036" s="109"/>
      <c r="AR1036" s="109"/>
      <c r="AS1036" s="109"/>
    </row>
    <row r="1037" spans="1:45" ht="12.6" customHeight="1" x14ac:dyDescent="0.3">
      <c r="A1037" s="78"/>
      <c r="B1037" s="78"/>
      <c r="C1037" s="78"/>
      <c r="D1037" s="78"/>
      <c r="E1037" s="78"/>
      <c r="F1037" s="78"/>
      <c r="G1037" s="16" t="s">
        <v>1317</v>
      </c>
      <c r="Z1037" s="109"/>
      <c r="AA1037" s="109"/>
      <c r="AB1037" s="109"/>
      <c r="AC1037" s="109"/>
      <c r="AD1037" s="109"/>
      <c r="AE1037" s="109"/>
      <c r="AF1037" s="109"/>
      <c r="AG1037" s="109"/>
      <c r="AH1037" s="109"/>
      <c r="AI1037" s="109"/>
      <c r="AJ1037" s="109"/>
      <c r="AK1037" s="109"/>
      <c r="AL1037" s="109"/>
      <c r="AM1037" s="109"/>
      <c r="AN1037" s="109"/>
      <c r="AO1037" s="109"/>
      <c r="AP1037" s="109"/>
      <c r="AQ1037" s="109"/>
      <c r="AR1037" s="109"/>
      <c r="AS1037" s="109"/>
    </row>
    <row r="1038" spans="1:45" ht="12.6" customHeight="1" x14ac:dyDescent="0.3">
      <c r="A1038" s="68"/>
      <c r="B1038" s="97" t="str">
        <f>" K (버킷계수)  = "&amp;Z1038&amp;""</f>
        <v xml:space="preserve"> K (버킷계수)  = 0.55</v>
      </c>
      <c r="C1038" s="78"/>
      <c r="D1038" s="78"/>
      <c r="E1038" s="78"/>
      <c r="F1038" s="78"/>
      <c r="G1038" s="16" t="s">
        <v>1513</v>
      </c>
      <c r="Z1038" s="110">
        <v>0.55000000000000004</v>
      </c>
      <c r="AA1038" s="20" t="s">
        <v>1326</v>
      </c>
      <c r="AB1038" s="112">
        <f>Z1038</f>
        <v>0.55000000000000004</v>
      </c>
      <c r="AC1038" s="109"/>
      <c r="AD1038" s="109"/>
      <c r="AE1038" s="109"/>
      <c r="AF1038" s="109"/>
      <c r="AG1038" s="109"/>
      <c r="AH1038" s="109"/>
      <c r="AI1038" s="109"/>
      <c r="AJ1038" s="109"/>
      <c r="AK1038" s="109"/>
      <c r="AL1038" s="109"/>
      <c r="AM1038" s="109"/>
      <c r="AN1038" s="109"/>
      <c r="AO1038" s="109"/>
      <c r="AP1038" s="109"/>
      <c r="AQ1038" s="109"/>
      <c r="AR1038" s="109"/>
      <c r="AS1038" s="109"/>
    </row>
    <row r="1039" spans="1:45" ht="12.6" customHeight="1" x14ac:dyDescent="0.3">
      <c r="A1039" s="78"/>
      <c r="B1039" s="78"/>
      <c r="C1039" s="78"/>
      <c r="D1039" s="78"/>
      <c r="E1039" s="78"/>
      <c r="F1039" s="78"/>
      <c r="G1039" s="16" t="s">
        <v>1317</v>
      </c>
      <c r="Z1039" s="109"/>
      <c r="AA1039" s="109"/>
      <c r="AB1039" s="109"/>
      <c r="AC1039" s="109"/>
      <c r="AD1039" s="109"/>
      <c r="AE1039" s="109"/>
      <c r="AF1039" s="109"/>
      <c r="AG1039" s="109"/>
      <c r="AH1039" s="109"/>
      <c r="AI1039" s="109"/>
      <c r="AJ1039" s="109"/>
      <c r="AK1039" s="109"/>
      <c r="AL1039" s="109"/>
      <c r="AM1039" s="109"/>
      <c r="AN1039" s="109"/>
      <c r="AO1039" s="109"/>
      <c r="AP1039" s="109"/>
      <c r="AQ1039" s="109"/>
      <c r="AR1039" s="109"/>
      <c r="AS1039" s="109"/>
    </row>
    <row r="1040" spans="1:45" ht="12.6" customHeight="1" x14ac:dyDescent="0.3">
      <c r="A1040" s="68"/>
      <c r="B1040" s="97" t="str">
        <f>" Cm (1회ㅣ 사이클시간(초))  = "&amp;Z1040&amp;" sec (135˚) , E (작업효율)  = "&amp;AD1040&amp;""</f>
        <v xml:space="preserve"> Cm (1회ㅣ 사이클시간(초))  = 20 sec (135˚) , E (작업효율)  = 0.45</v>
      </c>
      <c r="C1040" s="78"/>
      <c r="D1040" s="78"/>
      <c r="E1040" s="78"/>
      <c r="F1040" s="78"/>
      <c r="G1040" s="16" t="s">
        <v>1586</v>
      </c>
      <c r="Z1040" s="111">
        <v>20</v>
      </c>
      <c r="AA1040" s="20" t="s">
        <v>1326</v>
      </c>
      <c r="AB1040" s="112">
        <f>Z1040</f>
        <v>20</v>
      </c>
      <c r="AC1040" s="20" t="s">
        <v>1385</v>
      </c>
      <c r="AD1040" s="110">
        <v>0.45</v>
      </c>
      <c r="AE1040" s="20" t="s">
        <v>1326</v>
      </c>
      <c r="AF1040" s="112">
        <f>AD1040</f>
        <v>0.45</v>
      </c>
      <c r="AG1040" s="20" t="s">
        <v>1385</v>
      </c>
      <c r="AH1040" s="109"/>
      <c r="AI1040" s="109"/>
      <c r="AJ1040" s="109"/>
      <c r="AK1040" s="109"/>
      <c r="AL1040" s="109"/>
      <c r="AM1040" s="109"/>
      <c r="AN1040" s="109"/>
      <c r="AO1040" s="109"/>
      <c r="AP1040" s="109"/>
      <c r="AQ1040" s="109"/>
      <c r="AR1040" s="109"/>
      <c r="AS1040" s="109"/>
    </row>
    <row r="1041" spans="1:45" ht="12.6" customHeight="1" x14ac:dyDescent="0.3">
      <c r="A1041" s="78"/>
      <c r="B1041" s="78"/>
      <c r="C1041" s="78"/>
      <c r="D1041" s="78"/>
      <c r="E1041" s="78"/>
      <c r="F1041" s="78"/>
      <c r="G1041" s="16" t="s">
        <v>1317</v>
      </c>
      <c r="Z1041" s="109"/>
      <c r="AA1041" s="109"/>
      <c r="AB1041" s="109"/>
      <c r="AC1041" s="109"/>
      <c r="AD1041" s="109"/>
      <c r="AE1041" s="109"/>
      <c r="AF1041" s="109"/>
      <c r="AG1041" s="109"/>
      <c r="AH1041" s="109"/>
      <c r="AI1041" s="109"/>
      <c r="AJ1041" s="109"/>
      <c r="AK1041" s="109"/>
      <c r="AL1041" s="109"/>
      <c r="AM1041" s="109"/>
      <c r="AN1041" s="109"/>
      <c r="AO1041" s="109"/>
      <c r="AP1041" s="109"/>
      <c r="AQ1041" s="109"/>
      <c r="AR1041" s="109"/>
      <c r="AS1041" s="109"/>
    </row>
    <row r="1042" spans="1:45" ht="12.6" customHeight="1" x14ac:dyDescent="0.3">
      <c r="A1042" s="68"/>
      <c r="B1042" s="97" t="str">
        <f>" Q (시간당작업량)  = "&amp;Z1042&amp;"*q*K*f*E/Cm = "&amp;AL1042&amp;" m2/hr "</f>
        <v xml:space="preserve"> Q (시간당작업량)  = 3600*q*K*f*E/Cm = 8.46 m2/hr </v>
      </c>
      <c r="C1042" s="78"/>
      <c r="D1042" s="78"/>
      <c r="E1042" s="78"/>
      <c r="F1042" s="78"/>
      <c r="G1042" s="16" t="s">
        <v>1587</v>
      </c>
      <c r="Z1042" s="111">
        <v>3600</v>
      </c>
      <c r="AA1042" s="20" t="s">
        <v>1390</v>
      </c>
      <c r="AB1042" s="112" t="str">
        <f>AD1036</f>
        <v>0.19</v>
      </c>
      <c r="AC1042" s="20" t="s">
        <v>1390</v>
      </c>
      <c r="AD1042" s="112">
        <f>AB1038</f>
        <v>0.55000000000000004</v>
      </c>
      <c r="AE1042" s="20" t="s">
        <v>1390</v>
      </c>
      <c r="AF1042" s="112">
        <f>AH1036</f>
        <v>1</v>
      </c>
      <c r="AG1042" s="20" t="s">
        <v>1390</v>
      </c>
      <c r="AH1042" s="112">
        <f>AF1040</f>
        <v>0.45</v>
      </c>
      <c r="AI1042" s="20" t="s">
        <v>1387</v>
      </c>
      <c r="AJ1042" s="112">
        <f>AB1040</f>
        <v>20</v>
      </c>
      <c r="AK1042" s="20" t="s">
        <v>1326</v>
      </c>
      <c r="AL1042" s="112" t="str">
        <f>TEXT(ROUND(Z1042*AD1036*AB1038*AH1036*AF1040/AB1040,2),"0.00")</f>
        <v>8.46</v>
      </c>
      <c r="AM1042" s="109"/>
      <c r="AN1042" s="109"/>
      <c r="AO1042" s="109"/>
      <c r="AP1042" s="109"/>
      <c r="AQ1042" s="109"/>
      <c r="AR1042" s="109"/>
      <c r="AS1042" s="109"/>
    </row>
    <row r="1043" spans="1:45" ht="12.6" customHeight="1" x14ac:dyDescent="0.3">
      <c r="A1043" s="78"/>
      <c r="B1043" s="78"/>
      <c r="C1043" s="78"/>
      <c r="D1043" s="78"/>
      <c r="E1043" s="78"/>
      <c r="F1043" s="78"/>
      <c r="G1043" s="16" t="s">
        <v>1317</v>
      </c>
      <c r="Z1043" s="109"/>
      <c r="AA1043" s="109"/>
      <c r="AB1043" s="109"/>
      <c r="AC1043" s="109"/>
      <c r="AD1043" s="109"/>
      <c r="AE1043" s="109"/>
      <c r="AF1043" s="109"/>
      <c r="AG1043" s="109"/>
      <c r="AH1043" s="109"/>
      <c r="AI1043" s="109"/>
      <c r="AJ1043" s="109"/>
      <c r="AK1043" s="109"/>
      <c r="AL1043" s="109"/>
      <c r="AM1043" s="109"/>
      <c r="AN1043" s="109"/>
      <c r="AO1043" s="109"/>
      <c r="AP1043" s="109"/>
      <c r="AQ1043" s="109"/>
      <c r="AR1043" s="109"/>
      <c r="AS1043" s="109"/>
    </row>
    <row r="1044" spans="1:45" ht="12.6" customHeight="1" x14ac:dyDescent="0.3">
      <c r="A1044" s="68" t="s">
        <v>1441</v>
      </c>
      <c r="B1044" s="97" t="str">
        <f>" 노 무 비  : "&amp;TEXT(I1044,"#,##0"&amp;IF(I1044&lt;&gt;INT(I1044),".###",""))&amp;" / Q = "&amp;TEXT(C1044,"#,##0.0")&amp;""</f>
        <v xml:space="preserve"> 노 무 비  : 55,700 / Q = 6,583.9</v>
      </c>
      <c r="C1044" s="99">
        <f>E1044+D1044+F1044</f>
        <v>6583.9</v>
      </c>
      <c r="D1044" s="99">
        <f>IF(H1044=0,0,ROUNDDOWN(J1044*H1044,1))</f>
        <v>6583.9</v>
      </c>
      <c r="E1044" s="99">
        <f>IF(H1044=0,0,ROUNDDOWN(K1044*H1044,1))</f>
        <v>0</v>
      </c>
      <c r="F1044" s="99">
        <f>IF(H1044=0,0,ROUNDDOWN(L1044*H1044,1))</f>
        <v>0</v>
      </c>
      <c r="G1044" s="16" t="s">
        <v>1588</v>
      </c>
      <c r="H1044" s="105">
        <f>AC1044</f>
        <v>0.11820330969267138</v>
      </c>
      <c r="I1044" s="106">
        <f>K1044+J1044+L1044</f>
        <v>55700</v>
      </c>
      <c r="J1044" s="39">
        <f>중기목록표!F9</f>
        <v>55700</v>
      </c>
      <c r="M1044" s="20" t="s">
        <v>1442</v>
      </c>
      <c r="N1044" s="20" t="s">
        <v>1332</v>
      </c>
      <c r="X1044" s="108" t="str">
        <f>중기목록표!B9&amp;" / "&amp;중기목록표!C9</f>
        <v>굴삭기(0.7m3) / 0.7㎥,(암석)</v>
      </c>
      <c r="Y1044" s="19" t="str">
        <f ca="1">HYPERLINK("#"&amp;중기목록표!J2&amp;"!A"&amp;ROW(중기목록표!A9),"중기    6 →")</f>
        <v>중기    6 →</v>
      </c>
      <c r="Z1044" s="20" t="s">
        <v>1393</v>
      </c>
      <c r="AA1044" s="112" t="str">
        <f>AL1042</f>
        <v>8.46</v>
      </c>
      <c r="AB1044" s="20" t="s">
        <v>1326</v>
      </c>
      <c r="AC1044" s="113">
        <f>1/AL1042</f>
        <v>0.11820330969267138</v>
      </c>
      <c r="AD1044" s="109"/>
      <c r="AE1044" s="109"/>
      <c r="AF1044" s="109"/>
      <c r="AG1044" s="109"/>
      <c r="AH1044" s="109"/>
      <c r="AI1044" s="109"/>
      <c r="AJ1044" s="109"/>
      <c r="AK1044" s="109"/>
      <c r="AL1044" s="109"/>
      <c r="AM1044" s="109"/>
      <c r="AN1044" s="109"/>
      <c r="AO1044" s="109"/>
      <c r="AP1044" s="109"/>
      <c r="AQ1044" s="109"/>
      <c r="AR1044" s="109"/>
      <c r="AS1044" s="109"/>
    </row>
    <row r="1045" spans="1:45" ht="12.6" customHeight="1" x14ac:dyDescent="0.3">
      <c r="A1045" s="78"/>
      <c r="B1045" s="78"/>
      <c r="C1045" s="78"/>
      <c r="D1045" s="78"/>
      <c r="E1045" s="78"/>
      <c r="F1045" s="78"/>
      <c r="G1045" s="16" t="s">
        <v>1317</v>
      </c>
      <c r="Z1045" s="109"/>
      <c r="AA1045" s="109"/>
      <c r="AB1045" s="109"/>
      <c r="AC1045" s="109"/>
      <c r="AD1045" s="109"/>
      <c r="AE1045" s="109"/>
      <c r="AF1045" s="109"/>
      <c r="AG1045" s="109"/>
      <c r="AH1045" s="109"/>
      <c r="AI1045" s="109"/>
      <c r="AJ1045" s="109"/>
      <c r="AK1045" s="109"/>
      <c r="AL1045" s="109"/>
      <c r="AM1045" s="109"/>
      <c r="AN1045" s="109"/>
      <c r="AO1045" s="109"/>
      <c r="AP1045" s="109"/>
      <c r="AQ1045" s="109"/>
      <c r="AR1045" s="109"/>
      <c r="AS1045" s="109"/>
    </row>
    <row r="1046" spans="1:45" ht="12.6" customHeight="1" x14ac:dyDescent="0.3">
      <c r="A1046" s="68" t="s">
        <v>1444</v>
      </c>
      <c r="B1046" s="97" t="str">
        <f>" 재 료 비  : "&amp;TEXT(I1046,"#,##0"&amp;IF(I1046&lt;&gt;INT(I1046),".###",""))&amp;" / Q = "&amp;TEXT(C1046,"#,##0.0")&amp;""</f>
        <v xml:space="preserve"> 재 료 비  : 18,001 / Q = 2,127.7</v>
      </c>
      <c r="C1046" s="99">
        <f>E1046+D1046+F1046</f>
        <v>2127.6999999999998</v>
      </c>
      <c r="D1046" s="99">
        <f>IF(H1046=0,0,ROUNDDOWN(J1046*H1046,1))</f>
        <v>0</v>
      </c>
      <c r="E1046" s="99">
        <f>IF(H1046=0,0,ROUNDDOWN(K1046*H1046,1))</f>
        <v>2127.6999999999998</v>
      </c>
      <c r="F1046" s="99">
        <f>IF(H1046=0,0,ROUNDDOWN(L1046*H1046,1))</f>
        <v>0</v>
      </c>
      <c r="G1046" s="16" t="s">
        <v>1589</v>
      </c>
      <c r="H1046" s="105">
        <f>AC1046</f>
        <v>0.11820330969267138</v>
      </c>
      <c r="I1046" s="106">
        <f>K1046+J1046+L1046</f>
        <v>18001</v>
      </c>
      <c r="K1046" s="39">
        <f>중기목록표!G9</f>
        <v>18001</v>
      </c>
      <c r="M1046" s="20" t="s">
        <v>1442</v>
      </c>
      <c r="N1046" s="20" t="s">
        <v>1332</v>
      </c>
      <c r="X1046" s="108" t="str">
        <f>중기목록표!B9&amp;" / "&amp;중기목록표!C9</f>
        <v>굴삭기(0.7m3) / 0.7㎥,(암석)</v>
      </c>
      <c r="Y1046" s="19" t="str">
        <f ca="1">HYPERLINK("#"&amp;중기목록표!J2&amp;"!A"&amp;ROW(중기목록표!A9),"중기    6 →")</f>
        <v>중기    6 →</v>
      </c>
      <c r="Z1046" s="20" t="s">
        <v>1393</v>
      </c>
      <c r="AA1046" s="112" t="str">
        <f>AL1042</f>
        <v>8.46</v>
      </c>
      <c r="AB1046" s="20" t="s">
        <v>1326</v>
      </c>
      <c r="AC1046" s="113">
        <f>1/AL1042</f>
        <v>0.11820330969267138</v>
      </c>
      <c r="AD1046" s="109"/>
      <c r="AE1046" s="109"/>
      <c r="AF1046" s="109"/>
      <c r="AG1046" s="109"/>
      <c r="AH1046" s="109"/>
      <c r="AI1046" s="109"/>
      <c r="AJ1046" s="109"/>
      <c r="AK1046" s="109"/>
      <c r="AL1046" s="109"/>
      <c r="AM1046" s="109"/>
      <c r="AN1046" s="109"/>
      <c r="AO1046" s="109"/>
      <c r="AP1046" s="109"/>
      <c r="AQ1046" s="109"/>
      <c r="AR1046" s="109"/>
      <c r="AS1046" s="109"/>
    </row>
    <row r="1047" spans="1:45" ht="12.6" customHeight="1" x14ac:dyDescent="0.3">
      <c r="A1047" s="78"/>
      <c r="B1047" s="78"/>
      <c r="C1047" s="78"/>
      <c r="D1047" s="78"/>
      <c r="E1047" s="78"/>
      <c r="F1047" s="78"/>
      <c r="G1047" s="16" t="s">
        <v>1317</v>
      </c>
      <c r="Z1047" s="109"/>
      <c r="AA1047" s="109"/>
      <c r="AB1047" s="109"/>
      <c r="AC1047" s="109"/>
      <c r="AD1047" s="109"/>
      <c r="AE1047" s="109"/>
      <c r="AF1047" s="109"/>
      <c r="AG1047" s="109"/>
      <c r="AH1047" s="109"/>
      <c r="AI1047" s="109"/>
      <c r="AJ1047" s="109"/>
      <c r="AK1047" s="109"/>
      <c r="AL1047" s="109"/>
      <c r="AM1047" s="109"/>
      <c r="AN1047" s="109"/>
      <c r="AO1047" s="109"/>
      <c r="AP1047" s="109"/>
      <c r="AQ1047" s="109"/>
      <c r="AR1047" s="109"/>
      <c r="AS1047" s="109"/>
    </row>
    <row r="1048" spans="1:45" ht="12.6" customHeight="1" x14ac:dyDescent="0.3">
      <c r="A1048" s="68" t="s">
        <v>1446</v>
      </c>
      <c r="B1048" s="97" t="str">
        <f>" 경    비  : "&amp;TEXT(I1048,"#,##0"&amp;IF(I1048&lt;&gt;INT(I1048),".###",""))&amp;" / Q = "&amp;TEXT(C1048,"#,##0.0")&amp;""</f>
        <v xml:space="preserve"> 경    비  : 26,677 / Q = 3,153.3</v>
      </c>
      <c r="C1048" s="99">
        <f>E1048+D1048+F1048</f>
        <v>3153.3</v>
      </c>
      <c r="D1048" s="99">
        <f>IF(H1048=0,0,ROUNDDOWN(J1048*H1048,1))</f>
        <v>0</v>
      </c>
      <c r="E1048" s="99">
        <f>IF(H1048=0,0,ROUNDDOWN(K1048*H1048,1))</f>
        <v>0</v>
      </c>
      <c r="F1048" s="99">
        <f>IF(H1048=0,0,ROUNDDOWN(L1048*H1048,1))</f>
        <v>3153.3</v>
      </c>
      <c r="G1048" s="16" t="s">
        <v>1590</v>
      </c>
      <c r="H1048" s="105">
        <f>AC1048</f>
        <v>0.11820330969267138</v>
      </c>
      <c r="I1048" s="106">
        <f>K1048+J1048+L1048</f>
        <v>26677</v>
      </c>
      <c r="L1048" s="39">
        <f>중기목록표!H9</f>
        <v>26677</v>
      </c>
      <c r="M1048" s="20" t="s">
        <v>1442</v>
      </c>
      <c r="N1048" s="20" t="s">
        <v>1332</v>
      </c>
      <c r="X1048" s="108" t="str">
        <f>중기목록표!B9&amp;" / "&amp;중기목록표!C9</f>
        <v>굴삭기(0.7m3) / 0.7㎥,(암석)</v>
      </c>
      <c r="Y1048" s="19" t="str">
        <f ca="1">HYPERLINK("#"&amp;중기목록표!J2&amp;"!A"&amp;ROW(중기목록표!A9),"중기    6 →")</f>
        <v>중기    6 →</v>
      </c>
      <c r="Z1048" s="20" t="s">
        <v>1393</v>
      </c>
      <c r="AA1048" s="112" t="str">
        <f>AL1042</f>
        <v>8.46</v>
      </c>
      <c r="AB1048" s="20" t="s">
        <v>1326</v>
      </c>
      <c r="AC1048" s="113">
        <f>1/AL1042</f>
        <v>0.11820330969267138</v>
      </c>
      <c r="AD1048" s="109"/>
      <c r="AE1048" s="109"/>
      <c r="AF1048" s="109"/>
      <c r="AG1048" s="109"/>
      <c r="AH1048" s="109"/>
      <c r="AI1048" s="109"/>
      <c r="AJ1048" s="109"/>
      <c r="AK1048" s="109"/>
      <c r="AL1048" s="109"/>
      <c r="AM1048" s="109"/>
      <c r="AN1048" s="109"/>
      <c r="AO1048" s="109"/>
      <c r="AP1048" s="109"/>
      <c r="AQ1048" s="109"/>
      <c r="AR1048" s="109"/>
      <c r="AS1048" s="109"/>
    </row>
    <row r="1049" spans="1:45" ht="12.6" customHeight="1" x14ac:dyDescent="0.3">
      <c r="A1049" s="78"/>
      <c r="B1049" s="78"/>
      <c r="C1049" s="78"/>
      <c r="D1049" s="78"/>
      <c r="E1049" s="78"/>
      <c r="F1049" s="78"/>
      <c r="G1049" s="16" t="s">
        <v>1317</v>
      </c>
      <c r="Z1049" s="109"/>
      <c r="AA1049" s="109"/>
      <c r="AB1049" s="109"/>
      <c r="AC1049" s="109"/>
      <c r="AD1049" s="109"/>
      <c r="AE1049" s="109"/>
      <c r="AF1049" s="109"/>
      <c r="AG1049" s="109"/>
      <c r="AH1049" s="109"/>
      <c r="AI1049" s="109"/>
      <c r="AJ1049" s="109"/>
      <c r="AK1049" s="109"/>
      <c r="AL1049" s="109"/>
      <c r="AM1049" s="109"/>
      <c r="AN1049" s="109"/>
      <c r="AO1049" s="109"/>
      <c r="AP1049" s="109"/>
      <c r="AQ1049" s="109"/>
      <c r="AR1049" s="109"/>
      <c r="AS1049" s="109"/>
    </row>
    <row r="1050" spans="1:45" ht="12.6" customHeight="1" x14ac:dyDescent="0.3">
      <c r="A1050" s="68"/>
      <c r="B1050" s="77" t="s">
        <v>1331</v>
      </c>
      <c r="C1050" s="100">
        <f>E1050+D1050+F1050</f>
        <v>11864.899999999998</v>
      </c>
      <c r="D1050" s="100">
        <f>SUMIF(N1022:N1049,M1050,D1022:D1049)</f>
        <v>6583.9</v>
      </c>
      <c r="E1050" s="100">
        <f>SUMIF(N1022:N1049,M1050,E1022:E1049)</f>
        <v>2127.6999999999998</v>
      </c>
      <c r="F1050" s="100">
        <f>SUMIF(N1022:N1049,M1050,F1022:F1049)</f>
        <v>3153.3</v>
      </c>
      <c r="G1050" s="16" t="s">
        <v>1415</v>
      </c>
      <c r="M1050" s="20" t="s">
        <v>1332</v>
      </c>
      <c r="N1050" s="20" t="s">
        <v>1341</v>
      </c>
      <c r="Z1050" s="109"/>
      <c r="AA1050" s="109"/>
      <c r="AB1050" s="109"/>
      <c r="AC1050" s="109"/>
      <c r="AD1050" s="109"/>
      <c r="AE1050" s="109"/>
      <c r="AF1050" s="109"/>
      <c r="AG1050" s="109"/>
      <c r="AH1050" s="109"/>
      <c r="AI1050" s="109"/>
      <c r="AJ1050" s="109"/>
      <c r="AK1050" s="109"/>
      <c r="AL1050" s="109"/>
      <c r="AM1050" s="109"/>
      <c r="AN1050" s="109"/>
      <c r="AO1050" s="109"/>
      <c r="AP1050" s="109"/>
      <c r="AQ1050" s="109"/>
      <c r="AR1050" s="109"/>
      <c r="AS1050" s="109"/>
    </row>
    <row r="1051" spans="1:45" ht="12.6" customHeight="1" x14ac:dyDescent="0.3">
      <c r="A1051" s="78"/>
      <c r="B1051" s="78"/>
      <c r="C1051" s="98"/>
      <c r="D1051" s="98"/>
      <c r="E1051" s="98"/>
      <c r="F1051" s="98"/>
      <c r="G1051" s="16" t="s">
        <v>1317</v>
      </c>
      <c r="Z1051" s="109"/>
      <c r="AA1051" s="109"/>
      <c r="AB1051" s="109"/>
      <c r="AC1051" s="109"/>
      <c r="AD1051" s="109"/>
      <c r="AE1051" s="109"/>
      <c r="AF1051" s="109"/>
      <c r="AG1051" s="109"/>
      <c r="AH1051" s="109"/>
      <c r="AI1051" s="109"/>
      <c r="AJ1051" s="109"/>
      <c r="AK1051" s="109"/>
      <c r="AL1051" s="109"/>
      <c r="AM1051" s="109"/>
      <c r="AN1051" s="109"/>
      <c r="AO1051" s="109"/>
      <c r="AP1051" s="109"/>
      <c r="AQ1051" s="109"/>
      <c r="AR1051" s="109"/>
      <c r="AS1051" s="109"/>
    </row>
    <row r="1052" spans="1:45" ht="12.6" customHeight="1" x14ac:dyDescent="0.3">
      <c r="A1052" s="68"/>
      <c r="B1052" s="77" t="s">
        <v>1340</v>
      </c>
      <c r="C1052" s="100">
        <f>E1052+D1052+F1052</f>
        <v>11864.899999999998</v>
      </c>
      <c r="D1052" s="100">
        <f>SUMIF(N1022:N1051,M1052,D1022:D1051)</f>
        <v>6583.9</v>
      </c>
      <c r="E1052" s="100">
        <f>SUMIF(N1022:N1051,M1052,E1022:E1051)</f>
        <v>2127.6999999999998</v>
      </c>
      <c r="F1052" s="100">
        <f>SUMIF(N1022:N1051,M1052,F1022:F1051)</f>
        <v>3153.3</v>
      </c>
      <c r="G1052" s="16" t="s">
        <v>1380</v>
      </c>
      <c r="M1052" s="20" t="s">
        <v>1341</v>
      </c>
      <c r="N1052" s="20" t="s">
        <v>1128</v>
      </c>
      <c r="Z1052" s="109"/>
      <c r="AA1052" s="109"/>
      <c r="AB1052" s="109"/>
      <c r="AC1052" s="109"/>
      <c r="AD1052" s="109"/>
      <c r="AE1052" s="109"/>
      <c r="AF1052" s="109"/>
      <c r="AG1052" s="109"/>
      <c r="AH1052" s="109"/>
      <c r="AI1052" s="109"/>
      <c r="AJ1052" s="109"/>
      <c r="AK1052" s="109"/>
      <c r="AL1052" s="109"/>
      <c r="AM1052" s="109"/>
      <c r="AN1052" s="109"/>
      <c r="AO1052" s="109"/>
      <c r="AP1052" s="109"/>
      <c r="AQ1052" s="109"/>
      <c r="AR1052" s="109"/>
      <c r="AS1052" s="109"/>
    </row>
    <row r="1053" spans="1:45" ht="12.6" customHeight="1" x14ac:dyDescent="0.3">
      <c r="A1053" s="78"/>
      <c r="B1053" s="78"/>
      <c r="C1053" s="98"/>
      <c r="D1053" s="98"/>
      <c r="E1053" s="98"/>
      <c r="F1053" s="98"/>
      <c r="G1053" s="16" t="s">
        <v>1317</v>
      </c>
      <c r="Z1053" s="109"/>
      <c r="AA1053" s="109"/>
      <c r="AB1053" s="109"/>
      <c r="AC1053" s="109"/>
      <c r="AD1053" s="109"/>
      <c r="AE1053" s="109"/>
      <c r="AF1053" s="109"/>
      <c r="AG1053" s="109"/>
      <c r="AH1053" s="109"/>
      <c r="AI1053" s="109"/>
      <c r="AJ1053" s="109"/>
      <c r="AK1053" s="109"/>
      <c r="AL1053" s="109"/>
      <c r="AM1053" s="109"/>
      <c r="AN1053" s="109"/>
      <c r="AO1053" s="109"/>
      <c r="AP1053" s="109"/>
      <c r="AQ1053" s="109"/>
      <c r="AR1053" s="109"/>
      <c r="AS1053" s="109"/>
    </row>
    <row r="1054" spans="1:45" ht="12.6" customHeight="1" x14ac:dyDescent="0.3">
      <c r="A1054" s="78"/>
      <c r="B1054" s="78"/>
      <c r="C1054" s="78"/>
      <c r="D1054" s="78"/>
      <c r="E1054" s="78"/>
      <c r="F1054" s="78"/>
      <c r="G1054" s="16" t="s">
        <v>1317</v>
      </c>
      <c r="Z1054" s="109"/>
      <c r="AA1054" s="109"/>
      <c r="AB1054" s="109"/>
      <c r="AC1054" s="109"/>
      <c r="AD1054" s="109"/>
      <c r="AE1054" s="109"/>
      <c r="AF1054" s="109"/>
      <c r="AG1054" s="109"/>
      <c r="AH1054" s="109"/>
      <c r="AI1054" s="109"/>
      <c r="AJ1054" s="109"/>
      <c r="AK1054" s="109"/>
      <c r="AL1054" s="109"/>
      <c r="AM1054" s="109"/>
      <c r="AN1054" s="109"/>
      <c r="AO1054" s="109"/>
      <c r="AP1054" s="109"/>
      <c r="AQ1054" s="109"/>
      <c r="AR1054" s="109"/>
      <c r="AS1054" s="109"/>
    </row>
    <row r="1055" spans="1:45" ht="12.6" customHeight="1" x14ac:dyDescent="0.3">
      <c r="A1055" s="78"/>
      <c r="B1055" s="78"/>
      <c r="C1055" s="78"/>
      <c r="D1055" s="78"/>
      <c r="E1055" s="78"/>
      <c r="F1055" s="78"/>
      <c r="G1055" s="16" t="s">
        <v>1317</v>
      </c>
      <c r="Z1055" s="109"/>
      <c r="AA1055" s="109"/>
      <c r="AB1055" s="109"/>
      <c r="AC1055" s="109"/>
      <c r="AD1055" s="109"/>
      <c r="AE1055" s="109"/>
      <c r="AF1055" s="109"/>
      <c r="AG1055" s="109"/>
      <c r="AH1055" s="109"/>
      <c r="AI1055" s="109"/>
      <c r="AJ1055" s="109"/>
      <c r="AK1055" s="109"/>
      <c r="AL1055" s="109"/>
      <c r="AM1055" s="109"/>
      <c r="AN1055" s="109"/>
      <c r="AO1055" s="109"/>
      <c r="AP1055" s="109"/>
      <c r="AQ1055" s="109"/>
      <c r="AR1055" s="109"/>
      <c r="AS1055" s="109"/>
    </row>
    <row r="1056" spans="1:45" ht="12.6" customHeight="1" x14ac:dyDescent="0.3">
      <c r="A1056" s="68"/>
      <c r="B1056" s="77" t="s">
        <v>1592</v>
      </c>
      <c r="C1056" s="78"/>
      <c r="D1056" s="78"/>
      <c r="E1056" s="78"/>
      <c r="F1056" s="78"/>
      <c r="G1056" s="16" t="s">
        <v>1591</v>
      </c>
      <c r="Z1056" s="109"/>
      <c r="AA1056" s="109"/>
      <c r="AB1056" s="109"/>
      <c r="AC1056" s="109"/>
      <c r="AD1056" s="109"/>
      <c r="AE1056" s="109"/>
      <c r="AF1056" s="109"/>
      <c r="AG1056" s="109"/>
      <c r="AH1056" s="109"/>
      <c r="AI1056" s="109"/>
      <c r="AJ1056" s="109"/>
      <c r="AK1056" s="109"/>
      <c r="AL1056" s="109"/>
      <c r="AM1056" s="109"/>
      <c r="AN1056" s="109"/>
      <c r="AO1056" s="109"/>
      <c r="AP1056" s="109"/>
      <c r="AQ1056" s="109"/>
      <c r="AR1056" s="109"/>
      <c r="AS1056" s="109"/>
    </row>
    <row r="1057" spans="1:45" ht="12.6" customHeight="1" x14ac:dyDescent="0.3">
      <c r="A1057" s="78"/>
      <c r="B1057" s="78"/>
      <c r="C1057" s="78"/>
      <c r="D1057" s="78"/>
      <c r="E1057" s="78"/>
      <c r="F1057" s="78"/>
      <c r="G1057" s="16" t="s">
        <v>1317</v>
      </c>
      <c r="Z1057" s="109"/>
      <c r="AA1057" s="109"/>
      <c r="AB1057" s="109"/>
      <c r="AC1057" s="109"/>
      <c r="AD1057" s="109"/>
      <c r="AE1057" s="109"/>
      <c r="AF1057" s="109"/>
      <c r="AG1057" s="109"/>
      <c r="AH1057" s="109"/>
      <c r="AI1057" s="109"/>
      <c r="AJ1057" s="109"/>
      <c r="AK1057" s="109"/>
      <c r="AL1057" s="109"/>
      <c r="AM1057" s="109"/>
      <c r="AN1057" s="109"/>
      <c r="AO1057" s="109"/>
      <c r="AP1057" s="109"/>
      <c r="AQ1057" s="109"/>
      <c r="AR1057" s="109"/>
      <c r="AS1057" s="109"/>
    </row>
    <row r="1058" spans="1:45" ht="12.6" customHeight="1" x14ac:dyDescent="0.3">
      <c r="A1058" s="68"/>
      <c r="B1058" s="97" t="str">
        <f>" q (버킷용량)  = "&amp;Z1058&amp;"/"&amp;AB1058&amp;" = "&amp;AD1058&amp;" m2  , f (체적환산계수)  = "&amp;AF1058&amp;""</f>
        <v xml:space="preserve"> q (버킷용량)  = 3/16 = 0.19 m2  , f (체적환산계수)  = 1</v>
      </c>
      <c r="C1058" s="78"/>
      <c r="D1058" s="78"/>
      <c r="E1058" s="78"/>
      <c r="F1058" s="78"/>
      <c r="G1058" s="16" t="s">
        <v>1743</v>
      </c>
      <c r="Z1058" s="111">
        <v>3</v>
      </c>
      <c r="AA1058" s="20" t="s">
        <v>1387</v>
      </c>
      <c r="AB1058" s="111">
        <v>16</v>
      </c>
      <c r="AC1058" s="20" t="s">
        <v>1326</v>
      </c>
      <c r="AD1058" s="112" t="str">
        <f>TEXT(ROUND(Z1058/AB1058,2),"0.00")</f>
        <v>0.19</v>
      </c>
      <c r="AE1058" s="20" t="s">
        <v>1385</v>
      </c>
      <c r="AF1058" s="111">
        <v>1</v>
      </c>
      <c r="AG1058" s="20" t="s">
        <v>1326</v>
      </c>
      <c r="AH1058" s="112">
        <f>AF1058</f>
        <v>1</v>
      </c>
      <c r="AI1058" s="20" t="s">
        <v>1385</v>
      </c>
      <c r="AJ1058" s="109"/>
      <c r="AK1058" s="109"/>
      <c r="AL1058" s="109"/>
      <c r="AM1058" s="109"/>
      <c r="AN1058" s="109"/>
      <c r="AO1058" s="109"/>
      <c r="AP1058" s="109"/>
      <c r="AQ1058" s="109"/>
      <c r="AR1058" s="109"/>
      <c r="AS1058" s="109"/>
    </row>
    <row r="1059" spans="1:45" ht="12.6" customHeight="1" x14ac:dyDescent="0.3">
      <c r="A1059" s="78"/>
      <c r="B1059" s="78"/>
      <c r="C1059" s="78"/>
      <c r="D1059" s="78"/>
      <c r="E1059" s="78"/>
      <c r="F1059" s="78"/>
      <c r="G1059" s="16" t="s">
        <v>1317</v>
      </c>
      <c r="Z1059" s="109"/>
      <c r="AA1059" s="109"/>
      <c r="AB1059" s="109"/>
      <c r="AC1059" s="109"/>
      <c r="AD1059" s="109"/>
      <c r="AE1059" s="109"/>
      <c r="AF1059" s="109"/>
      <c r="AG1059" s="109"/>
      <c r="AH1059" s="109"/>
      <c r="AI1059" s="109"/>
      <c r="AJ1059" s="109"/>
      <c r="AK1059" s="109"/>
      <c r="AL1059" s="109"/>
      <c r="AM1059" s="109"/>
      <c r="AN1059" s="109"/>
      <c r="AO1059" s="109"/>
      <c r="AP1059" s="109"/>
      <c r="AQ1059" s="109"/>
      <c r="AR1059" s="109"/>
      <c r="AS1059" s="109"/>
    </row>
    <row r="1060" spans="1:45" ht="12.6" customHeight="1" x14ac:dyDescent="0.3">
      <c r="A1060" s="68"/>
      <c r="B1060" s="97" t="str">
        <f>" K  (버킷계수) = "&amp;Z1060&amp;""</f>
        <v xml:space="preserve"> K  (버킷계수) = 0.7</v>
      </c>
      <c r="C1060" s="78"/>
      <c r="D1060" s="78"/>
      <c r="E1060" s="78"/>
      <c r="F1060" s="78"/>
      <c r="G1060" s="16" t="s">
        <v>1594</v>
      </c>
      <c r="Z1060" s="110">
        <v>0.7</v>
      </c>
      <c r="AA1060" s="20" t="s">
        <v>1326</v>
      </c>
      <c r="AB1060" s="112">
        <f>Z1060</f>
        <v>0.7</v>
      </c>
      <c r="AC1060" s="109"/>
      <c r="AD1060" s="109"/>
      <c r="AE1060" s="109"/>
      <c r="AF1060" s="109"/>
      <c r="AG1060" s="109"/>
      <c r="AH1060" s="109"/>
      <c r="AI1060" s="109"/>
      <c r="AJ1060" s="109"/>
      <c r="AK1060" s="109"/>
      <c r="AL1060" s="109"/>
      <c r="AM1060" s="109"/>
      <c r="AN1060" s="109"/>
      <c r="AO1060" s="109"/>
      <c r="AP1060" s="109"/>
      <c r="AQ1060" s="109"/>
      <c r="AR1060" s="109"/>
      <c r="AS1060" s="109"/>
    </row>
    <row r="1061" spans="1:45" ht="12.6" customHeight="1" x14ac:dyDescent="0.3">
      <c r="A1061" s="78"/>
      <c r="B1061" s="78"/>
      <c r="C1061" s="78"/>
      <c r="D1061" s="78"/>
      <c r="E1061" s="78"/>
      <c r="F1061" s="78"/>
      <c r="G1061" s="16" t="s">
        <v>1317</v>
      </c>
      <c r="Z1061" s="109"/>
      <c r="AA1061" s="109"/>
      <c r="AB1061" s="109"/>
      <c r="AC1061" s="109"/>
      <c r="AD1061" s="109"/>
      <c r="AE1061" s="109"/>
      <c r="AF1061" s="109"/>
      <c r="AG1061" s="109"/>
      <c r="AH1061" s="109"/>
      <c r="AI1061" s="109"/>
      <c r="AJ1061" s="109"/>
      <c r="AK1061" s="109"/>
      <c r="AL1061" s="109"/>
      <c r="AM1061" s="109"/>
      <c r="AN1061" s="109"/>
      <c r="AO1061" s="109"/>
      <c r="AP1061" s="109"/>
      <c r="AQ1061" s="109"/>
      <c r="AR1061" s="109"/>
      <c r="AS1061" s="109"/>
    </row>
    <row r="1062" spans="1:45" ht="12.6" customHeight="1" x14ac:dyDescent="0.3">
      <c r="A1062" s="68"/>
      <c r="B1062" s="97" t="str">
        <f>" Cm1 (1회ㅣ 사이클시간(초))  = "&amp;Z1062&amp;" sec (135˚) "</f>
        <v xml:space="preserve"> Cm1 (1회ㅣ 사이클시간(초))  = 20 sec (135˚) </v>
      </c>
      <c r="C1062" s="78"/>
      <c r="D1062" s="78"/>
      <c r="E1062" s="78"/>
      <c r="F1062" s="78"/>
      <c r="G1062" s="16" t="s">
        <v>1595</v>
      </c>
      <c r="Z1062" s="111">
        <v>20</v>
      </c>
      <c r="AA1062" s="20" t="s">
        <v>1326</v>
      </c>
      <c r="AB1062" s="112">
        <f>Z1062</f>
        <v>20</v>
      </c>
      <c r="AC1062" s="109"/>
      <c r="AD1062" s="109"/>
      <c r="AE1062" s="109"/>
      <c r="AF1062" s="109"/>
      <c r="AG1062" s="109"/>
      <c r="AH1062" s="109"/>
      <c r="AI1062" s="109"/>
      <c r="AJ1062" s="109"/>
      <c r="AK1062" s="109"/>
      <c r="AL1062" s="109"/>
      <c r="AM1062" s="109"/>
      <c r="AN1062" s="109"/>
      <c r="AO1062" s="109"/>
      <c r="AP1062" s="109"/>
      <c r="AQ1062" s="109"/>
      <c r="AR1062" s="109"/>
      <c r="AS1062" s="109"/>
    </row>
    <row r="1063" spans="1:45" ht="12.6" customHeight="1" x14ac:dyDescent="0.3">
      <c r="A1063" s="78"/>
      <c r="B1063" s="78"/>
      <c r="C1063" s="78"/>
      <c r="D1063" s="78"/>
      <c r="E1063" s="78"/>
      <c r="F1063" s="78"/>
      <c r="G1063" s="16" t="s">
        <v>1317</v>
      </c>
      <c r="Z1063" s="109"/>
      <c r="AA1063" s="109"/>
      <c r="AB1063" s="109"/>
      <c r="AC1063" s="109"/>
      <c r="AD1063" s="109"/>
      <c r="AE1063" s="109"/>
      <c r="AF1063" s="109"/>
      <c r="AG1063" s="109"/>
      <c r="AH1063" s="109"/>
      <c r="AI1063" s="109"/>
      <c r="AJ1063" s="109"/>
      <c r="AK1063" s="109"/>
      <c r="AL1063" s="109"/>
      <c r="AM1063" s="109"/>
      <c r="AN1063" s="109"/>
      <c r="AO1063" s="109"/>
      <c r="AP1063" s="109"/>
      <c r="AQ1063" s="109"/>
      <c r="AR1063" s="109"/>
      <c r="AS1063" s="109"/>
    </row>
    <row r="1064" spans="1:45" ht="12.6" customHeight="1" x14ac:dyDescent="0.3">
      <c r="A1064" s="68"/>
      <c r="B1064" s="97" t="str">
        <f>" E1 (작업효율)  = "&amp;Z1064&amp;""</f>
        <v xml:space="preserve"> E1 (작업효율)  = 0.45</v>
      </c>
      <c r="C1064" s="78"/>
      <c r="D1064" s="78"/>
      <c r="E1064" s="78"/>
      <c r="F1064" s="78"/>
      <c r="G1064" s="16" t="s">
        <v>1596</v>
      </c>
      <c r="Z1064" s="110">
        <v>0.45</v>
      </c>
      <c r="AA1064" s="20" t="s">
        <v>1326</v>
      </c>
      <c r="AB1064" s="112">
        <f>Z1064</f>
        <v>0.45</v>
      </c>
      <c r="AC1064" s="109"/>
      <c r="AD1064" s="109"/>
      <c r="AE1064" s="109"/>
      <c r="AF1064" s="109"/>
      <c r="AG1064" s="109"/>
      <c r="AH1064" s="109"/>
      <c r="AI1064" s="109"/>
      <c r="AJ1064" s="109"/>
      <c r="AK1064" s="109"/>
      <c r="AL1064" s="109"/>
      <c r="AM1064" s="109"/>
      <c r="AN1064" s="109"/>
      <c r="AO1064" s="109"/>
      <c r="AP1064" s="109"/>
      <c r="AQ1064" s="109"/>
      <c r="AR1064" s="109"/>
      <c r="AS1064" s="109"/>
    </row>
    <row r="1065" spans="1:45" ht="12.6" customHeight="1" x14ac:dyDescent="0.3">
      <c r="A1065" s="78"/>
      <c r="B1065" s="78"/>
      <c r="C1065" s="78"/>
      <c r="D1065" s="78"/>
      <c r="E1065" s="78"/>
      <c r="F1065" s="78"/>
      <c r="G1065" s="16" t="s">
        <v>1317</v>
      </c>
      <c r="Z1065" s="109"/>
      <c r="AA1065" s="109"/>
      <c r="AB1065" s="109"/>
      <c r="AC1065" s="109"/>
      <c r="AD1065" s="109"/>
      <c r="AE1065" s="109"/>
      <c r="AF1065" s="109"/>
      <c r="AG1065" s="109"/>
      <c r="AH1065" s="109"/>
      <c r="AI1065" s="109"/>
      <c r="AJ1065" s="109"/>
      <c r="AK1065" s="109"/>
      <c r="AL1065" s="109"/>
      <c r="AM1065" s="109"/>
      <c r="AN1065" s="109"/>
      <c r="AO1065" s="109"/>
      <c r="AP1065" s="109"/>
      <c r="AQ1065" s="109"/>
      <c r="AR1065" s="109"/>
      <c r="AS1065" s="109"/>
    </row>
    <row r="1066" spans="1:45" ht="12.6" customHeight="1" x14ac:dyDescent="0.3">
      <c r="A1066" s="68"/>
      <c r="B1066" s="97" t="str">
        <f>" Q (시간당작업량)  = "&amp;Z1066&amp;"*q*K*f*E1/Cm1 = "&amp;AL1066&amp;" m2/hr "</f>
        <v xml:space="preserve"> Q (시간당작업량)  = 3600*q*K*f*E1/Cm1 = 10.77 m2/hr </v>
      </c>
      <c r="C1066" s="78"/>
      <c r="D1066" s="78"/>
      <c r="E1066" s="78"/>
      <c r="F1066" s="78"/>
      <c r="G1066" s="16" t="s">
        <v>1597</v>
      </c>
      <c r="Z1066" s="111">
        <v>3600</v>
      </c>
      <c r="AA1066" s="20" t="s">
        <v>1390</v>
      </c>
      <c r="AB1066" s="112" t="str">
        <f>AD1058</f>
        <v>0.19</v>
      </c>
      <c r="AC1066" s="20" t="s">
        <v>1390</v>
      </c>
      <c r="AD1066" s="112">
        <f>AB1060</f>
        <v>0.7</v>
      </c>
      <c r="AE1066" s="20" t="s">
        <v>1390</v>
      </c>
      <c r="AF1066" s="112">
        <f>AH1058</f>
        <v>1</v>
      </c>
      <c r="AG1066" s="20" t="s">
        <v>1390</v>
      </c>
      <c r="AH1066" s="112">
        <f>AB1064</f>
        <v>0.45</v>
      </c>
      <c r="AI1066" s="20" t="s">
        <v>1387</v>
      </c>
      <c r="AJ1066" s="112">
        <f>AB1062</f>
        <v>20</v>
      </c>
      <c r="AK1066" s="20" t="s">
        <v>1326</v>
      </c>
      <c r="AL1066" s="112" t="str">
        <f>TEXT(ROUND(Z1066*AD1058*AB1060*AH1058*AB1064/AB1062,2),"0.00")</f>
        <v>10.77</v>
      </c>
      <c r="AM1066" s="109"/>
      <c r="AN1066" s="109"/>
      <c r="AO1066" s="109"/>
      <c r="AP1066" s="109"/>
      <c r="AQ1066" s="109"/>
      <c r="AR1066" s="109"/>
      <c r="AS1066" s="109"/>
    </row>
    <row r="1067" spans="1:45" ht="12.6" customHeight="1" x14ac:dyDescent="0.3">
      <c r="A1067" s="78"/>
      <c r="B1067" s="78"/>
      <c r="C1067" s="78"/>
      <c r="D1067" s="78"/>
      <c r="E1067" s="78"/>
      <c r="F1067" s="78"/>
      <c r="G1067" s="16" t="s">
        <v>1317</v>
      </c>
      <c r="Z1067" s="109"/>
      <c r="AA1067" s="109"/>
      <c r="AB1067" s="109"/>
      <c r="AC1067" s="109"/>
      <c r="AD1067" s="109"/>
      <c r="AE1067" s="109"/>
      <c r="AF1067" s="109"/>
      <c r="AG1067" s="109"/>
      <c r="AH1067" s="109"/>
      <c r="AI1067" s="109"/>
      <c r="AJ1067" s="109"/>
      <c r="AK1067" s="109"/>
      <c r="AL1067" s="109"/>
      <c r="AM1067" s="109"/>
      <c r="AN1067" s="109"/>
      <c r="AO1067" s="109"/>
      <c r="AP1067" s="109"/>
      <c r="AQ1067" s="109"/>
      <c r="AR1067" s="109"/>
      <c r="AS1067" s="109"/>
    </row>
    <row r="1068" spans="1:45" ht="12.6" customHeight="1" x14ac:dyDescent="0.3">
      <c r="A1068" s="68" t="s">
        <v>1441</v>
      </c>
      <c r="B1068" s="97" t="str">
        <f>" 노 무 비  : "&amp;TEXT(I1068,"#,##0"&amp;IF(I1068&lt;&gt;INT(I1068),".###",""))&amp;" / Q  = "&amp;TEXT(C1068,"#,##0.0")&amp;""</f>
        <v xml:space="preserve"> 노 무 비  : 55,700 / Q  = 5,171.7</v>
      </c>
      <c r="C1068" s="99">
        <f>E1068+D1068+F1068</f>
        <v>5171.7</v>
      </c>
      <c r="D1068" s="99">
        <f>IF(H1068=0,0,ROUNDDOWN(J1068*H1068,1))</f>
        <v>5171.7</v>
      </c>
      <c r="E1068" s="99">
        <f>IF(H1068=0,0,ROUNDDOWN(K1068*H1068,1))</f>
        <v>0</v>
      </c>
      <c r="F1068" s="99">
        <f>IF(H1068=0,0,ROUNDDOWN(L1068*H1068,1))</f>
        <v>0</v>
      </c>
      <c r="G1068" s="16" t="s">
        <v>1598</v>
      </c>
      <c r="H1068" s="105">
        <f>AC1068</f>
        <v>9.2850510677808737E-2</v>
      </c>
      <c r="I1068" s="106">
        <f>K1068+J1068+L1068</f>
        <v>55700</v>
      </c>
      <c r="J1068" s="39">
        <f>중기목록표!F9</f>
        <v>55700</v>
      </c>
      <c r="M1068" s="20" t="s">
        <v>1442</v>
      </c>
      <c r="N1068" s="20" t="s">
        <v>1332</v>
      </c>
      <c r="X1068" s="108" t="str">
        <f>중기목록표!B9&amp;" / "&amp;중기목록표!C9</f>
        <v>굴삭기(0.7m3) / 0.7㎥,(암석)</v>
      </c>
      <c r="Y1068" s="19" t="str">
        <f ca="1">HYPERLINK("#"&amp;중기목록표!J2&amp;"!A"&amp;ROW(중기목록표!A9),"중기    6 →")</f>
        <v>중기    6 →</v>
      </c>
      <c r="Z1068" s="20" t="s">
        <v>1393</v>
      </c>
      <c r="AA1068" s="112" t="str">
        <f>AL1066</f>
        <v>10.77</v>
      </c>
      <c r="AB1068" s="20" t="s">
        <v>1326</v>
      </c>
      <c r="AC1068" s="113">
        <f>1/AL1066</f>
        <v>9.2850510677808737E-2</v>
      </c>
      <c r="AD1068" s="109"/>
      <c r="AE1068" s="109"/>
      <c r="AF1068" s="109"/>
      <c r="AG1068" s="109"/>
      <c r="AH1068" s="109"/>
      <c r="AI1068" s="109"/>
      <c r="AJ1068" s="109"/>
      <c r="AK1068" s="109"/>
      <c r="AL1068" s="109"/>
      <c r="AM1068" s="109"/>
      <c r="AN1068" s="109"/>
      <c r="AO1068" s="109"/>
      <c r="AP1068" s="109"/>
      <c r="AQ1068" s="109"/>
      <c r="AR1068" s="109"/>
      <c r="AS1068" s="109"/>
    </row>
    <row r="1069" spans="1:45" ht="12.6" customHeight="1" x14ac:dyDescent="0.3">
      <c r="A1069" s="78"/>
      <c r="B1069" s="78"/>
      <c r="C1069" s="78"/>
      <c r="D1069" s="78"/>
      <c r="E1069" s="78"/>
      <c r="F1069" s="78"/>
      <c r="G1069" s="16" t="s">
        <v>1317</v>
      </c>
      <c r="Z1069" s="109"/>
      <c r="AA1069" s="109"/>
      <c r="AB1069" s="109"/>
      <c r="AC1069" s="109"/>
      <c r="AD1069" s="109"/>
      <c r="AE1069" s="109"/>
      <c r="AF1069" s="109"/>
      <c r="AG1069" s="109"/>
      <c r="AH1069" s="109"/>
      <c r="AI1069" s="109"/>
      <c r="AJ1069" s="109"/>
      <c r="AK1069" s="109"/>
      <c r="AL1069" s="109"/>
      <c r="AM1069" s="109"/>
      <c r="AN1069" s="109"/>
      <c r="AO1069" s="109"/>
      <c r="AP1069" s="109"/>
      <c r="AQ1069" s="109"/>
      <c r="AR1069" s="109"/>
      <c r="AS1069" s="109"/>
    </row>
    <row r="1070" spans="1:45" ht="12.6" customHeight="1" x14ac:dyDescent="0.3">
      <c r="A1070" s="68" t="s">
        <v>1444</v>
      </c>
      <c r="B1070" s="97" t="str">
        <f>" 재 료 비  : "&amp;TEXT(I1070,"#,##0"&amp;IF(I1070&lt;&gt;INT(I1070),".###",""))&amp;" / Q  = "&amp;TEXT(C1070,"#,##0.0")&amp;""</f>
        <v xml:space="preserve"> 재 료 비  : 18,001 / Q  = 1,671.4</v>
      </c>
      <c r="C1070" s="99">
        <f>E1070+D1070+F1070</f>
        <v>1671.4</v>
      </c>
      <c r="D1070" s="99">
        <f>IF(H1070=0,0,ROUNDDOWN(J1070*H1070,1))</f>
        <v>0</v>
      </c>
      <c r="E1070" s="99">
        <f>IF(H1070=0,0,ROUNDDOWN(K1070*H1070,1))</f>
        <v>1671.4</v>
      </c>
      <c r="F1070" s="99">
        <f>IF(H1070=0,0,ROUNDDOWN(L1070*H1070,1))</f>
        <v>0</v>
      </c>
      <c r="G1070" s="16" t="s">
        <v>1599</v>
      </c>
      <c r="H1070" s="105">
        <f>AC1070</f>
        <v>9.2850510677808737E-2</v>
      </c>
      <c r="I1070" s="106">
        <f>K1070+J1070+L1070</f>
        <v>18001</v>
      </c>
      <c r="K1070" s="39">
        <f>중기목록표!G9</f>
        <v>18001</v>
      </c>
      <c r="M1070" s="20" t="s">
        <v>1442</v>
      </c>
      <c r="N1070" s="20" t="s">
        <v>1332</v>
      </c>
      <c r="X1070" s="108" t="str">
        <f>중기목록표!B9&amp;" / "&amp;중기목록표!C9</f>
        <v>굴삭기(0.7m3) / 0.7㎥,(암석)</v>
      </c>
      <c r="Y1070" s="19" t="str">
        <f ca="1">HYPERLINK("#"&amp;중기목록표!J2&amp;"!A"&amp;ROW(중기목록표!A9),"중기    6 →")</f>
        <v>중기    6 →</v>
      </c>
      <c r="Z1070" s="20" t="s">
        <v>1393</v>
      </c>
      <c r="AA1070" s="112" t="str">
        <f>AL1066</f>
        <v>10.77</v>
      </c>
      <c r="AB1070" s="20" t="s">
        <v>1326</v>
      </c>
      <c r="AC1070" s="113">
        <f>1/AL1066</f>
        <v>9.2850510677808737E-2</v>
      </c>
      <c r="AD1070" s="109"/>
      <c r="AE1070" s="109"/>
      <c r="AF1070" s="109"/>
      <c r="AG1070" s="109"/>
      <c r="AH1070" s="109"/>
      <c r="AI1070" s="109"/>
      <c r="AJ1070" s="109"/>
      <c r="AK1070" s="109"/>
      <c r="AL1070" s="109"/>
      <c r="AM1070" s="109"/>
      <c r="AN1070" s="109"/>
      <c r="AO1070" s="109"/>
      <c r="AP1070" s="109"/>
      <c r="AQ1070" s="109"/>
      <c r="AR1070" s="109"/>
      <c r="AS1070" s="109"/>
    </row>
    <row r="1071" spans="1:45" ht="12.6" customHeight="1" x14ac:dyDescent="0.3">
      <c r="A1071" s="78"/>
      <c r="B1071" s="78"/>
      <c r="C1071" s="78"/>
      <c r="D1071" s="78"/>
      <c r="E1071" s="78"/>
      <c r="F1071" s="78"/>
      <c r="G1071" s="16" t="s">
        <v>1317</v>
      </c>
      <c r="Z1071" s="109"/>
      <c r="AA1071" s="109"/>
      <c r="AB1071" s="109"/>
      <c r="AC1071" s="109"/>
      <c r="AD1071" s="109"/>
      <c r="AE1071" s="109"/>
      <c r="AF1071" s="109"/>
      <c r="AG1071" s="109"/>
      <c r="AH1071" s="109"/>
      <c r="AI1071" s="109"/>
      <c r="AJ1071" s="109"/>
      <c r="AK1071" s="109"/>
      <c r="AL1071" s="109"/>
      <c r="AM1071" s="109"/>
      <c r="AN1071" s="109"/>
      <c r="AO1071" s="109"/>
      <c r="AP1071" s="109"/>
      <c r="AQ1071" s="109"/>
      <c r="AR1071" s="109"/>
      <c r="AS1071" s="109"/>
    </row>
    <row r="1072" spans="1:45" ht="12.6" customHeight="1" x14ac:dyDescent="0.3">
      <c r="A1072" s="68" t="s">
        <v>1446</v>
      </c>
      <c r="B1072" s="97" t="str">
        <f>" 경    비  : "&amp;TEXT(I1072,"#,##0"&amp;IF(I1072&lt;&gt;INT(I1072),".###",""))&amp;" / Q  = "&amp;TEXT(C1072,"#,##0.0")&amp;""</f>
        <v xml:space="preserve"> 경    비  : 26,677 / Q  = 2,476.9</v>
      </c>
      <c r="C1072" s="99">
        <f>E1072+D1072+F1072</f>
        <v>2476.9</v>
      </c>
      <c r="D1072" s="99">
        <f>IF(H1072=0,0,ROUNDDOWN(J1072*H1072,1))</f>
        <v>0</v>
      </c>
      <c r="E1072" s="99">
        <f>IF(H1072=0,0,ROUNDDOWN(K1072*H1072,1))</f>
        <v>0</v>
      </c>
      <c r="F1072" s="99">
        <f>IF(H1072=0,0,ROUNDDOWN(L1072*H1072,1))</f>
        <v>2476.9</v>
      </c>
      <c r="G1072" s="16" t="s">
        <v>1600</v>
      </c>
      <c r="H1072" s="105">
        <f>AC1072</f>
        <v>9.2850510677808737E-2</v>
      </c>
      <c r="I1072" s="106">
        <f>K1072+J1072+L1072</f>
        <v>26677</v>
      </c>
      <c r="L1072" s="39">
        <f>중기목록표!H9</f>
        <v>26677</v>
      </c>
      <c r="M1072" s="20" t="s">
        <v>1442</v>
      </c>
      <c r="N1072" s="20" t="s">
        <v>1332</v>
      </c>
      <c r="X1072" s="108" t="str">
        <f>중기목록표!B9&amp;" / "&amp;중기목록표!C9</f>
        <v>굴삭기(0.7m3) / 0.7㎥,(암석)</v>
      </c>
      <c r="Y1072" s="19" t="str">
        <f ca="1">HYPERLINK("#"&amp;중기목록표!J2&amp;"!A"&amp;ROW(중기목록표!A9),"중기    6 →")</f>
        <v>중기    6 →</v>
      </c>
      <c r="Z1072" s="20" t="s">
        <v>1393</v>
      </c>
      <c r="AA1072" s="112" t="str">
        <f>AL1066</f>
        <v>10.77</v>
      </c>
      <c r="AB1072" s="20" t="s">
        <v>1326</v>
      </c>
      <c r="AC1072" s="113">
        <f>1/AL1066</f>
        <v>9.2850510677808737E-2</v>
      </c>
      <c r="AD1072" s="109"/>
      <c r="AE1072" s="109"/>
      <c r="AF1072" s="109"/>
      <c r="AG1072" s="109"/>
      <c r="AH1072" s="109"/>
      <c r="AI1072" s="109"/>
      <c r="AJ1072" s="109"/>
      <c r="AK1072" s="109"/>
      <c r="AL1072" s="109"/>
      <c r="AM1072" s="109"/>
      <c r="AN1072" s="109"/>
      <c r="AO1072" s="109"/>
      <c r="AP1072" s="109"/>
      <c r="AQ1072" s="109"/>
      <c r="AR1072" s="109"/>
      <c r="AS1072" s="109"/>
    </row>
    <row r="1073" spans="1:45" ht="12.6" customHeight="1" x14ac:dyDescent="0.3">
      <c r="A1073" s="78"/>
      <c r="B1073" s="78"/>
      <c r="C1073" s="78"/>
      <c r="D1073" s="78"/>
      <c r="E1073" s="78"/>
      <c r="F1073" s="78"/>
      <c r="G1073" s="16" t="s">
        <v>1317</v>
      </c>
      <c r="Z1073" s="109"/>
      <c r="AA1073" s="109"/>
      <c r="AB1073" s="109"/>
      <c r="AC1073" s="109"/>
      <c r="AD1073" s="109"/>
      <c r="AE1073" s="109"/>
      <c r="AF1073" s="109"/>
      <c r="AG1073" s="109"/>
      <c r="AH1073" s="109"/>
      <c r="AI1073" s="109"/>
      <c r="AJ1073" s="109"/>
      <c r="AK1073" s="109"/>
      <c r="AL1073" s="109"/>
      <c r="AM1073" s="109"/>
      <c r="AN1073" s="109"/>
      <c r="AO1073" s="109"/>
      <c r="AP1073" s="109"/>
      <c r="AQ1073" s="109"/>
      <c r="AR1073" s="109"/>
      <c r="AS1073" s="109"/>
    </row>
    <row r="1074" spans="1:45" ht="12.6" customHeight="1" x14ac:dyDescent="0.3">
      <c r="A1074" s="68"/>
      <c r="B1074" s="77" t="s">
        <v>1331</v>
      </c>
      <c r="C1074" s="100">
        <f>E1074+D1074+F1074</f>
        <v>9320</v>
      </c>
      <c r="D1074" s="100">
        <f>SUMIF(N1053:N1073,M1074,D1053:D1073)</f>
        <v>5171.7</v>
      </c>
      <c r="E1074" s="100">
        <f>SUMIF(N1053:N1073,M1074,E1053:E1073)</f>
        <v>1671.4</v>
      </c>
      <c r="F1074" s="100">
        <f>SUMIF(N1053:N1073,M1074,F1053:F1073)</f>
        <v>2476.9</v>
      </c>
      <c r="G1074" s="16" t="s">
        <v>1415</v>
      </c>
      <c r="M1074" s="20" t="s">
        <v>1332</v>
      </c>
      <c r="N1074" s="20" t="s">
        <v>1341</v>
      </c>
      <c r="Z1074" s="109"/>
      <c r="AA1074" s="109"/>
      <c r="AB1074" s="109"/>
      <c r="AC1074" s="109"/>
      <c r="AD1074" s="109"/>
      <c r="AE1074" s="109"/>
      <c r="AF1074" s="109"/>
      <c r="AG1074" s="109"/>
      <c r="AH1074" s="109"/>
      <c r="AI1074" s="109"/>
      <c r="AJ1074" s="109"/>
      <c r="AK1074" s="109"/>
      <c r="AL1074" s="109"/>
      <c r="AM1074" s="109"/>
      <c r="AN1074" s="109"/>
      <c r="AO1074" s="109"/>
      <c r="AP1074" s="109"/>
      <c r="AQ1074" s="109"/>
      <c r="AR1074" s="109"/>
      <c r="AS1074" s="109"/>
    </row>
    <row r="1075" spans="1:45" ht="12.6" customHeight="1" x14ac:dyDescent="0.3">
      <c r="A1075" s="78"/>
      <c r="B1075" s="78"/>
      <c r="C1075" s="98"/>
      <c r="D1075" s="98"/>
      <c r="E1075" s="98"/>
      <c r="F1075" s="98"/>
      <c r="G1075" s="16" t="s">
        <v>1317</v>
      </c>
      <c r="Z1075" s="109"/>
      <c r="AA1075" s="109"/>
      <c r="AB1075" s="109"/>
      <c r="AC1075" s="109"/>
      <c r="AD1075" s="109"/>
      <c r="AE1075" s="109"/>
      <c r="AF1075" s="109"/>
      <c r="AG1075" s="109"/>
      <c r="AH1075" s="109"/>
      <c r="AI1075" s="109"/>
      <c r="AJ1075" s="109"/>
      <c r="AK1075" s="109"/>
      <c r="AL1075" s="109"/>
      <c r="AM1075" s="109"/>
      <c r="AN1075" s="109"/>
      <c r="AO1075" s="109"/>
      <c r="AP1075" s="109"/>
      <c r="AQ1075" s="109"/>
      <c r="AR1075" s="109"/>
      <c r="AS1075" s="109"/>
    </row>
    <row r="1076" spans="1:45" ht="12.6" customHeight="1" x14ac:dyDescent="0.3">
      <c r="A1076" s="78"/>
      <c r="B1076" s="78"/>
      <c r="C1076" s="78"/>
      <c r="D1076" s="78"/>
      <c r="E1076" s="78"/>
      <c r="F1076" s="78"/>
      <c r="G1076" s="16" t="s">
        <v>1317</v>
      </c>
      <c r="Z1076" s="109"/>
      <c r="AA1076" s="109"/>
      <c r="AB1076" s="109"/>
      <c r="AC1076" s="109"/>
      <c r="AD1076" s="109"/>
      <c r="AE1076" s="109"/>
      <c r="AF1076" s="109"/>
      <c r="AG1076" s="109"/>
      <c r="AH1076" s="109"/>
      <c r="AI1076" s="109"/>
      <c r="AJ1076" s="109"/>
      <c r="AK1076" s="109"/>
      <c r="AL1076" s="109"/>
      <c r="AM1076" s="109"/>
      <c r="AN1076" s="109"/>
      <c r="AO1076" s="109"/>
      <c r="AP1076" s="109"/>
      <c r="AQ1076" s="109"/>
      <c r="AR1076" s="109"/>
      <c r="AS1076" s="109"/>
    </row>
    <row r="1077" spans="1:45" ht="12.6" customHeight="1" x14ac:dyDescent="0.3">
      <c r="A1077" s="68"/>
      <c r="B1077" s="77" t="s">
        <v>1602</v>
      </c>
      <c r="C1077" s="78"/>
      <c r="D1077" s="78"/>
      <c r="E1077" s="78"/>
      <c r="F1077" s="78"/>
      <c r="G1077" s="16" t="s">
        <v>1601</v>
      </c>
      <c r="Z1077" s="109"/>
      <c r="AA1077" s="109"/>
      <c r="AB1077" s="109"/>
      <c r="AC1077" s="109"/>
      <c r="AD1077" s="109"/>
      <c r="AE1077" s="109"/>
      <c r="AF1077" s="109"/>
      <c r="AG1077" s="109"/>
      <c r="AH1077" s="109"/>
      <c r="AI1077" s="109"/>
      <c r="AJ1077" s="109"/>
      <c r="AK1077" s="109"/>
      <c r="AL1077" s="109"/>
      <c r="AM1077" s="109"/>
      <c r="AN1077" s="109"/>
      <c r="AO1077" s="109"/>
      <c r="AP1077" s="109"/>
      <c r="AQ1077" s="109"/>
      <c r="AR1077" s="109"/>
      <c r="AS1077" s="109"/>
    </row>
    <row r="1078" spans="1:45" ht="12.6" customHeight="1" x14ac:dyDescent="0.3">
      <c r="A1078" s="78"/>
      <c r="B1078" s="78"/>
      <c r="C1078" s="78"/>
      <c r="D1078" s="78"/>
      <c r="E1078" s="78"/>
      <c r="F1078" s="78"/>
      <c r="G1078" s="16" t="s">
        <v>1317</v>
      </c>
      <c r="Z1078" s="109"/>
      <c r="AA1078" s="109"/>
      <c r="AB1078" s="109"/>
      <c r="AC1078" s="109"/>
      <c r="AD1078" s="109"/>
      <c r="AE1078" s="109"/>
      <c r="AF1078" s="109"/>
      <c r="AG1078" s="109"/>
      <c r="AH1078" s="109"/>
      <c r="AI1078" s="109"/>
      <c r="AJ1078" s="109"/>
      <c r="AK1078" s="109"/>
      <c r="AL1078" s="109"/>
      <c r="AM1078" s="109"/>
      <c r="AN1078" s="109"/>
      <c r="AO1078" s="109"/>
      <c r="AP1078" s="109"/>
      <c r="AQ1078" s="109"/>
      <c r="AR1078" s="109"/>
      <c r="AS1078" s="109"/>
    </row>
    <row r="1079" spans="1:45" ht="12.6" customHeight="1" x14ac:dyDescent="0.3">
      <c r="A1079" s="68"/>
      <c r="B1079" s="97" t="str">
        <f>"L (운반거리)  = "&amp;Z1079&amp;"  Km "</f>
        <v xml:space="preserve">L (운반거리)  = 0.1  Km </v>
      </c>
      <c r="C1079" s="78"/>
      <c r="D1079" s="78"/>
      <c r="E1079" s="78"/>
      <c r="F1079" s="78"/>
      <c r="G1079" s="16" t="s">
        <v>1522</v>
      </c>
      <c r="Z1079" s="110">
        <v>0.1</v>
      </c>
      <c r="AA1079" s="20" t="s">
        <v>1326</v>
      </c>
      <c r="AB1079" s="112">
        <f>Z1079</f>
        <v>0.1</v>
      </c>
      <c r="AC1079" s="109"/>
      <c r="AD1079" s="109"/>
      <c r="AE1079" s="109"/>
      <c r="AF1079" s="109"/>
      <c r="AG1079" s="109"/>
      <c r="AH1079" s="109"/>
      <c r="AI1079" s="109"/>
      <c r="AJ1079" s="109"/>
      <c r="AK1079" s="109"/>
      <c r="AL1079" s="109"/>
      <c r="AM1079" s="109"/>
      <c r="AN1079" s="109"/>
      <c r="AO1079" s="109"/>
      <c r="AP1079" s="109"/>
      <c r="AQ1079" s="109"/>
      <c r="AR1079" s="109"/>
      <c r="AS1079" s="109"/>
    </row>
    <row r="1080" spans="1:45" ht="12.6" customHeight="1" x14ac:dyDescent="0.3">
      <c r="A1080" s="78"/>
      <c r="B1080" s="78"/>
      <c r="C1080" s="78"/>
      <c r="D1080" s="78"/>
      <c r="E1080" s="78"/>
      <c r="F1080" s="78"/>
      <c r="G1080" s="16" t="s">
        <v>1317</v>
      </c>
      <c r="Z1080" s="109"/>
      <c r="AA1080" s="109"/>
      <c r="AB1080" s="109"/>
      <c r="AC1080" s="109"/>
      <c r="AD1080" s="109"/>
      <c r="AE1080" s="109"/>
      <c r="AF1080" s="109"/>
      <c r="AG1080" s="109"/>
      <c r="AH1080" s="109"/>
      <c r="AI1080" s="109"/>
      <c r="AJ1080" s="109"/>
      <c r="AK1080" s="109"/>
      <c r="AL1080" s="109"/>
      <c r="AM1080" s="109"/>
      <c r="AN1080" s="109"/>
      <c r="AO1080" s="109"/>
      <c r="AP1080" s="109"/>
      <c r="AQ1080" s="109"/>
      <c r="AR1080" s="109"/>
      <c r="AS1080" s="109"/>
    </row>
    <row r="1081" spans="1:45" ht="12.6" customHeight="1" x14ac:dyDescent="0.3">
      <c r="A1081" s="68"/>
      <c r="B1081" s="97" t="str">
        <f>"q1 (흐트러진상태의 덤프트럭 1회 적재량)   = "&amp;Z1081&amp;" / "&amp;AB1081&amp;"  = "&amp;AD1081&amp;""</f>
        <v>q1 (흐트러진상태의 덤프트럭 1회 적재량)   = 4500 / 710  = 6.34</v>
      </c>
      <c r="C1081" s="78"/>
      <c r="D1081" s="78"/>
      <c r="E1081" s="78"/>
      <c r="F1081" s="78"/>
      <c r="G1081" s="16" t="s">
        <v>1744</v>
      </c>
      <c r="Z1081" s="111">
        <v>4500</v>
      </c>
      <c r="AA1081" s="20" t="s">
        <v>1387</v>
      </c>
      <c r="AB1081" s="111">
        <v>710</v>
      </c>
      <c r="AC1081" s="20" t="s">
        <v>1326</v>
      </c>
      <c r="AD1081" s="112" t="str">
        <f>TEXT(ROUND(Z1081/AB1081,2),"0.00")</f>
        <v>6.34</v>
      </c>
      <c r="AE1081" s="109"/>
      <c r="AF1081" s="109"/>
      <c r="AG1081" s="109"/>
      <c r="AH1081" s="109"/>
      <c r="AI1081" s="109"/>
      <c r="AJ1081" s="109"/>
      <c r="AK1081" s="109"/>
      <c r="AL1081" s="109"/>
      <c r="AM1081" s="109"/>
      <c r="AN1081" s="109"/>
      <c r="AO1081" s="109"/>
      <c r="AP1081" s="109"/>
      <c r="AQ1081" s="109"/>
      <c r="AR1081" s="109"/>
      <c r="AS1081" s="109"/>
    </row>
    <row r="1082" spans="1:45" ht="12.6" customHeight="1" x14ac:dyDescent="0.3">
      <c r="A1082" s="78"/>
      <c r="B1082" s="78"/>
      <c r="C1082" s="78"/>
      <c r="D1082" s="78"/>
      <c r="E1082" s="78"/>
      <c r="F1082" s="78"/>
      <c r="G1082" s="16" t="s">
        <v>1317</v>
      </c>
      <c r="Z1082" s="109"/>
      <c r="AA1082" s="109"/>
      <c r="AB1082" s="109"/>
      <c r="AC1082" s="109"/>
      <c r="AD1082" s="109"/>
      <c r="AE1082" s="109"/>
      <c r="AF1082" s="109"/>
      <c r="AG1082" s="109"/>
      <c r="AH1082" s="109"/>
      <c r="AI1082" s="109"/>
      <c r="AJ1082" s="109"/>
      <c r="AK1082" s="109"/>
      <c r="AL1082" s="109"/>
      <c r="AM1082" s="109"/>
      <c r="AN1082" s="109"/>
      <c r="AO1082" s="109"/>
      <c r="AP1082" s="109"/>
      <c r="AQ1082" s="109"/>
      <c r="AR1082" s="109"/>
      <c r="AS1082" s="109"/>
    </row>
    <row r="1083" spans="1:45" ht="12.6" customHeight="1" x14ac:dyDescent="0.3">
      <c r="A1083" s="68"/>
      <c r="B1083" s="97" t="str">
        <f>"E (작업효율)  = "&amp;Z1083&amp;" , f (체적환산계수)  = "&amp;AD1083&amp;" , k (버킷계수)  = "&amp;AH1083&amp;""</f>
        <v>E (작업효율)  = 0.9 , f (체적환산계수)  = 1 , k (버킷계수)  = 0.7</v>
      </c>
      <c r="C1083" s="78"/>
      <c r="D1083" s="78"/>
      <c r="E1083" s="78"/>
      <c r="F1083" s="78"/>
      <c r="G1083" s="16" t="s">
        <v>1604</v>
      </c>
      <c r="Z1083" s="110">
        <v>0.9</v>
      </c>
      <c r="AA1083" s="20" t="s">
        <v>1326</v>
      </c>
      <c r="AB1083" s="112">
        <f>Z1083</f>
        <v>0.9</v>
      </c>
      <c r="AC1083" s="20" t="s">
        <v>1385</v>
      </c>
      <c r="AD1083" s="111">
        <v>1</v>
      </c>
      <c r="AE1083" s="20" t="s">
        <v>1326</v>
      </c>
      <c r="AF1083" s="112">
        <f>AD1083</f>
        <v>1</v>
      </c>
      <c r="AG1083" s="20" t="s">
        <v>1385</v>
      </c>
      <c r="AH1083" s="110">
        <v>0.7</v>
      </c>
      <c r="AI1083" s="20" t="s">
        <v>1326</v>
      </c>
      <c r="AJ1083" s="112">
        <f>AH1083</f>
        <v>0.7</v>
      </c>
      <c r="AK1083" s="20" t="s">
        <v>1385</v>
      </c>
      <c r="AL1083" s="109"/>
      <c r="AM1083" s="109"/>
      <c r="AN1083" s="109"/>
      <c r="AO1083" s="109"/>
      <c r="AP1083" s="109"/>
      <c r="AQ1083" s="109"/>
      <c r="AR1083" s="109"/>
      <c r="AS1083" s="109"/>
    </row>
    <row r="1084" spans="1:45" ht="12.6" customHeight="1" x14ac:dyDescent="0.3">
      <c r="A1084" s="78"/>
      <c r="B1084" s="78"/>
      <c r="C1084" s="78"/>
      <c r="D1084" s="78"/>
      <c r="E1084" s="78"/>
      <c r="F1084" s="78"/>
      <c r="G1084" s="16" t="s">
        <v>1317</v>
      </c>
      <c r="Z1084" s="109"/>
      <c r="AA1084" s="109"/>
      <c r="AB1084" s="109"/>
      <c r="AC1084" s="109"/>
      <c r="AD1084" s="109"/>
      <c r="AE1084" s="109"/>
      <c r="AF1084" s="109"/>
      <c r="AG1084" s="109"/>
      <c r="AH1084" s="109"/>
      <c r="AI1084" s="109"/>
      <c r="AJ1084" s="109"/>
      <c r="AK1084" s="109"/>
      <c r="AL1084" s="109"/>
      <c r="AM1084" s="109"/>
      <c r="AN1084" s="109"/>
      <c r="AO1084" s="109"/>
      <c r="AP1084" s="109"/>
      <c r="AQ1084" s="109"/>
      <c r="AR1084" s="109"/>
      <c r="AS1084" s="109"/>
    </row>
    <row r="1085" spans="1:45" ht="12.6" customHeight="1" x14ac:dyDescent="0.3">
      <c r="A1085" s="68"/>
      <c r="B1085" s="97" t="str">
        <f>"q2 (흐트러진상태의 덤프트럭 1회 적재량)   = "&amp;Z1085&amp;" / "&amp;AB1085&amp;"  = "&amp;AD1085&amp;"  m2 "</f>
        <v xml:space="preserve">q2 (흐트러진상태의 덤프트럭 1회 적재량)   = 2 / 12  = 0.17  m2 </v>
      </c>
      <c r="C1085" s="78"/>
      <c r="D1085" s="78"/>
      <c r="E1085" s="78"/>
      <c r="F1085" s="78"/>
      <c r="G1085" s="16" t="s">
        <v>1605</v>
      </c>
      <c r="Z1085" s="111">
        <v>2</v>
      </c>
      <c r="AA1085" s="20" t="s">
        <v>1387</v>
      </c>
      <c r="AB1085" s="111">
        <v>12</v>
      </c>
      <c r="AC1085" s="20" t="s">
        <v>1326</v>
      </c>
      <c r="AD1085" s="112" t="str">
        <f>TEXT(ROUND(Z1085/AB1085,2),"0.00")</f>
        <v>0.17</v>
      </c>
      <c r="AE1085" s="109"/>
      <c r="AF1085" s="109"/>
      <c r="AG1085" s="109"/>
      <c r="AH1085" s="109"/>
      <c r="AI1085" s="109"/>
      <c r="AJ1085" s="109"/>
      <c r="AK1085" s="109"/>
      <c r="AL1085" s="109"/>
      <c r="AM1085" s="109"/>
      <c r="AN1085" s="109"/>
      <c r="AO1085" s="109"/>
      <c r="AP1085" s="109"/>
      <c r="AQ1085" s="109"/>
      <c r="AR1085" s="109"/>
      <c r="AS1085" s="109"/>
    </row>
    <row r="1086" spans="1:45" ht="12.6" customHeight="1" x14ac:dyDescent="0.3">
      <c r="A1086" s="78"/>
      <c r="B1086" s="78"/>
      <c r="C1086" s="78"/>
      <c r="D1086" s="78"/>
      <c r="E1086" s="78"/>
      <c r="F1086" s="78"/>
      <c r="G1086" s="16" t="s">
        <v>1317</v>
      </c>
      <c r="Z1086" s="109"/>
      <c r="AA1086" s="109"/>
      <c r="AB1086" s="109"/>
      <c r="AC1086" s="109"/>
      <c r="AD1086" s="109"/>
      <c r="AE1086" s="109"/>
      <c r="AF1086" s="109"/>
      <c r="AG1086" s="109"/>
      <c r="AH1086" s="109"/>
      <c r="AI1086" s="109"/>
      <c r="AJ1086" s="109"/>
      <c r="AK1086" s="109"/>
      <c r="AL1086" s="109"/>
      <c r="AM1086" s="109"/>
      <c r="AN1086" s="109"/>
      <c r="AO1086" s="109"/>
      <c r="AP1086" s="109"/>
      <c r="AQ1086" s="109"/>
      <c r="AR1086" s="109"/>
      <c r="AS1086" s="109"/>
    </row>
    <row r="1087" spans="1:45" ht="12.6" customHeight="1" x14ac:dyDescent="0.3">
      <c r="A1087" s="68"/>
      <c r="B1087" s="97" t="str">
        <f>"n (소요되는적재기계의 사이클횟수)  = q1 / (q2 * k) = "&amp;AG1087&amp;"  회 "</f>
        <v xml:space="preserve">n (소요되는적재기계의 사이클횟수)  = q1 / (q2 * k) = 53.28  회 </v>
      </c>
      <c r="C1087" s="78"/>
      <c r="D1087" s="78"/>
      <c r="E1087" s="78"/>
      <c r="F1087" s="78"/>
      <c r="G1087" s="16" t="s">
        <v>1606</v>
      </c>
      <c r="Z1087" s="112" t="str">
        <f>AD1081</f>
        <v>6.34</v>
      </c>
      <c r="AA1087" s="20" t="s">
        <v>1531</v>
      </c>
      <c r="AB1087" s="112" t="str">
        <f>AD1085</f>
        <v>0.17</v>
      </c>
      <c r="AC1087" s="20" t="s">
        <v>1390</v>
      </c>
      <c r="AD1087" s="112">
        <f>AJ1083</f>
        <v>0.7</v>
      </c>
      <c r="AE1087" s="20" t="s">
        <v>1532</v>
      </c>
      <c r="AF1087" s="20" t="s">
        <v>1326</v>
      </c>
      <c r="AG1087" s="112" t="str">
        <f>TEXT(ROUND(AD1081/(AD1085*AJ1083),2),"0.00")</f>
        <v>53.28</v>
      </c>
      <c r="AH1087" s="109"/>
      <c r="AI1087" s="109"/>
      <c r="AJ1087" s="109"/>
      <c r="AK1087" s="109"/>
      <c r="AL1087" s="109"/>
      <c r="AM1087" s="109"/>
      <c r="AN1087" s="109"/>
      <c r="AO1087" s="109"/>
      <c r="AP1087" s="109"/>
      <c r="AQ1087" s="109"/>
      <c r="AR1087" s="109"/>
      <c r="AS1087" s="109"/>
    </row>
    <row r="1088" spans="1:45" ht="12.6" customHeight="1" x14ac:dyDescent="0.3">
      <c r="A1088" s="78"/>
      <c r="B1088" s="78"/>
      <c r="C1088" s="78"/>
      <c r="D1088" s="78"/>
      <c r="E1088" s="78"/>
      <c r="F1088" s="78"/>
      <c r="G1088" s="16" t="s">
        <v>1317</v>
      </c>
      <c r="Z1088" s="109"/>
      <c r="AA1088" s="109"/>
      <c r="AB1088" s="109"/>
      <c r="AC1088" s="109"/>
      <c r="AD1088" s="109"/>
      <c r="AE1088" s="109"/>
      <c r="AF1088" s="109"/>
      <c r="AG1088" s="109"/>
      <c r="AH1088" s="109"/>
      <c r="AI1088" s="109"/>
      <c r="AJ1088" s="109"/>
      <c r="AK1088" s="109"/>
      <c r="AL1088" s="109"/>
      <c r="AM1088" s="109"/>
      <c r="AN1088" s="109"/>
      <c r="AO1088" s="109"/>
      <c r="AP1088" s="109"/>
      <c r="AQ1088" s="109"/>
      <c r="AR1088" s="109"/>
      <c r="AS1088" s="109"/>
    </row>
    <row r="1089" spans="1:45" ht="12.6" customHeight="1" x14ac:dyDescent="0.3">
      <c r="A1089" s="68"/>
      <c r="B1089" s="97" t="str">
        <f>"t1 (적재시간)  = Cm1 * n / ("&amp;AD1089&amp;" * E1) = "&amp;AI1089&amp;" 분 "</f>
        <v xml:space="preserve">t1 (적재시간)  = Cm1 * n / (60 * E1) = 39.47 분 </v>
      </c>
      <c r="C1089" s="78"/>
      <c r="D1089" s="78"/>
      <c r="E1089" s="78"/>
      <c r="F1089" s="78"/>
      <c r="G1089" s="16" t="s">
        <v>1607</v>
      </c>
      <c r="Z1089" s="112">
        <f>AB1062</f>
        <v>20</v>
      </c>
      <c r="AA1089" s="20" t="s">
        <v>1390</v>
      </c>
      <c r="AB1089" s="112" t="str">
        <f>AG1087</f>
        <v>53.28</v>
      </c>
      <c r="AC1089" s="20" t="s">
        <v>1531</v>
      </c>
      <c r="AD1089" s="111">
        <v>60</v>
      </c>
      <c r="AE1089" s="20" t="s">
        <v>1390</v>
      </c>
      <c r="AF1089" s="112">
        <f>AB1064</f>
        <v>0.45</v>
      </c>
      <c r="AG1089" s="20" t="s">
        <v>1532</v>
      </c>
      <c r="AH1089" s="20" t="s">
        <v>1326</v>
      </c>
      <c r="AI1089" s="112" t="str">
        <f>TEXT(ROUND(AB1062*AG1087/(AD1089*AB1064),2),"0.00")</f>
        <v>39.47</v>
      </c>
      <c r="AJ1089" s="109"/>
      <c r="AK1089" s="109"/>
      <c r="AL1089" s="109"/>
      <c r="AM1089" s="109"/>
      <c r="AN1089" s="109"/>
      <c r="AO1089" s="109"/>
      <c r="AP1089" s="109"/>
      <c r="AQ1089" s="109"/>
      <c r="AR1089" s="109"/>
      <c r="AS1089" s="109"/>
    </row>
    <row r="1090" spans="1:45" ht="12.6" customHeight="1" x14ac:dyDescent="0.3">
      <c r="A1090" s="78"/>
      <c r="B1090" s="78"/>
      <c r="C1090" s="78"/>
      <c r="D1090" s="78"/>
      <c r="E1090" s="78"/>
      <c r="F1090" s="78"/>
      <c r="G1090" s="16" t="s">
        <v>1317</v>
      </c>
      <c r="Z1090" s="109"/>
      <c r="AA1090" s="109"/>
      <c r="AB1090" s="109"/>
      <c r="AC1090" s="109"/>
      <c r="AD1090" s="109"/>
      <c r="AE1090" s="109"/>
      <c r="AF1090" s="109"/>
      <c r="AG1090" s="109"/>
      <c r="AH1090" s="109"/>
      <c r="AI1090" s="109"/>
      <c r="AJ1090" s="109"/>
      <c r="AK1090" s="109"/>
      <c r="AL1090" s="109"/>
      <c r="AM1090" s="109"/>
      <c r="AN1090" s="109"/>
      <c r="AO1090" s="109"/>
      <c r="AP1090" s="109"/>
      <c r="AQ1090" s="109"/>
      <c r="AR1090" s="109"/>
      <c r="AS1090" s="109"/>
    </row>
    <row r="1091" spans="1:45" ht="12.6" customHeight="1" x14ac:dyDescent="0.3">
      <c r="A1091" s="68"/>
      <c r="B1091" s="97" t="str">
        <f>"t2 (왕복시간)  =(L/"&amp;AC1091&amp;"+L/"&amp;AG1091&amp;") * "&amp;AI1091&amp;" = "&amp;AK1091&amp;" 분 "</f>
        <v xml:space="preserve">t2 (왕복시간)  =(L/10+L/15) * 60 = 1.00 분 </v>
      </c>
      <c r="C1091" s="78"/>
      <c r="D1091" s="78"/>
      <c r="E1091" s="78"/>
      <c r="F1091" s="78"/>
      <c r="G1091" s="16" t="s">
        <v>1608</v>
      </c>
      <c r="Z1091" s="20" t="s">
        <v>1526</v>
      </c>
      <c r="AA1091" s="112">
        <f>AB1079</f>
        <v>0.1</v>
      </c>
      <c r="AB1091" s="20" t="s">
        <v>1387</v>
      </c>
      <c r="AC1091" s="111">
        <v>10</v>
      </c>
      <c r="AD1091" s="20" t="s">
        <v>1535</v>
      </c>
      <c r="AE1091" s="112">
        <f>AB1079</f>
        <v>0.1</v>
      </c>
      <c r="AF1091" s="20" t="s">
        <v>1387</v>
      </c>
      <c r="AG1091" s="111">
        <v>15</v>
      </c>
      <c r="AH1091" s="20" t="s">
        <v>1527</v>
      </c>
      <c r="AI1091" s="111">
        <v>60</v>
      </c>
      <c r="AJ1091" s="20" t="s">
        <v>1326</v>
      </c>
      <c r="AK1091" s="112" t="str">
        <f>TEXT(ROUND((AB1079/AC1091+AB1079/AG1091)*AI1091,2),"0.00")</f>
        <v>1.00</v>
      </c>
      <c r="AL1091" s="109"/>
      <c r="AM1091" s="109"/>
      <c r="AN1091" s="109"/>
      <c r="AO1091" s="109"/>
      <c r="AP1091" s="109"/>
      <c r="AQ1091" s="109"/>
      <c r="AR1091" s="109"/>
      <c r="AS1091" s="109"/>
    </row>
    <row r="1092" spans="1:45" ht="12.6" customHeight="1" x14ac:dyDescent="0.3">
      <c r="A1092" s="78"/>
      <c r="B1092" s="78"/>
      <c r="C1092" s="78"/>
      <c r="D1092" s="78"/>
      <c r="E1092" s="78"/>
      <c r="F1092" s="78"/>
      <c r="G1092" s="16" t="s">
        <v>1317</v>
      </c>
      <c r="Z1092" s="109"/>
      <c r="AA1092" s="109"/>
      <c r="AB1092" s="109"/>
      <c r="AC1092" s="109"/>
      <c r="AD1092" s="109"/>
      <c r="AE1092" s="109"/>
      <c r="AF1092" s="109"/>
      <c r="AG1092" s="109"/>
      <c r="AH1092" s="109"/>
      <c r="AI1092" s="109"/>
      <c r="AJ1092" s="109"/>
      <c r="AK1092" s="109"/>
      <c r="AL1092" s="109"/>
      <c r="AM1092" s="109"/>
      <c r="AN1092" s="109"/>
      <c r="AO1092" s="109"/>
      <c r="AP1092" s="109"/>
      <c r="AQ1092" s="109"/>
      <c r="AR1092" s="109"/>
      <c r="AS1092" s="109"/>
    </row>
    <row r="1093" spans="1:45" ht="12.6" customHeight="1" x14ac:dyDescent="0.3">
      <c r="A1093" s="68"/>
      <c r="B1093" s="97" t="str">
        <f>"t3 (적하시간)  = "&amp;Z1093&amp;" 분 "</f>
        <v xml:space="preserve">t3 (적하시간)  = 0.8 분 </v>
      </c>
      <c r="C1093" s="78"/>
      <c r="D1093" s="78"/>
      <c r="E1093" s="78"/>
      <c r="F1093" s="78"/>
      <c r="G1093" s="16" t="s">
        <v>1534</v>
      </c>
      <c r="Z1093" s="110">
        <v>0.8</v>
      </c>
      <c r="AA1093" s="20" t="s">
        <v>1326</v>
      </c>
      <c r="AB1093" s="112">
        <f>Z1093</f>
        <v>0.8</v>
      </c>
      <c r="AC1093" s="109"/>
      <c r="AD1093" s="109"/>
      <c r="AE1093" s="109"/>
      <c r="AF1093" s="109"/>
      <c r="AG1093" s="109"/>
      <c r="AH1093" s="109"/>
      <c r="AI1093" s="109"/>
      <c r="AJ1093" s="109"/>
      <c r="AK1093" s="109"/>
      <c r="AL1093" s="109"/>
      <c r="AM1093" s="109"/>
      <c r="AN1093" s="109"/>
      <c r="AO1093" s="109"/>
      <c r="AP1093" s="109"/>
      <c r="AQ1093" s="109"/>
      <c r="AR1093" s="109"/>
      <c r="AS1093" s="109"/>
    </row>
    <row r="1094" spans="1:45" ht="12.6" customHeight="1" x14ac:dyDescent="0.3">
      <c r="A1094" s="78"/>
      <c r="B1094" s="78"/>
      <c r="C1094" s="78"/>
      <c r="D1094" s="78"/>
      <c r="E1094" s="78"/>
      <c r="F1094" s="78"/>
      <c r="G1094" s="16" t="s">
        <v>1317</v>
      </c>
      <c r="Z1094" s="109"/>
      <c r="AA1094" s="109"/>
      <c r="AB1094" s="109"/>
      <c r="AC1094" s="109"/>
      <c r="AD1094" s="109"/>
      <c r="AE1094" s="109"/>
      <c r="AF1094" s="109"/>
      <c r="AG1094" s="109"/>
      <c r="AH1094" s="109"/>
      <c r="AI1094" s="109"/>
      <c r="AJ1094" s="109"/>
      <c r="AK1094" s="109"/>
      <c r="AL1094" s="109"/>
      <c r="AM1094" s="109"/>
      <c r="AN1094" s="109"/>
      <c r="AO1094" s="109"/>
      <c r="AP1094" s="109"/>
      <c r="AQ1094" s="109"/>
      <c r="AR1094" s="109"/>
      <c r="AS1094" s="109"/>
    </row>
    <row r="1095" spans="1:45" ht="12.6" customHeight="1" x14ac:dyDescent="0.3">
      <c r="A1095" s="68"/>
      <c r="B1095" s="97" t="str">
        <f>"t4 (적재장소 도착한 때로부터 적재작업이 시작될 때까지의 시간)  = "&amp;Z1095&amp;" 분 "</f>
        <v xml:space="preserve">t4 (적재장소 도착한 때로부터 적재작업이 시작될 때까지의 시간)  = 0.7 분 </v>
      </c>
      <c r="C1095" s="78"/>
      <c r="D1095" s="78"/>
      <c r="E1095" s="78"/>
      <c r="F1095" s="78"/>
      <c r="G1095" s="16" t="s">
        <v>1609</v>
      </c>
      <c r="Z1095" s="110">
        <v>0.7</v>
      </c>
      <c r="AA1095" s="20" t="s">
        <v>1326</v>
      </c>
      <c r="AB1095" s="112">
        <f>Z1095</f>
        <v>0.7</v>
      </c>
      <c r="AC1095" s="109"/>
      <c r="AD1095" s="109"/>
      <c r="AE1095" s="109"/>
      <c r="AF1095" s="109"/>
      <c r="AG1095" s="109"/>
      <c r="AH1095" s="109"/>
      <c r="AI1095" s="109"/>
      <c r="AJ1095" s="109"/>
      <c r="AK1095" s="109"/>
      <c r="AL1095" s="109"/>
      <c r="AM1095" s="109"/>
      <c r="AN1095" s="109"/>
      <c r="AO1095" s="109"/>
      <c r="AP1095" s="109"/>
      <c r="AQ1095" s="109"/>
      <c r="AR1095" s="109"/>
      <c r="AS1095" s="109"/>
    </row>
    <row r="1096" spans="1:45" ht="12.6" customHeight="1" x14ac:dyDescent="0.3">
      <c r="A1096" s="78"/>
      <c r="B1096" s="78"/>
      <c r="C1096" s="78"/>
      <c r="D1096" s="78"/>
      <c r="E1096" s="78"/>
      <c r="F1096" s="78"/>
      <c r="G1096" s="16" t="s">
        <v>1317</v>
      </c>
      <c r="Z1096" s="109"/>
      <c r="AA1096" s="109"/>
      <c r="AB1096" s="109"/>
      <c r="AC1096" s="109"/>
      <c r="AD1096" s="109"/>
      <c r="AE1096" s="109"/>
      <c r="AF1096" s="109"/>
      <c r="AG1096" s="109"/>
      <c r="AH1096" s="109"/>
      <c r="AI1096" s="109"/>
      <c r="AJ1096" s="109"/>
      <c r="AK1096" s="109"/>
      <c r="AL1096" s="109"/>
      <c r="AM1096" s="109"/>
      <c r="AN1096" s="109"/>
      <c r="AO1096" s="109"/>
      <c r="AP1096" s="109"/>
      <c r="AQ1096" s="109"/>
      <c r="AR1096" s="109"/>
      <c r="AS1096" s="109"/>
    </row>
    <row r="1097" spans="1:45" ht="12.6" customHeight="1" x14ac:dyDescent="0.3">
      <c r="A1097" s="68"/>
      <c r="B1097" s="97" t="str">
        <f>"Cm (1회 사이클 시간(분))  = t1 + t2 + t3 + t4 = "&amp;AH1097&amp;" 분 "</f>
        <v xml:space="preserve">Cm (1회 사이클 시간(분))  = t1 + t2 + t3 + t4 = 41.97 분 </v>
      </c>
      <c r="C1097" s="78"/>
      <c r="D1097" s="78"/>
      <c r="E1097" s="78"/>
      <c r="F1097" s="78"/>
      <c r="G1097" s="16" t="s">
        <v>1537</v>
      </c>
      <c r="Z1097" s="112" t="str">
        <f>AI1089</f>
        <v>39.47</v>
      </c>
      <c r="AA1097" s="20" t="s">
        <v>1535</v>
      </c>
      <c r="AB1097" s="112" t="str">
        <f>AK1091</f>
        <v>1.00</v>
      </c>
      <c r="AC1097" s="20" t="s">
        <v>1535</v>
      </c>
      <c r="AD1097" s="112">
        <f>AB1093</f>
        <v>0.8</v>
      </c>
      <c r="AE1097" s="20" t="s">
        <v>1535</v>
      </c>
      <c r="AF1097" s="112">
        <f>AB1095</f>
        <v>0.7</v>
      </c>
      <c r="AG1097" s="20" t="s">
        <v>1326</v>
      </c>
      <c r="AH1097" s="112" t="str">
        <f>TEXT(ROUND(AI1089+AK1091+AB1093+AB1095,2),"0.00")</f>
        <v>41.97</v>
      </c>
      <c r="AI1097" s="109"/>
      <c r="AJ1097" s="109"/>
      <c r="AK1097" s="109"/>
      <c r="AL1097" s="109"/>
      <c r="AM1097" s="109"/>
      <c r="AN1097" s="109"/>
      <c r="AO1097" s="109"/>
      <c r="AP1097" s="109"/>
      <c r="AQ1097" s="109"/>
      <c r="AR1097" s="109"/>
      <c r="AS1097" s="109"/>
    </row>
    <row r="1098" spans="1:45" ht="12.6" customHeight="1" x14ac:dyDescent="0.3">
      <c r="A1098" s="78"/>
      <c r="B1098" s="78"/>
      <c r="C1098" s="78"/>
      <c r="D1098" s="78"/>
      <c r="E1098" s="78"/>
      <c r="F1098" s="78"/>
      <c r="G1098" s="16" t="s">
        <v>1317</v>
      </c>
      <c r="Z1098" s="109"/>
      <c r="AA1098" s="109"/>
      <c r="AB1098" s="109"/>
      <c r="AC1098" s="109"/>
      <c r="AD1098" s="109"/>
      <c r="AE1098" s="109"/>
      <c r="AF1098" s="109"/>
      <c r="AG1098" s="109"/>
      <c r="AH1098" s="109"/>
      <c r="AI1098" s="109"/>
      <c r="AJ1098" s="109"/>
      <c r="AK1098" s="109"/>
      <c r="AL1098" s="109"/>
      <c r="AM1098" s="109"/>
      <c r="AN1098" s="109"/>
      <c r="AO1098" s="109"/>
      <c r="AP1098" s="109"/>
      <c r="AQ1098" s="109"/>
      <c r="AR1098" s="109"/>
      <c r="AS1098" s="109"/>
    </row>
    <row r="1099" spans="1:45" ht="12.6" customHeight="1" x14ac:dyDescent="0.3">
      <c r="A1099" s="68"/>
      <c r="B1099" s="97" t="str">
        <f>"Q (시간당 작업량)  = "&amp;Z1099&amp;" * q1 * f * E / Cm = "&amp;AJ1099&amp;" m2/hr "</f>
        <v xml:space="preserve">Q (시간당 작업량)  = 60 * q1 * f * E / Cm = 8.16 m2/hr </v>
      </c>
      <c r="C1099" s="78"/>
      <c r="D1099" s="78"/>
      <c r="E1099" s="78"/>
      <c r="F1099" s="78"/>
      <c r="G1099" s="16" t="s">
        <v>1610</v>
      </c>
      <c r="Z1099" s="111">
        <v>60</v>
      </c>
      <c r="AA1099" s="20" t="s">
        <v>1390</v>
      </c>
      <c r="AB1099" s="112" t="str">
        <f>AD1081</f>
        <v>6.34</v>
      </c>
      <c r="AC1099" s="20" t="s">
        <v>1390</v>
      </c>
      <c r="AD1099" s="112">
        <f>AF1083</f>
        <v>1</v>
      </c>
      <c r="AE1099" s="20" t="s">
        <v>1390</v>
      </c>
      <c r="AF1099" s="112">
        <f>AB1083</f>
        <v>0.9</v>
      </c>
      <c r="AG1099" s="20" t="s">
        <v>1387</v>
      </c>
      <c r="AH1099" s="112" t="str">
        <f>AH1097</f>
        <v>41.97</v>
      </c>
      <c r="AI1099" s="20" t="s">
        <v>1326</v>
      </c>
      <c r="AJ1099" s="112" t="str">
        <f>TEXT(ROUND(Z1099*AD1081*AF1083*AB1083/AH1097,2),"0.00")</f>
        <v>8.16</v>
      </c>
      <c r="AK1099" s="109"/>
      <c r="AL1099" s="109"/>
      <c r="AM1099" s="109"/>
      <c r="AN1099" s="109"/>
      <c r="AO1099" s="109"/>
      <c r="AP1099" s="109"/>
      <c r="AQ1099" s="109"/>
      <c r="AR1099" s="109"/>
      <c r="AS1099" s="109"/>
    </row>
    <row r="1100" spans="1:45" ht="12.6" customHeight="1" x14ac:dyDescent="0.3">
      <c r="A1100" s="78"/>
      <c r="B1100" s="78"/>
      <c r="C1100" s="78"/>
      <c r="D1100" s="78"/>
      <c r="E1100" s="78"/>
      <c r="F1100" s="78"/>
      <c r="G1100" s="16" t="s">
        <v>1317</v>
      </c>
      <c r="Z1100" s="109"/>
      <c r="AA1100" s="109"/>
      <c r="AB1100" s="109"/>
      <c r="AC1100" s="109"/>
      <c r="AD1100" s="109"/>
      <c r="AE1100" s="109"/>
      <c r="AF1100" s="109"/>
      <c r="AG1100" s="109"/>
      <c r="AH1100" s="109"/>
      <c r="AI1100" s="109"/>
      <c r="AJ1100" s="109"/>
      <c r="AK1100" s="109"/>
      <c r="AL1100" s="109"/>
      <c r="AM1100" s="109"/>
      <c r="AN1100" s="109"/>
      <c r="AO1100" s="109"/>
      <c r="AP1100" s="109"/>
      <c r="AQ1100" s="109"/>
      <c r="AR1100" s="109"/>
      <c r="AS1100" s="109"/>
    </row>
    <row r="1101" spans="1:45" ht="12.6" customHeight="1" x14ac:dyDescent="0.3">
      <c r="A1101" s="78"/>
      <c r="B1101" s="78"/>
      <c r="C1101" s="78"/>
      <c r="D1101" s="78"/>
      <c r="E1101" s="78"/>
      <c r="F1101" s="78"/>
      <c r="G1101" s="16" t="s">
        <v>1317</v>
      </c>
      <c r="Z1101" s="109"/>
      <c r="AA1101" s="109"/>
      <c r="AB1101" s="109"/>
      <c r="AC1101" s="109"/>
      <c r="AD1101" s="109"/>
      <c r="AE1101" s="109"/>
      <c r="AF1101" s="109"/>
      <c r="AG1101" s="109"/>
      <c r="AH1101" s="109"/>
      <c r="AI1101" s="109"/>
      <c r="AJ1101" s="109"/>
      <c r="AK1101" s="109"/>
      <c r="AL1101" s="109"/>
      <c r="AM1101" s="109"/>
      <c r="AN1101" s="109"/>
      <c r="AO1101" s="109"/>
      <c r="AP1101" s="109"/>
      <c r="AQ1101" s="109"/>
      <c r="AR1101" s="109"/>
      <c r="AS1101" s="109"/>
    </row>
    <row r="1102" spans="1:45" ht="12.6" customHeight="1" x14ac:dyDescent="0.3">
      <c r="A1102" s="68" t="s">
        <v>1612</v>
      </c>
      <c r="B1102" s="97" t="str">
        <f>" 노 무 비  :   "&amp;TEXT(I1102,"#,##0"&amp;IF(I1102&lt;&gt;INT(I1102),".###",""))&amp;" / Q  = "&amp;TEXT(C1102,"#,##0.0")&amp;""</f>
        <v xml:space="preserve"> 노 무 비  :   47,231 / Q  = 5,788.1</v>
      </c>
      <c r="C1102" s="99">
        <f>E1102+D1102+F1102</f>
        <v>5788.1</v>
      </c>
      <c r="D1102" s="99">
        <f>IF(H1102=0,0,ROUNDDOWN(J1102*H1102,1))</f>
        <v>5788.1</v>
      </c>
      <c r="E1102" s="99">
        <f>IF(H1102=0,0,ROUNDDOWN(K1102*H1102,1))</f>
        <v>0</v>
      </c>
      <c r="F1102" s="99">
        <f>IF(H1102=0,0,ROUNDDOWN(L1102*H1102,1))</f>
        <v>0</v>
      </c>
      <c r="G1102" s="16" t="s">
        <v>1611</v>
      </c>
      <c r="H1102" s="105">
        <f>AC1102</f>
        <v>0.12254901960784313</v>
      </c>
      <c r="I1102" s="106">
        <f>K1102+J1102+L1102</f>
        <v>47231</v>
      </c>
      <c r="J1102" s="39">
        <f>중기목록표!F24</f>
        <v>47231</v>
      </c>
      <c r="M1102" s="20" t="s">
        <v>1613</v>
      </c>
      <c r="N1102" s="20" t="s">
        <v>1332</v>
      </c>
      <c r="X1102" s="108" t="str">
        <f>중기목록표!B24&amp;" / "&amp;중기목록표!C24</f>
        <v xml:space="preserve">덤프트럭4.5ton(암) / </v>
      </c>
      <c r="Y1102" s="19" t="str">
        <f ca="1">HYPERLINK("#"&amp;중기목록표!J2&amp;"!A"&amp;ROW(중기목록표!A24),"중기   21 →")</f>
        <v>중기   21 →</v>
      </c>
      <c r="Z1102" s="20" t="s">
        <v>1393</v>
      </c>
      <c r="AA1102" s="112" t="str">
        <f>AJ1099</f>
        <v>8.16</v>
      </c>
      <c r="AB1102" s="20" t="s">
        <v>1326</v>
      </c>
      <c r="AC1102" s="113">
        <f>1/AJ1099</f>
        <v>0.12254901960784313</v>
      </c>
      <c r="AD1102" s="109"/>
      <c r="AE1102" s="109"/>
      <c r="AF1102" s="109"/>
      <c r="AG1102" s="109"/>
      <c r="AH1102" s="109"/>
      <c r="AI1102" s="109"/>
      <c r="AJ1102" s="109"/>
      <c r="AK1102" s="109"/>
      <c r="AL1102" s="109"/>
      <c r="AM1102" s="109"/>
      <c r="AN1102" s="109"/>
      <c r="AO1102" s="109"/>
      <c r="AP1102" s="109"/>
      <c r="AQ1102" s="109"/>
      <c r="AR1102" s="109"/>
      <c r="AS1102" s="109"/>
    </row>
    <row r="1103" spans="1:45" ht="12.6" customHeight="1" x14ac:dyDescent="0.3">
      <c r="A1103" s="78"/>
      <c r="B1103" s="78"/>
      <c r="C1103" s="78"/>
      <c r="D1103" s="78"/>
      <c r="E1103" s="78"/>
      <c r="F1103" s="78"/>
      <c r="G1103" s="16" t="s">
        <v>1317</v>
      </c>
      <c r="Z1103" s="109"/>
      <c r="AA1103" s="109"/>
      <c r="AB1103" s="109"/>
      <c r="AC1103" s="109"/>
      <c r="AD1103" s="109"/>
      <c r="AE1103" s="109"/>
      <c r="AF1103" s="109"/>
      <c r="AG1103" s="109"/>
      <c r="AH1103" s="109"/>
      <c r="AI1103" s="109"/>
      <c r="AJ1103" s="109"/>
      <c r="AK1103" s="109"/>
      <c r="AL1103" s="109"/>
      <c r="AM1103" s="109"/>
      <c r="AN1103" s="109"/>
      <c r="AO1103" s="109"/>
      <c r="AP1103" s="109"/>
      <c r="AQ1103" s="109"/>
      <c r="AR1103" s="109"/>
      <c r="AS1103" s="109"/>
    </row>
    <row r="1104" spans="1:45" ht="12.6" customHeight="1" x14ac:dyDescent="0.3">
      <c r="A1104" s="68" t="s">
        <v>1615</v>
      </c>
      <c r="B1104" s="97" t="str">
        <f>" 재 료 비  :   "&amp;TEXT(I1104,"#,##0"&amp;IF(I1104&lt;&gt;INT(I1104),".###",""))&amp;" / Q  = "&amp;TEXT(C1104,"#,##0.0")&amp;""</f>
        <v xml:space="preserve"> 재 료 비  :   8,776 / Q  = 1,075.4</v>
      </c>
      <c r="C1104" s="99">
        <f>E1104+D1104+F1104</f>
        <v>1075.4000000000001</v>
      </c>
      <c r="D1104" s="99">
        <f>IF(H1104=0,0,ROUNDDOWN(J1104*H1104,1))</f>
        <v>0</v>
      </c>
      <c r="E1104" s="99">
        <f>IF(H1104=0,0,ROUNDDOWN(K1104*H1104,1))</f>
        <v>1075.4000000000001</v>
      </c>
      <c r="F1104" s="99">
        <f>IF(H1104=0,0,ROUNDDOWN(L1104*H1104,1))</f>
        <v>0</v>
      </c>
      <c r="G1104" s="16" t="s">
        <v>1614</v>
      </c>
      <c r="H1104" s="105">
        <f>AC1104</f>
        <v>0.12254901960784313</v>
      </c>
      <c r="I1104" s="106">
        <f>K1104+J1104+L1104</f>
        <v>8776</v>
      </c>
      <c r="K1104" s="39">
        <f>중기목록표!G24</f>
        <v>8776</v>
      </c>
      <c r="M1104" s="20" t="s">
        <v>1613</v>
      </c>
      <c r="N1104" s="20" t="s">
        <v>1332</v>
      </c>
      <c r="X1104" s="108" t="str">
        <f>중기목록표!B24&amp;" / "&amp;중기목록표!C24</f>
        <v xml:space="preserve">덤프트럭4.5ton(암) / </v>
      </c>
      <c r="Y1104" s="19" t="str">
        <f ca="1">HYPERLINK("#"&amp;중기목록표!J2&amp;"!A"&amp;ROW(중기목록표!A24),"중기   21 →")</f>
        <v>중기   21 →</v>
      </c>
      <c r="Z1104" s="20" t="s">
        <v>1393</v>
      </c>
      <c r="AA1104" s="112" t="str">
        <f>AJ1099</f>
        <v>8.16</v>
      </c>
      <c r="AB1104" s="20" t="s">
        <v>1326</v>
      </c>
      <c r="AC1104" s="113">
        <f>1/AJ1099</f>
        <v>0.12254901960784313</v>
      </c>
      <c r="AD1104" s="109"/>
      <c r="AE1104" s="109"/>
      <c r="AF1104" s="109"/>
      <c r="AG1104" s="109"/>
      <c r="AH1104" s="109"/>
      <c r="AI1104" s="109"/>
      <c r="AJ1104" s="109"/>
      <c r="AK1104" s="109"/>
      <c r="AL1104" s="109"/>
      <c r="AM1104" s="109"/>
      <c r="AN1104" s="109"/>
      <c r="AO1104" s="109"/>
      <c r="AP1104" s="109"/>
      <c r="AQ1104" s="109"/>
      <c r="AR1104" s="109"/>
      <c r="AS1104" s="109"/>
    </row>
    <row r="1105" spans="1:45" ht="12.6" customHeight="1" x14ac:dyDescent="0.3">
      <c r="A1105" s="78"/>
      <c r="B1105" s="78"/>
      <c r="C1105" s="78"/>
      <c r="D1105" s="78"/>
      <c r="E1105" s="78"/>
      <c r="F1105" s="78"/>
      <c r="G1105" s="16" t="s">
        <v>1317</v>
      </c>
      <c r="Z1105" s="109"/>
      <c r="AA1105" s="109"/>
      <c r="AB1105" s="109"/>
      <c r="AC1105" s="109"/>
      <c r="AD1105" s="109"/>
      <c r="AE1105" s="109"/>
      <c r="AF1105" s="109"/>
      <c r="AG1105" s="109"/>
      <c r="AH1105" s="109"/>
      <c r="AI1105" s="109"/>
      <c r="AJ1105" s="109"/>
      <c r="AK1105" s="109"/>
      <c r="AL1105" s="109"/>
      <c r="AM1105" s="109"/>
      <c r="AN1105" s="109"/>
      <c r="AO1105" s="109"/>
      <c r="AP1105" s="109"/>
      <c r="AQ1105" s="109"/>
      <c r="AR1105" s="109"/>
      <c r="AS1105" s="109"/>
    </row>
    <row r="1106" spans="1:45" ht="12.6" customHeight="1" x14ac:dyDescent="0.3">
      <c r="A1106" s="68" t="s">
        <v>1617</v>
      </c>
      <c r="B1106" s="97" t="str">
        <f>" 경    비  :   "&amp;TEXT(I1106,"#,##0"&amp;IF(I1106&lt;&gt;INT(I1106),".###",""))&amp;" / Q  = "&amp;TEXT(C1106,"#,##0.0")&amp;""</f>
        <v xml:space="preserve"> 경    비  :   8,576 / Q  = 1,050.9</v>
      </c>
      <c r="C1106" s="99">
        <f>E1106+D1106+F1106</f>
        <v>1050.9000000000001</v>
      </c>
      <c r="D1106" s="99">
        <f>IF(H1106=0,0,ROUNDDOWN(J1106*H1106,1))</f>
        <v>0</v>
      </c>
      <c r="E1106" s="99">
        <f>IF(H1106=0,0,ROUNDDOWN(K1106*H1106,1))</f>
        <v>0</v>
      </c>
      <c r="F1106" s="99">
        <f>IF(H1106=0,0,ROUNDDOWN(L1106*H1106,1))</f>
        <v>1050.9000000000001</v>
      </c>
      <c r="G1106" s="16" t="s">
        <v>1616</v>
      </c>
      <c r="H1106" s="105">
        <f>AC1106</f>
        <v>0.12254901960784313</v>
      </c>
      <c r="I1106" s="106">
        <f>K1106+J1106+L1106</f>
        <v>8576</v>
      </c>
      <c r="L1106" s="39">
        <f>중기목록표!H24</f>
        <v>8576</v>
      </c>
      <c r="M1106" s="20" t="s">
        <v>1613</v>
      </c>
      <c r="N1106" s="20" t="s">
        <v>1332</v>
      </c>
      <c r="X1106" s="108" t="str">
        <f>중기목록표!B24&amp;" / "&amp;중기목록표!C24</f>
        <v xml:space="preserve">덤프트럭4.5ton(암) / </v>
      </c>
      <c r="Y1106" s="19" t="str">
        <f ca="1">HYPERLINK("#"&amp;중기목록표!J2&amp;"!A"&amp;ROW(중기목록표!A24),"중기   21 →")</f>
        <v>중기   21 →</v>
      </c>
      <c r="Z1106" s="20" t="s">
        <v>1393</v>
      </c>
      <c r="AA1106" s="112" t="str">
        <f>AJ1099</f>
        <v>8.16</v>
      </c>
      <c r="AB1106" s="20" t="s">
        <v>1326</v>
      </c>
      <c r="AC1106" s="113">
        <f>1/AJ1099</f>
        <v>0.12254901960784313</v>
      </c>
      <c r="AD1106" s="109"/>
      <c r="AE1106" s="109"/>
      <c r="AF1106" s="109"/>
      <c r="AG1106" s="109"/>
      <c r="AH1106" s="109"/>
      <c r="AI1106" s="109"/>
      <c r="AJ1106" s="109"/>
      <c r="AK1106" s="109"/>
      <c r="AL1106" s="109"/>
      <c r="AM1106" s="109"/>
      <c r="AN1106" s="109"/>
      <c r="AO1106" s="109"/>
      <c r="AP1106" s="109"/>
      <c r="AQ1106" s="109"/>
      <c r="AR1106" s="109"/>
      <c r="AS1106" s="109"/>
    </row>
    <row r="1107" spans="1:45" ht="12.6" customHeight="1" x14ac:dyDescent="0.3">
      <c r="A1107" s="78"/>
      <c r="B1107" s="78"/>
      <c r="C1107" s="78"/>
      <c r="D1107" s="78"/>
      <c r="E1107" s="78"/>
      <c r="F1107" s="78"/>
      <c r="G1107" s="16" t="s">
        <v>1317</v>
      </c>
      <c r="Z1107" s="109"/>
      <c r="AA1107" s="109"/>
      <c r="AB1107" s="109"/>
      <c r="AC1107" s="109"/>
      <c r="AD1107" s="109"/>
      <c r="AE1107" s="109"/>
      <c r="AF1107" s="109"/>
      <c r="AG1107" s="109"/>
      <c r="AH1107" s="109"/>
      <c r="AI1107" s="109"/>
      <c r="AJ1107" s="109"/>
      <c r="AK1107" s="109"/>
      <c r="AL1107" s="109"/>
      <c r="AM1107" s="109"/>
      <c r="AN1107" s="109"/>
      <c r="AO1107" s="109"/>
      <c r="AP1107" s="109"/>
      <c r="AQ1107" s="109"/>
      <c r="AR1107" s="109"/>
      <c r="AS1107" s="109"/>
    </row>
    <row r="1108" spans="1:45" ht="12.6" customHeight="1" x14ac:dyDescent="0.3">
      <c r="A1108" s="78"/>
      <c r="B1108" s="78"/>
      <c r="C1108" s="78"/>
      <c r="D1108" s="78"/>
      <c r="E1108" s="78"/>
      <c r="F1108" s="78"/>
      <c r="G1108" s="16" t="s">
        <v>1317</v>
      </c>
      <c r="Z1108" s="109"/>
      <c r="AA1108" s="109"/>
      <c r="AB1108" s="109"/>
      <c r="AC1108" s="109"/>
      <c r="AD1108" s="109"/>
      <c r="AE1108" s="109"/>
      <c r="AF1108" s="109"/>
      <c r="AG1108" s="109"/>
      <c r="AH1108" s="109"/>
      <c r="AI1108" s="109"/>
      <c r="AJ1108" s="109"/>
      <c r="AK1108" s="109"/>
      <c r="AL1108" s="109"/>
      <c r="AM1108" s="109"/>
      <c r="AN1108" s="109"/>
      <c r="AO1108" s="109"/>
      <c r="AP1108" s="109"/>
      <c r="AQ1108" s="109"/>
      <c r="AR1108" s="109"/>
      <c r="AS1108" s="109"/>
    </row>
    <row r="1109" spans="1:45" ht="12.6" customHeight="1" x14ac:dyDescent="0.3">
      <c r="A1109" s="68"/>
      <c r="B1109" s="77" t="s">
        <v>1331</v>
      </c>
      <c r="C1109" s="100">
        <f>E1109+D1109+F1109</f>
        <v>7914.4</v>
      </c>
      <c r="D1109" s="100">
        <f>SUMIF(N1075:N1108,M1109,D1075:D1108)</f>
        <v>5788.1</v>
      </c>
      <c r="E1109" s="100">
        <f>SUMIF(N1075:N1108,M1109,E1075:E1108)</f>
        <v>1075.4000000000001</v>
      </c>
      <c r="F1109" s="100">
        <f>SUMIF(N1075:N1108,M1109,F1075:F1108)</f>
        <v>1050.9000000000001</v>
      </c>
      <c r="G1109" s="16" t="s">
        <v>1415</v>
      </c>
      <c r="M1109" s="20" t="s">
        <v>1332</v>
      </c>
      <c r="N1109" s="20" t="s">
        <v>1341</v>
      </c>
      <c r="Z1109" s="109"/>
      <c r="AA1109" s="109"/>
      <c r="AB1109" s="109"/>
      <c r="AC1109" s="109"/>
      <c r="AD1109" s="109"/>
      <c r="AE1109" s="109"/>
      <c r="AF1109" s="109"/>
      <c r="AG1109" s="109"/>
      <c r="AH1109" s="109"/>
      <c r="AI1109" s="109"/>
      <c r="AJ1109" s="109"/>
      <c r="AK1109" s="109"/>
      <c r="AL1109" s="109"/>
      <c r="AM1109" s="109"/>
      <c r="AN1109" s="109"/>
      <c r="AO1109" s="109"/>
      <c r="AP1109" s="109"/>
      <c r="AQ1109" s="109"/>
      <c r="AR1109" s="109"/>
      <c r="AS1109" s="109"/>
    </row>
    <row r="1110" spans="1:45" ht="12.6" customHeight="1" x14ac:dyDescent="0.3">
      <c r="A1110" s="78"/>
      <c r="B1110" s="78"/>
      <c r="C1110" s="98"/>
      <c r="D1110" s="98"/>
      <c r="E1110" s="98"/>
      <c r="F1110" s="98"/>
      <c r="G1110" s="16" t="s">
        <v>1317</v>
      </c>
      <c r="Z1110" s="109"/>
      <c r="AA1110" s="109"/>
      <c r="AB1110" s="109"/>
      <c r="AC1110" s="109"/>
      <c r="AD1110" s="109"/>
      <c r="AE1110" s="109"/>
      <c r="AF1110" s="109"/>
      <c r="AG1110" s="109"/>
      <c r="AH1110" s="109"/>
      <c r="AI1110" s="109"/>
      <c r="AJ1110" s="109"/>
      <c r="AK1110" s="109"/>
      <c r="AL1110" s="109"/>
      <c r="AM1110" s="109"/>
      <c r="AN1110" s="109"/>
      <c r="AO1110" s="109"/>
      <c r="AP1110" s="109"/>
      <c r="AQ1110" s="109"/>
      <c r="AR1110" s="109"/>
      <c r="AS1110" s="109"/>
    </row>
    <row r="1111" spans="1:45" ht="12.6" customHeight="1" x14ac:dyDescent="0.3">
      <c r="A1111" s="78"/>
      <c r="B1111" s="78"/>
      <c r="C1111" s="78"/>
      <c r="D1111" s="78"/>
      <c r="E1111" s="78"/>
      <c r="F1111" s="78"/>
      <c r="G1111" s="16" t="s">
        <v>1317</v>
      </c>
      <c r="Z1111" s="109"/>
      <c r="AA1111" s="109"/>
      <c r="AB1111" s="109"/>
      <c r="AC1111" s="109"/>
      <c r="AD1111" s="109"/>
      <c r="AE1111" s="109"/>
      <c r="AF1111" s="109"/>
      <c r="AG1111" s="109"/>
      <c r="AH1111" s="109"/>
      <c r="AI1111" s="109"/>
      <c r="AJ1111" s="109"/>
      <c r="AK1111" s="109"/>
      <c r="AL1111" s="109"/>
      <c r="AM1111" s="109"/>
      <c r="AN1111" s="109"/>
      <c r="AO1111" s="109"/>
      <c r="AP1111" s="109"/>
      <c r="AQ1111" s="109"/>
      <c r="AR1111" s="109"/>
      <c r="AS1111" s="109"/>
    </row>
    <row r="1112" spans="1:45" ht="12.6" customHeight="1" x14ac:dyDescent="0.3">
      <c r="A1112" s="68"/>
      <c r="B1112" s="77" t="s">
        <v>1340</v>
      </c>
      <c r="C1112" s="100">
        <f>E1112+D1112+F1112</f>
        <v>17234.399999999998</v>
      </c>
      <c r="D1112" s="100">
        <f>SUMIF(N1053:N1111,M1112,D1053:D1111)</f>
        <v>10959.8</v>
      </c>
      <c r="E1112" s="100">
        <f>SUMIF(N1053:N1111,M1112,E1053:E1111)</f>
        <v>2746.8</v>
      </c>
      <c r="F1112" s="100">
        <f>SUMIF(N1053:N1111,M1112,F1053:F1111)</f>
        <v>3527.8</v>
      </c>
      <c r="G1112" s="16" t="s">
        <v>1380</v>
      </c>
      <c r="M1112" s="20" t="s">
        <v>1341</v>
      </c>
      <c r="N1112" s="20" t="s">
        <v>1128</v>
      </c>
      <c r="Z1112" s="109"/>
      <c r="AA1112" s="109"/>
      <c r="AB1112" s="109"/>
      <c r="AC1112" s="109"/>
      <c r="AD1112" s="109"/>
      <c r="AE1112" s="109"/>
      <c r="AF1112" s="109"/>
      <c r="AG1112" s="109"/>
      <c r="AH1112" s="109"/>
      <c r="AI1112" s="109"/>
      <c r="AJ1112" s="109"/>
      <c r="AK1112" s="109"/>
      <c r="AL1112" s="109"/>
      <c r="AM1112" s="109"/>
      <c r="AN1112" s="109"/>
      <c r="AO1112" s="109"/>
      <c r="AP1112" s="109"/>
      <c r="AQ1112" s="109"/>
      <c r="AR1112" s="109"/>
      <c r="AS1112" s="109"/>
    </row>
    <row r="1113" spans="1:45" ht="12.6" customHeight="1" x14ac:dyDescent="0.3">
      <c r="A1113" s="78"/>
      <c r="B1113" s="78"/>
      <c r="C1113" s="98"/>
      <c r="D1113" s="98"/>
      <c r="E1113" s="98"/>
      <c r="F1113" s="98"/>
      <c r="Z1113" s="109"/>
      <c r="AA1113" s="109"/>
      <c r="AB1113" s="109"/>
      <c r="AC1113" s="109"/>
      <c r="AD1113" s="109"/>
      <c r="AE1113" s="109"/>
      <c r="AF1113" s="109"/>
      <c r="AG1113" s="109"/>
      <c r="AH1113" s="109"/>
      <c r="AI1113" s="109"/>
      <c r="AJ1113" s="109"/>
      <c r="AK1113" s="109"/>
      <c r="AL1113" s="109"/>
      <c r="AM1113" s="109"/>
      <c r="AN1113" s="109"/>
      <c r="AO1113" s="109"/>
      <c r="AP1113" s="109"/>
      <c r="AQ1113" s="109"/>
      <c r="AR1113" s="109"/>
      <c r="AS1113" s="109"/>
    </row>
    <row r="1114" spans="1:45" ht="12.6" customHeight="1" x14ac:dyDescent="0.3">
      <c r="A1114" s="78"/>
      <c r="B1114" s="78"/>
      <c r="C1114" s="78"/>
      <c r="D1114" s="78"/>
      <c r="E1114" s="78"/>
      <c r="F1114" s="78"/>
      <c r="Z1114" s="109"/>
      <c r="AA1114" s="109"/>
      <c r="AB1114" s="109"/>
      <c r="AC1114" s="109"/>
      <c r="AD1114" s="109"/>
      <c r="AE1114" s="109"/>
      <c r="AF1114" s="109"/>
      <c r="AG1114" s="109"/>
      <c r="AH1114" s="109"/>
      <c r="AI1114" s="109"/>
      <c r="AJ1114" s="109"/>
      <c r="AK1114" s="109"/>
      <c r="AL1114" s="109"/>
      <c r="AM1114" s="109"/>
      <c r="AN1114" s="109"/>
      <c r="AO1114" s="109"/>
      <c r="AP1114" s="109"/>
      <c r="AQ1114" s="109"/>
      <c r="AR1114" s="109"/>
      <c r="AS1114" s="109"/>
    </row>
    <row r="1115" spans="1:45" ht="12.6" customHeight="1" x14ac:dyDescent="0.3">
      <c r="A1115" s="78"/>
      <c r="B1115" s="78"/>
      <c r="C1115" s="78"/>
      <c r="D1115" s="78"/>
      <c r="E1115" s="78"/>
      <c r="F1115" s="78"/>
      <c r="Z1115" s="109"/>
      <c r="AA1115" s="109"/>
      <c r="AB1115" s="109"/>
      <c r="AC1115" s="109"/>
      <c r="AD1115" s="109"/>
      <c r="AE1115" s="109"/>
      <c r="AF1115" s="109"/>
      <c r="AG1115" s="109"/>
      <c r="AH1115" s="109"/>
      <c r="AI1115" s="109"/>
      <c r="AJ1115" s="109"/>
      <c r="AK1115" s="109"/>
      <c r="AL1115" s="109"/>
      <c r="AM1115" s="109"/>
      <c r="AN1115" s="109"/>
      <c r="AO1115" s="109"/>
      <c r="AP1115" s="109"/>
      <c r="AQ1115" s="109"/>
      <c r="AR1115" s="109"/>
      <c r="AS1115" s="109"/>
    </row>
    <row r="1116" spans="1:45" ht="12.6" customHeight="1" x14ac:dyDescent="0.3">
      <c r="A1116" s="78"/>
      <c r="B1116" s="78"/>
      <c r="C1116" s="78"/>
      <c r="D1116" s="78"/>
      <c r="E1116" s="78"/>
      <c r="F1116" s="78"/>
      <c r="Z1116" s="109"/>
      <c r="AA1116" s="109"/>
      <c r="AB1116" s="109"/>
      <c r="AC1116" s="109"/>
      <c r="AD1116" s="109"/>
      <c r="AE1116" s="109"/>
      <c r="AF1116" s="109"/>
      <c r="AG1116" s="109"/>
      <c r="AH1116" s="109"/>
      <c r="AI1116" s="109"/>
      <c r="AJ1116" s="109"/>
      <c r="AK1116" s="109"/>
      <c r="AL1116" s="109"/>
      <c r="AM1116" s="109"/>
      <c r="AN1116" s="109"/>
      <c r="AO1116" s="109"/>
      <c r="AP1116" s="109"/>
      <c r="AQ1116" s="109"/>
      <c r="AR1116" s="109"/>
      <c r="AS1116" s="109"/>
    </row>
    <row r="1117" spans="1:45" ht="12.6" customHeight="1" x14ac:dyDescent="0.3">
      <c r="A1117" s="78"/>
      <c r="B1117" s="78"/>
      <c r="C1117" s="78"/>
      <c r="D1117" s="78"/>
      <c r="E1117" s="78"/>
      <c r="F1117" s="78"/>
      <c r="Z1117" s="109"/>
      <c r="AA1117" s="109"/>
      <c r="AB1117" s="109"/>
      <c r="AC1117" s="109"/>
      <c r="AD1117" s="109"/>
      <c r="AE1117" s="109"/>
      <c r="AF1117" s="109"/>
      <c r="AG1117" s="109"/>
      <c r="AH1117" s="109"/>
      <c r="AI1117" s="109"/>
      <c r="AJ1117" s="109"/>
      <c r="AK1117" s="109"/>
      <c r="AL1117" s="109"/>
      <c r="AM1117" s="109"/>
      <c r="AN1117" s="109"/>
      <c r="AO1117" s="109"/>
      <c r="AP1117" s="109"/>
      <c r="AQ1117" s="109"/>
      <c r="AR1117" s="109"/>
      <c r="AS1117" s="109"/>
    </row>
    <row r="1118" spans="1:45" ht="12.6" customHeight="1" x14ac:dyDescent="0.3">
      <c r="A1118" s="78"/>
      <c r="B1118" s="78"/>
      <c r="C1118" s="78"/>
      <c r="D1118" s="78"/>
      <c r="E1118" s="78"/>
      <c r="F1118" s="78"/>
      <c r="Z1118" s="109"/>
      <c r="AA1118" s="109"/>
      <c r="AB1118" s="109"/>
      <c r="AC1118" s="109"/>
      <c r="AD1118" s="109"/>
      <c r="AE1118" s="109"/>
      <c r="AF1118" s="109"/>
      <c r="AG1118" s="109"/>
      <c r="AH1118" s="109"/>
      <c r="AI1118" s="109"/>
      <c r="AJ1118" s="109"/>
      <c r="AK1118" s="109"/>
      <c r="AL1118" s="109"/>
      <c r="AM1118" s="109"/>
      <c r="AN1118" s="109"/>
      <c r="AO1118" s="109"/>
      <c r="AP1118" s="109"/>
      <c r="AQ1118" s="109"/>
      <c r="AR1118" s="109"/>
      <c r="AS1118" s="109"/>
    </row>
    <row r="1119" spans="1:45" ht="12.6" customHeight="1" x14ac:dyDescent="0.3">
      <c r="A1119" s="78"/>
      <c r="B1119" s="78"/>
      <c r="C1119" s="78"/>
      <c r="D1119" s="78"/>
      <c r="E1119" s="78"/>
      <c r="F1119" s="78"/>
      <c r="Z1119" s="109"/>
      <c r="AA1119" s="109"/>
      <c r="AB1119" s="109"/>
      <c r="AC1119" s="109"/>
      <c r="AD1119" s="109"/>
      <c r="AE1119" s="109"/>
      <c r="AF1119" s="109"/>
      <c r="AG1119" s="109"/>
      <c r="AH1119" s="109"/>
      <c r="AI1119" s="109"/>
      <c r="AJ1119" s="109"/>
      <c r="AK1119" s="109"/>
      <c r="AL1119" s="109"/>
      <c r="AM1119" s="109"/>
      <c r="AN1119" s="109"/>
      <c r="AO1119" s="109"/>
      <c r="AP1119" s="109"/>
      <c r="AQ1119" s="109"/>
      <c r="AR1119" s="109"/>
      <c r="AS1119" s="109"/>
    </row>
    <row r="1120" spans="1:45" ht="12.6" customHeight="1" x14ac:dyDescent="0.3">
      <c r="A1120" s="78"/>
      <c r="B1120" s="78"/>
      <c r="C1120" s="78"/>
      <c r="D1120" s="78"/>
      <c r="E1120" s="78"/>
      <c r="F1120" s="78"/>
      <c r="Z1120" s="109"/>
      <c r="AA1120" s="109"/>
      <c r="AB1120" s="109"/>
      <c r="AC1120" s="109"/>
      <c r="AD1120" s="109"/>
      <c r="AE1120" s="109"/>
      <c r="AF1120" s="109"/>
      <c r="AG1120" s="109"/>
      <c r="AH1120" s="109"/>
      <c r="AI1120" s="109"/>
      <c r="AJ1120" s="109"/>
      <c r="AK1120" s="109"/>
      <c r="AL1120" s="109"/>
      <c r="AM1120" s="109"/>
      <c r="AN1120" s="109"/>
      <c r="AO1120" s="109"/>
      <c r="AP1120" s="109"/>
      <c r="AQ1120" s="109"/>
      <c r="AR1120" s="109"/>
      <c r="AS1120" s="109"/>
    </row>
    <row r="1121" spans="1:45" ht="12.6" customHeight="1" x14ac:dyDescent="0.3">
      <c r="A1121" s="78"/>
      <c r="B1121" s="78"/>
      <c r="C1121" s="78"/>
      <c r="D1121" s="78"/>
      <c r="E1121" s="78"/>
      <c r="F1121" s="78"/>
      <c r="Z1121" s="109"/>
      <c r="AA1121" s="109"/>
      <c r="AB1121" s="109"/>
      <c r="AC1121" s="109"/>
      <c r="AD1121" s="109"/>
      <c r="AE1121" s="109"/>
      <c r="AF1121" s="109"/>
      <c r="AG1121" s="109"/>
      <c r="AH1121" s="109"/>
      <c r="AI1121" s="109"/>
      <c r="AJ1121" s="109"/>
      <c r="AK1121" s="109"/>
      <c r="AL1121" s="109"/>
      <c r="AM1121" s="109"/>
      <c r="AN1121" s="109"/>
      <c r="AO1121" s="109"/>
      <c r="AP1121" s="109"/>
      <c r="AQ1121" s="109"/>
      <c r="AR1121" s="109"/>
      <c r="AS1121" s="109"/>
    </row>
    <row r="1122" spans="1:45" ht="12.6" customHeight="1" x14ac:dyDescent="0.3">
      <c r="A1122" s="78"/>
      <c r="B1122" s="78"/>
      <c r="C1122" s="78"/>
      <c r="D1122" s="78"/>
      <c r="E1122" s="78"/>
      <c r="F1122" s="78"/>
      <c r="Z1122" s="109"/>
      <c r="AA1122" s="109"/>
      <c r="AB1122" s="109"/>
      <c r="AC1122" s="109"/>
      <c r="AD1122" s="109"/>
      <c r="AE1122" s="109"/>
      <c r="AF1122" s="109"/>
      <c r="AG1122" s="109"/>
      <c r="AH1122" s="109"/>
      <c r="AI1122" s="109"/>
      <c r="AJ1122" s="109"/>
      <c r="AK1122" s="109"/>
      <c r="AL1122" s="109"/>
      <c r="AM1122" s="109"/>
      <c r="AN1122" s="109"/>
      <c r="AO1122" s="109"/>
      <c r="AP1122" s="109"/>
      <c r="AQ1122" s="109"/>
      <c r="AR1122" s="109"/>
      <c r="AS1122" s="109"/>
    </row>
    <row r="1123" spans="1:45" ht="12.6" customHeight="1" x14ac:dyDescent="0.3">
      <c r="A1123" s="58"/>
      <c r="B1123" s="58"/>
      <c r="C1123" s="58"/>
      <c r="D1123" s="58"/>
      <c r="E1123" s="58"/>
      <c r="F1123" s="58"/>
      <c r="Z1123" s="109"/>
      <c r="AA1123" s="109"/>
      <c r="AB1123" s="109"/>
      <c r="AC1123" s="109"/>
      <c r="AD1123" s="109"/>
      <c r="AE1123" s="109"/>
      <c r="AF1123" s="109"/>
      <c r="AG1123" s="109"/>
      <c r="AH1123" s="109"/>
      <c r="AI1123" s="109"/>
      <c r="AJ1123" s="109"/>
      <c r="AK1123" s="109"/>
      <c r="AL1123" s="109"/>
      <c r="AM1123" s="109"/>
      <c r="AN1123" s="109"/>
      <c r="AO1123" s="109"/>
      <c r="AP1123" s="109"/>
      <c r="AQ1123" s="109"/>
      <c r="AR1123" s="109"/>
      <c r="AS1123" s="109"/>
    </row>
    <row r="1124" spans="1:45" ht="12.6" customHeight="1" x14ac:dyDescent="0.3">
      <c r="A1124" s="159" t="s">
        <v>1401</v>
      </c>
      <c r="B1124" s="152"/>
      <c r="C1124" s="55">
        <f>E1124+D1124+F1124</f>
        <v>29098</v>
      </c>
      <c r="D1124" s="54">
        <f>ROUNDDOWN(SUMIF(N1022:N1112,M1124,D1022:D1112),0)</f>
        <v>17543</v>
      </c>
      <c r="E1124" s="63">
        <f>ROUNDDOWN(SUMIF(N1022:N1112,M1124,E1022:E1112),0)</f>
        <v>4874</v>
      </c>
      <c r="F1124" s="55">
        <f>ROUNDDOWN(SUMIF(N1022:N1112,M1124,F1022:F1112),0)</f>
        <v>6681</v>
      </c>
      <c r="M1124" s="20" t="s">
        <v>1128</v>
      </c>
      <c r="Z1124" s="109"/>
      <c r="AA1124" s="109"/>
      <c r="AB1124" s="109"/>
      <c r="AC1124" s="109"/>
      <c r="AD1124" s="109"/>
      <c r="AE1124" s="109"/>
      <c r="AF1124" s="109"/>
      <c r="AG1124" s="109"/>
      <c r="AH1124" s="109"/>
      <c r="AI1124" s="109"/>
      <c r="AJ1124" s="109"/>
      <c r="AK1124" s="109"/>
      <c r="AL1124" s="109"/>
      <c r="AM1124" s="109"/>
      <c r="AN1124" s="109"/>
      <c r="AO1124" s="109"/>
      <c r="AP1124" s="109"/>
      <c r="AQ1124" s="109"/>
      <c r="AR1124" s="109"/>
      <c r="AS1124" s="109"/>
    </row>
    <row r="1125" spans="1:45" ht="12.6" customHeight="1" x14ac:dyDescent="0.3">
      <c r="A1125" s="95" t="s">
        <v>99</v>
      </c>
      <c r="B1125" s="96" t="s">
        <v>99</v>
      </c>
      <c r="C1125" s="158">
        <f>C1159</f>
        <v>1279</v>
      </c>
      <c r="D1125" s="158">
        <f>D1159</f>
        <v>736</v>
      </c>
      <c r="E1125" s="158">
        <f>E1159</f>
        <v>238</v>
      </c>
      <c r="F1125" s="158">
        <f>F1159</f>
        <v>305</v>
      </c>
      <c r="G1125" s="36" t="str">
        <f>HYPERLINK("#G"&amp;ROW(G1146),"_x0005_`BDCOD|D02139_x0007_`POSS|"&amp;ROW(G1127)&amp;"_x0007_`POSE|"&amp;ROW(G1146)&amp;"_x0007_`")</f>
        <v>_x0005_`BDCOD|D02139_x0007_`POSS|1127_x0007_`POSE|1146_x0007_`</v>
      </c>
      <c r="Z1125" s="109"/>
      <c r="AA1125" s="109"/>
      <c r="AB1125" s="109"/>
      <c r="AC1125" s="109"/>
      <c r="AD1125" s="109"/>
      <c r="AE1125" s="109"/>
      <c r="AF1125" s="109"/>
      <c r="AG1125" s="109"/>
      <c r="AH1125" s="109"/>
      <c r="AI1125" s="109"/>
      <c r="AJ1125" s="109"/>
      <c r="AK1125" s="109"/>
      <c r="AL1125" s="109"/>
      <c r="AM1125" s="109"/>
      <c r="AN1125" s="109"/>
      <c r="AO1125" s="109"/>
      <c r="AP1125" s="109"/>
      <c r="AQ1125" s="109"/>
      <c r="AR1125" s="109"/>
      <c r="AS1125" s="109"/>
    </row>
    <row r="1126" spans="1:45" ht="12.6" customHeight="1" x14ac:dyDescent="0.3">
      <c r="A1126" s="84"/>
      <c r="B1126" s="96" t="s">
        <v>234</v>
      </c>
      <c r="C1126" s="141"/>
      <c r="D1126" s="141"/>
      <c r="E1126" s="141"/>
      <c r="F1126" s="141"/>
      <c r="M1126" s="20" t="s">
        <v>233</v>
      </c>
      <c r="Z1126" s="109"/>
      <c r="AA1126" s="109"/>
      <c r="AB1126" s="109"/>
      <c r="AC1126" s="109"/>
      <c r="AD1126" s="109"/>
      <c r="AE1126" s="109"/>
      <c r="AF1126" s="109"/>
      <c r="AG1126" s="109"/>
      <c r="AH1126" s="109"/>
      <c r="AI1126" s="109"/>
      <c r="AJ1126" s="109"/>
      <c r="AK1126" s="109"/>
      <c r="AL1126" s="109"/>
      <c r="AM1126" s="109"/>
      <c r="AN1126" s="109"/>
      <c r="AO1126" s="109"/>
      <c r="AP1126" s="109"/>
      <c r="AQ1126" s="109"/>
      <c r="AR1126" s="109"/>
      <c r="AS1126" s="109"/>
    </row>
    <row r="1127" spans="1:45" ht="12.6" customHeight="1" x14ac:dyDescent="0.3">
      <c r="A1127" s="68"/>
      <c r="B1127" s="77" t="s">
        <v>1501</v>
      </c>
      <c r="C1127" s="98"/>
      <c r="D1127" s="98"/>
      <c r="E1127" s="98"/>
      <c r="F1127" s="98"/>
      <c r="G1127" s="16" t="s">
        <v>1500</v>
      </c>
      <c r="Z1127" s="109"/>
      <c r="AA1127" s="109"/>
      <c r="AB1127" s="109"/>
      <c r="AC1127" s="109"/>
      <c r="AD1127" s="109"/>
      <c r="AE1127" s="109"/>
      <c r="AF1127" s="109"/>
      <c r="AG1127" s="109"/>
      <c r="AH1127" s="109"/>
      <c r="AI1127" s="109"/>
      <c r="AJ1127" s="109"/>
      <c r="AK1127" s="109"/>
      <c r="AL1127" s="109"/>
      <c r="AM1127" s="109"/>
      <c r="AN1127" s="109"/>
      <c r="AO1127" s="109"/>
      <c r="AP1127" s="109"/>
      <c r="AQ1127" s="109"/>
      <c r="AR1127" s="109"/>
      <c r="AS1127" s="109"/>
    </row>
    <row r="1128" spans="1:45" ht="12.6" customHeight="1" x14ac:dyDescent="0.3">
      <c r="A1128" s="78"/>
      <c r="B1128" s="78"/>
      <c r="C1128" s="78"/>
      <c r="D1128" s="78"/>
      <c r="E1128" s="78"/>
      <c r="F1128" s="78"/>
      <c r="G1128" s="16" t="s">
        <v>1317</v>
      </c>
      <c r="Z1128" s="109"/>
      <c r="AA1128" s="109"/>
      <c r="AB1128" s="109"/>
      <c r="AC1128" s="109"/>
      <c r="AD1128" s="109"/>
      <c r="AE1128" s="109"/>
      <c r="AF1128" s="109"/>
      <c r="AG1128" s="109"/>
      <c r="AH1128" s="109"/>
      <c r="AI1128" s="109"/>
      <c r="AJ1128" s="109"/>
      <c r="AK1128" s="109"/>
      <c r="AL1128" s="109"/>
      <c r="AM1128" s="109"/>
      <c r="AN1128" s="109"/>
      <c r="AO1128" s="109"/>
      <c r="AP1128" s="109"/>
      <c r="AQ1128" s="109"/>
      <c r="AR1128" s="109"/>
      <c r="AS1128" s="109"/>
    </row>
    <row r="1129" spans="1:45" ht="12.6" customHeight="1" x14ac:dyDescent="0.3">
      <c r="A1129" s="78"/>
      <c r="B1129" s="78"/>
      <c r="C1129" s="78"/>
      <c r="D1129" s="78"/>
      <c r="E1129" s="78"/>
      <c r="F1129" s="78"/>
      <c r="G1129" s="16" t="s">
        <v>1317</v>
      </c>
      <c r="Z1129" s="109"/>
      <c r="AA1129" s="109"/>
      <c r="AB1129" s="109"/>
      <c r="AC1129" s="109"/>
      <c r="AD1129" s="109"/>
      <c r="AE1129" s="109"/>
      <c r="AF1129" s="109"/>
      <c r="AG1129" s="109"/>
      <c r="AH1129" s="109"/>
      <c r="AI1129" s="109"/>
      <c r="AJ1129" s="109"/>
      <c r="AK1129" s="109"/>
      <c r="AL1129" s="109"/>
      <c r="AM1129" s="109"/>
      <c r="AN1129" s="109"/>
      <c r="AO1129" s="109"/>
      <c r="AP1129" s="109"/>
      <c r="AQ1129" s="109"/>
      <c r="AR1129" s="109"/>
      <c r="AS1129" s="109"/>
    </row>
    <row r="1130" spans="1:45" ht="12.6" customHeight="1" x14ac:dyDescent="0.3">
      <c r="A1130" s="68"/>
      <c r="B1130" s="77" t="s">
        <v>1746</v>
      </c>
      <c r="C1130" s="78"/>
      <c r="D1130" s="78"/>
      <c r="E1130" s="78"/>
      <c r="F1130" s="78"/>
      <c r="G1130" s="16" t="s">
        <v>1745</v>
      </c>
      <c r="Z1130" s="109"/>
      <c r="AA1130" s="109"/>
      <c r="AB1130" s="109"/>
      <c r="AC1130" s="109"/>
      <c r="AD1130" s="109"/>
      <c r="AE1130" s="109"/>
      <c r="AF1130" s="109"/>
      <c r="AG1130" s="109"/>
      <c r="AH1130" s="109"/>
      <c r="AI1130" s="109"/>
      <c r="AJ1130" s="109"/>
      <c r="AK1130" s="109"/>
      <c r="AL1130" s="109"/>
      <c r="AM1130" s="109"/>
      <c r="AN1130" s="109"/>
      <c r="AO1130" s="109"/>
      <c r="AP1130" s="109"/>
      <c r="AQ1130" s="109"/>
      <c r="AR1130" s="109"/>
      <c r="AS1130" s="109"/>
    </row>
    <row r="1131" spans="1:45" ht="12.6" customHeight="1" x14ac:dyDescent="0.3">
      <c r="A1131" s="78"/>
      <c r="B1131" s="78"/>
      <c r="C1131" s="78"/>
      <c r="D1131" s="78"/>
      <c r="E1131" s="78"/>
      <c r="F1131" s="78"/>
      <c r="G1131" s="16" t="s">
        <v>1317</v>
      </c>
      <c r="Z1131" s="109"/>
      <c r="AA1131" s="109"/>
      <c r="AB1131" s="109"/>
      <c r="AC1131" s="109"/>
      <c r="AD1131" s="109"/>
      <c r="AE1131" s="109"/>
      <c r="AF1131" s="109"/>
      <c r="AG1131" s="109"/>
      <c r="AH1131" s="109"/>
      <c r="AI1131" s="109"/>
      <c r="AJ1131" s="109"/>
      <c r="AK1131" s="109"/>
      <c r="AL1131" s="109"/>
      <c r="AM1131" s="109"/>
      <c r="AN1131" s="109"/>
      <c r="AO1131" s="109"/>
      <c r="AP1131" s="109"/>
      <c r="AQ1131" s="109"/>
      <c r="AR1131" s="109"/>
      <c r="AS1131" s="109"/>
    </row>
    <row r="1132" spans="1:45" ht="12.6" customHeight="1" x14ac:dyDescent="0.3">
      <c r="A1132" s="68"/>
      <c r="B1132" s="97" t="str">
        <f>" q (버킷용량) = "&amp;Z1132&amp;" , f (체적환산계수) = "&amp;AD1132&amp;"/"&amp;AF1132&amp;" , K (버킷계수) = "&amp;AJ1132&amp;""</f>
        <v xml:space="preserve"> q (버킷용량) = 0.7 , f (체적환산계수) = 1/1.25 , K (버킷계수) = 0.9</v>
      </c>
      <c r="C1132" s="78"/>
      <c r="D1132" s="78"/>
      <c r="E1132" s="78"/>
      <c r="F1132" s="78"/>
      <c r="G1132" s="16" t="s">
        <v>1747</v>
      </c>
      <c r="Z1132" s="110">
        <v>0.7</v>
      </c>
      <c r="AA1132" s="20" t="s">
        <v>1326</v>
      </c>
      <c r="AB1132" s="112">
        <f>Z1132</f>
        <v>0.7</v>
      </c>
      <c r="AC1132" s="20" t="s">
        <v>1385</v>
      </c>
      <c r="AD1132" s="111">
        <v>1</v>
      </c>
      <c r="AE1132" s="20" t="s">
        <v>1387</v>
      </c>
      <c r="AF1132" s="110">
        <v>1.25</v>
      </c>
      <c r="AG1132" s="20" t="s">
        <v>1326</v>
      </c>
      <c r="AH1132" s="112">
        <f>ROUND(AD1132/AF1132,13)</f>
        <v>0.8</v>
      </c>
      <c r="AI1132" s="20" t="s">
        <v>1385</v>
      </c>
      <c r="AJ1132" s="110">
        <v>0.9</v>
      </c>
      <c r="AK1132" s="20" t="s">
        <v>1326</v>
      </c>
      <c r="AL1132" s="112">
        <f>AJ1132</f>
        <v>0.9</v>
      </c>
      <c r="AM1132" s="20" t="s">
        <v>1385</v>
      </c>
      <c r="AN1132" s="109"/>
      <c r="AO1132" s="109"/>
      <c r="AP1132" s="109"/>
      <c r="AQ1132" s="109"/>
      <c r="AR1132" s="109"/>
      <c r="AS1132" s="109"/>
    </row>
    <row r="1133" spans="1:45" ht="12.6" customHeight="1" x14ac:dyDescent="0.3">
      <c r="A1133" s="78"/>
      <c r="B1133" s="78"/>
      <c r="C1133" s="78"/>
      <c r="D1133" s="78"/>
      <c r="E1133" s="78"/>
      <c r="F1133" s="78"/>
      <c r="G1133" s="16" t="s">
        <v>1317</v>
      </c>
      <c r="Z1133" s="109"/>
      <c r="AA1133" s="109"/>
      <c r="AB1133" s="109"/>
      <c r="AC1133" s="109"/>
      <c r="AD1133" s="109"/>
      <c r="AE1133" s="109"/>
      <c r="AF1133" s="109"/>
      <c r="AG1133" s="109"/>
      <c r="AH1133" s="109"/>
      <c r="AI1133" s="109"/>
      <c r="AJ1133" s="109"/>
      <c r="AK1133" s="109"/>
      <c r="AL1133" s="109"/>
      <c r="AM1133" s="109"/>
      <c r="AN1133" s="109"/>
      <c r="AO1133" s="109"/>
      <c r="AP1133" s="109"/>
      <c r="AQ1133" s="109"/>
      <c r="AR1133" s="109"/>
      <c r="AS1133" s="109"/>
    </row>
    <row r="1134" spans="1:45" ht="12.6" customHeight="1" x14ac:dyDescent="0.3">
      <c r="A1134" s="68"/>
      <c r="B1134" s="97" t="str">
        <f>" Cm (1회 사이클 시간(초)) = "&amp;Z1134&amp;" sec (90˚) , E  (작업효율) = "&amp;AD1134&amp;""</f>
        <v xml:space="preserve"> Cm (1회 사이클 시간(초)) = 18 sec (90˚) , E  (작업효율) = 0.75</v>
      </c>
      <c r="C1134" s="78"/>
      <c r="D1134" s="78"/>
      <c r="E1134" s="78"/>
      <c r="F1134" s="78"/>
      <c r="G1134" s="16" t="s">
        <v>1748</v>
      </c>
      <c r="Z1134" s="111">
        <v>18</v>
      </c>
      <c r="AA1134" s="20" t="s">
        <v>1326</v>
      </c>
      <c r="AB1134" s="112">
        <f>Z1134</f>
        <v>18</v>
      </c>
      <c r="AC1134" s="20" t="s">
        <v>1385</v>
      </c>
      <c r="AD1134" s="110">
        <v>0.75</v>
      </c>
      <c r="AE1134" s="20" t="s">
        <v>1326</v>
      </c>
      <c r="AF1134" s="112">
        <f>AD1134</f>
        <v>0.75</v>
      </c>
      <c r="AG1134" s="20" t="s">
        <v>1385</v>
      </c>
      <c r="AH1134" s="109"/>
      <c r="AI1134" s="109"/>
      <c r="AJ1134" s="109"/>
      <c r="AK1134" s="109"/>
      <c r="AL1134" s="109"/>
      <c r="AM1134" s="109"/>
      <c r="AN1134" s="109"/>
      <c r="AO1134" s="109"/>
      <c r="AP1134" s="109"/>
      <c r="AQ1134" s="109"/>
      <c r="AR1134" s="109"/>
      <c r="AS1134" s="109"/>
    </row>
    <row r="1135" spans="1:45" ht="12.6" customHeight="1" x14ac:dyDescent="0.3">
      <c r="A1135" s="78"/>
      <c r="B1135" s="78"/>
      <c r="C1135" s="78"/>
      <c r="D1135" s="78"/>
      <c r="E1135" s="78"/>
      <c r="F1135" s="78"/>
      <c r="G1135" s="16" t="s">
        <v>1317</v>
      </c>
      <c r="Z1135" s="109"/>
      <c r="AA1135" s="109"/>
      <c r="AB1135" s="109"/>
      <c r="AC1135" s="109"/>
      <c r="AD1135" s="109"/>
      <c r="AE1135" s="109"/>
      <c r="AF1135" s="109"/>
      <c r="AG1135" s="109"/>
      <c r="AH1135" s="109"/>
      <c r="AI1135" s="109"/>
      <c r="AJ1135" s="109"/>
      <c r="AK1135" s="109"/>
      <c r="AL1135" s="109"/>
      <c r="AM1135" s="109"/>
      <c r="AN1135" s="109"/>
      <c r="AO1135" s="109"/>
      <c r="AP1135" s="109"/>
      <c r="AQ1135" s="109"/>
      <c r="AR1135" s="109"/>
      <c r="AS1135" s="109"/>
    </row>
    <row r="1136" spans="1:45" ht="12.6" customHeight="1" x14ac:dyDescent="0.3">
      <c r="A1136" s="68"/>
      <c r="B1136" s="97" t="str">
        <f>" Q (시간당 작업량)  = "&amp;Z1136&amp;"*q*K*f*E/Cm = "&amp;AL1136&amp;" m3/hr "</f>
        <v xml:space="preserve"> Q (시간당 작업량)  = 3600*q*K*f*E/Cm = 75.60 m3/hr </v>
      </c>
      <c r="C1136" s="78"/>
      <c r="D1136" s="78"/>
      <c r="E1136" s="78"/>
      <c r="F1136" s="78"/>
      <c r="G1136" s="16" t="s">
        <v>1749</v>
      </c>
      <c r="Z1136" s="111">
        <v>3600</v>
      </c>
      <c r="AA1136" s="20" t="s">
        <v>1390</v>
      </c>
      <c r="AB1136" s="112">
        <f>AB1132</f>
        <v>0.7</v>
      </c>
      <c r="AC1136" s="20" t="s">
        <v>1390</v>
      </c>
      <c r="AD1136" s="112">
        <f>AL1132</f>
        <v>0.9</v>
      </c>
      <c r="AE1136" s="20" t="s">
        <v>1390</v>
      </c>
      <c r="AF1136" s="112">
        <f>AH1132</f>
        <v>0.8</v>
      </c>
      <c r="AG1136" s="20" t="s">
        <v>1390</v>
      </c>
      <c r="AH1136" s="112">
        <f>AF1134</f>
        <v>0.75</v>
      </c>
      <c r="AI1136" s="20" t="s">
        <v>1387</v>
      </c>
      <c r="AJ1136" s="112">
        <f>AB1134</f>
        <v>18</v>
      </c>
      <c r="AK1136" s="20" t="s">
        <v>1326</v>
      </c>
      <c r="AL1136" s="112" t="str">
        <f>TEXT(ROUND(Z1136*AB1132*AL1132*AH1132*AF1134/AB1134,2),"0.00")</f>
        <v>75.60</v>
      </c>
      <c r="AM1136" s="109"/>
      <c r="AN1136" s="109"/>
      <c r="AO1136" s="109"/>
      <c r="AP1136" s="109"/>
      <c r="AQ1136" s="109"/>
      <c r="AR1136" s="109"/>
      <c r="AS1136" s="109"/>
    </row>
    <row r="1137" spans="1:45" ht="12.6" customHeight="1" x14ac:dyDescent="0.3">
      <c r="A1137" s="78"/>
      <c r="B1137" s="78"/>
      <c r="C1137" s="78"/>
      <c r="D1137" s="78"/>
      <c r="E1137" s="78"/>
      <c r="F1137" s="78"/>
      <c r="G1137" s="16" t="s">
        <v>1317</v>
      </c>
      <c r="Z1137" s="109"/>
      <c r="AA1137" s="109"/>
      <c r="AB1137" s="109"/>
      <c r="AC1137" s="109"/>
      <c r="AD1137" s="109"/>
      <c r="AE1137" s="109"/>
      <c r="AF1137" s="109"/>
      <c r="AG1137" s="109"/>
      <c r="AH1137" s="109"/>
      <c r="AI1137" s="109"/>
      <c r="AJ1137" s="109"/>
      <c r="AK1137" s="109"/>
      <c r="AL1137" s="109"/>
      <c r="AM1137" s="109"/>
      <c r="AN1137" s="109"/>
      <c r="AO1137" s="109"/>
      <c r="AP1137" s="109"/>
      <c r="AQ1137" s="109"/>
      <c r="AR1137" s="109"/>
      <c r="AS1137" s="109"/>
    </row>
    <row r="1138" spans="1:45" ht="12.6" customHeight="1" x14ac:dyDescent="0.3">
      <c r="A1138" s="68" t="s">
        <v>1473</v>
      </c>
      <c r="B1138" s="97" t="str">
        <f>" 노 무 비  : "&amp;TEXT(I1138,"#,##0"&amp;IF(I1138&lt;&gt;INT(I1138),".###",""))&amp;" / Q   = "&amp;TEXT(C1138,"#,##0.0")&amp;""</f>
        <v xml:space="preserve"> 노 무 비  : 55,700 / Q   = 736.7</v>
      </c>
      <c r="C1138" s="99">
        <f>E1138+D1138+F1138</f>
        <v>736.7</v>
      </c>
      <c r="D1138" s="99">
        <f>IF(H1138=0,0,ROUNDDOWN(J1138*H1138,1))</f>
        <v>736.7</v>
      </c>
      <c r="E1138" s="99">
        <f>IF(H1138=0,0,ROUNDDOWN(K1138*H1138,1))</f>
        <v>0</v>
      </c>
      <c r="F1138" s="99">
        <f>IF(H1138=0,0,ROUNDDOWN(L1138*H1138,1))</f>
        <v>0</v>
      </c>
      <c r="G1138" s="16" t="s">
        <v>1750</v>
      </c>
      <c r="H1138" s="105">
        <f>AC1138</f>
        <v>1.3227513227513229E-2</v>
      </c>
      <c r="I1138" s="106">
        <f>K1138+J1138+L1138</f>
        <v>55700</v>
      </c>
      <c r="J1138" s="39">
        <f>중기목록표!F7</f>
        <v>55700</v>
      </c>
      <c r="M1138" s="20" t="s">
        <v>1193</v>
      </c>
      <c r="N1138" s="20" t="s">
        <v>1341</v>
      </c>
      <c r="X1138" s="108" t="str">
        <f>중기목록표!B7&amp;" / "&amp;중기목록표!C7</f>
        <v xml:space="preserve">굴삭기(0.7m3) / </v>
      </c>
      <c r="Y1138" s="19" t="str">
        <f ca="1">HYPERLINK("#"&amp;중기목록표!J2&amp;"!A"&amp;ROW(중기목록표!A7),"중기    4 →")</f>
        <v>중기    4 →</v>
      </c>
      <c r="Z1138" s="20" t="s">
        <v>1393</v>
      </c>
      <c r="AA1138" s="112" t="str">
        <f>AL1136</f>
        <v>75.60</v>
      </c>
      <c r="AB1138" s="20" t="s">
        <v>1326</v>
      </c>
      <c r="AC1138" s="113">
        <f>1/AL1136</f>
        <v>1.3227513227513229E-2</v>
      </c>
      <c r="AD1138" s="109"/>
      <c r="AE1138" s="109"/>
      <c r="AF1138" s="109"/>
      <c r="AG1138" s="109"/>
      <c r="AH1138" s="109"/>
      <c r="AI1138" s="109"/>
      <c r="AJ1138" s="109"/>
      <c r="AK1138" s="109"/>
      <c r="AL1138" s="109"/>
      <c r="AM1138" s="109"/>
      <c r="AN1138" s="109"/>
      <c r="AO1138" s="109"/>
      <c r="AP1138" s="109"/>
      <c r="AQ1138" s="109"/>
      <c r="AR1138" s="109"/>
      <c r="AS1138" s="109"/>
    </row>
    <row r="1139" spans="1:45" ht="12.6" customHeight="1" x14ac:dyDescent="0.3">
      <c r="A1139" s="78"/>
      <c r="B1139" s="78"/>
      <c r="C1139" s="78"/>
      <c r="D1139" s="78"/>
      <c r="E1139" s="78"/>
      <c r="F1139" s="78"/>
      <c r="G1139" s="16" t="s">
        <v>1317</v>
      </c>
      <c r="Z1139" s="109"/>
      <c r="AA1139" s="109"/>
      <c r="AB1139" s="109"/>
      <c r="AC1139" s="109"/>
      <c r="AD1139" s="109"/>
      <c r="AE1139" s="109"/>
      <c r="AF1139" s="109"/>
      <c r="AG1139" s="109"/>
      <c r="AH1139" s="109"/>
      <c r="AI1139" s="109"/>
      <c r="AJ1139" s="109"/>
      <c r="AK1139" s="109"/>
      <c r="AL1139" s="109"/>
      <c r="AM1139" s="109"/>
      <c r="AN1139" s="109"/>
      <c r="AO1139" s="109"/>
      <c r="AP1139" s="109"/>
      <c r="AQ1139" s="109"/>
      <c r="AR1139" s="109"/>
      <c r="AS1139" s="109"/>
    </row>
    <row r="1140" spans="1:45" ht="12.6" customHeight="1" x14ac:dyDescent="0.3">
      <c r="A1140" s="68" t="s">
        <v>1475</v>
      </c>
      <c r="B1140" s="97" t="str">
        <f>" 재 료 비  : "&amp;TEXT(I1140,"#,##0"&amp;IF(I1140&lt;&gt;INT(I1140),".###",""))&amp;" / Q   = "&amp;TEXT(C1140,"#,##0.0")&amp;""</f>
        <v xml:space="preserve"> 재 료 비  : 18,001 / Q   = 238.1</v>
      </c>
      <c r="C1140" s="99">
        <f>E1140+D1140+F1140</f>
        <v>238.1</v>
      </c>
      <c r="D1140" s="99">
        <f>IF(H1140=0,0,ROUNDDOWN(J1140*H1140,1))</f>
        <v>0</v>
      </c>
      <c r="E1140" s="99">
        <f>IF(H1140=0,0,ROUNDDOWN(K1140*H1140,1))</f>
        <v>238.1</v>
      </c>
      <c r="F1140" s="99">
        <f>IF(H1140=0,0,ROUNDDOWN(L1140*H1140,1))</f>
        <v>0</v>
      </c>
      <c r="G1140" s="16" t="s">
        <v>1751</v>
      </c>
      <c r="H1140" s="105">
        <f>AC1140</f>
        <v>1.3227513227513229E-2</v>
      </c>
      <c r="I1140" s="106">
        <f>K1140+J1140+L1140</f>
        <v>18001</v>
      </c>
      <c r="K1140" s="39">
        <f>중기목록표!G7</f>
        <v>18001</v>
      </c>
      <c r="M1140" s="20" t="s">
        <v>1193</v>
      </c>
      <c r="N1140" s="20" t="s">
        <v>1341</v>
      </c>
      <c r="X1140" s="108" t="str">
        <f>중기목록표!B7&amp;" / "&amp;중기목록표!C7</f>
        <v xml:space="preserve">굴삭기(0.7m3) / </v>
      </c>
      <c r="Y1140" s="19" t="str">
        <f ca="1">HYPERLINK("#"&amp;중기목록표!J2&amp;"!A"&amp;ROW(중기목록표!A7),"중기    4 →")</f>
        <v>중기    4 →</v>
      </c>
      <c r="Z1140" s="20" t="s">
        <v>1393</v>
      </c>
      <c r="AA1140" s="112" t="str">
        <f>AL1136</f>
        <v>75.60</v>
      </c>
      <c r="AB1140" s="20" t="s">
        <v>1326</v>
      </c>
      <c r="AC1140" s="113">
        <f>1/AL1136</f>
        <v>1.3227513227513229E-2</v>
      </c>
      <c r="AD1140" s="109"/>
      <c r="AE1140" s="109"/>
      <c r="AF1140" s="109"/>
      <c r="AG1140" s="109"/>
      <c r="AH1140" s="109"/>
      <c r="AI1140" s="109"/>
      <c r="AJ1140" s="109"/>
      <c r="AK1140" s="109"/>
      <c r="AL1140" s="109"/>
      <c r="AM1140" s="109"/>
      <c r="AN1140" s="109"/>
      <c r="AO1140" s="109"/>
      <c r="AP1140" s="109"/>
      <c r="AQ1140" s="109"/>
      <c r="AR1140" s="109"/>
      <c r="AS1140" s="109"/>
    </row>
    <row r="1141" spans="1:45" ht="12.6" customHeight="1" x14ac:dyDescent="0.3">
      <c r="A1141" s="78"/>
      <c r="B1141" s="78"/>
      <c r="C1141" s="78"/>
      <c r="D1141" s="78"/>
      <c r="E1141" s="78"/>
      <c r="F1141" s="78"/>
      <c r="G1141" s="16" t="s">
        <v>1317</v>
      </c>
      <c r="Z1141" s="109"/>
      <c r="AA1141" s="109"/>
      <c r="AB1141" s="109"/>
      <c r="AC1141" s="109"/>
      <c r="AD1141" s="109"/>
      <c r="AE1141" s="109"/>
      <c r="AF1141" s="109"/>
      <c r="AG1141" s="109"/>
      <c r="AH1141" s="109"/>
      <c r="AI1141" s="109"/>
      <c r="AJ1141" s="109"/>
      <c r="AK1141" s="109"/>
      <c r="AL1141" s="109"/>
      <c r="AM1141" s="109"/>
      <c r="AN1141" s="109"/>
      <c r="AO1141" s="109"/>
      <c r="AP1141" s="109"/>
      <c r="AQ1141" s="109"/>
      <c r="AR1141" s="109"/>
      <c r="AS1141" s="109"/>
    </row>
    <row r="1142" spans="1:45" ht="12.6" customHeight="1" x14ac:dyDescent="0.3">
      <c r="A1142" s="68" t="s">
        <v>1477</v>
      </c>
      <c r="B1142" s="97" t="str">
        <f>" 경    비  : "&amp;TEXT(I1142,"#,##0"&amp;IF(I1142&lt;&gt;INT(I1142),".###",""))&amp;" / Q   = "&amp;TEXT(C1142,"#,##0.0")&amp;""</f>
        <v xml:space="preserve"> 경    비  : 23,128 / Q   = 305.9</v>
      </c>
      <c r="C1142" s="99">
        <f>E1142+D1142+F1142</f>
        <v>305.89999999999998</v>
      </c>
      <c r="D1142" s="99">
        <f>IF(H1142=0,0,ROUNDDOWN(J1142*H1142,1))</f>
        <v>0</v>
      </c>
      <c r="E1142" s="99">
        <f>IF(H1142=0,0,ROUNDDOWN(K1142*H1142,1))</f>
        <v>0</v>
      </c>
      <c r="F1142" s="99">
        <f>IF(H1142=0,0,ROUNDDOWN(L1142*H1142,1))</f>
        <v>305.89999999999998</v>
      </c>
      <c r="G1142" s="16" t="s">
        <v>1752</v>
      </c>
      <c r="H1142" s="105">
        <f>AC1142</f>
        <v>1.3227513227513229E-2</v>
      </c>
      <c r="I1142" s="106">
        <f>K1142+J1142+L1142</f>
        <v>23128</v>
      </c>
      <c r="L1142" s="39">
        <f>중기목록표!H7</f>
        <v>23128</v>
      </c>
      <c r="M1142" s="20" t="s">
        <v>1193</v>
      </c>
      <c r="N1142" s="20" t="s">
        <v>1341</v>
      </c>
      <c r="X1142" s="108" t="str">
        <f>중기목록표!B7&amp;" / "&amp;중기목록표!C7</f>
        <v xml:space="preserve">굴삭기(0.7m3) / </v>
      </c>
      <c r="Y1142" s="19" t="str">
        <f ca="1">HYPERLINK("#"&amp;중기목록표!J2&amp;"!A"&amp;ROW(중기목록표!A7),"중기    4 →")</f>
        <v>중기    4 →</v>
      </c>
      <c r="Z1142" s="20" t="s">
        <v>1393</v>
      </c>
      <c r="AA1142" s="112" t="str">
        <f>AL1136</f>
        <v>75.60</v>
      </c>
      <c r="AB1142" s="20" t="s">
        <v>1326</v>
      </c>
      <c r="AC1142" s="113">
        <f>1/AL1136</f>
        <v>1.3227513227513229E-2</v>
      </c>
      <c r="AD1142" s="109"/>
      <c r="AE1142" s="109"/>
      <c r="AF1142" s="109"/>
      <c r="AG1142" s="109"/>
      <c r="AH1142" s="109"/>
      <c r="AI1142" s="109"/>
      <c r="AJ1142" s="109"/>
      <c r="AK1142" s="109"/>
      <c r="AL1142" s="109"/>
      <c r="AM1142" s="109"/>
      <c r="AN1142" s="109"/>
      <c r="AO1142" s="109"/>
      <c r="AP1142" s="109"/>
      <c r="AQ1142" s="109"/>
      <c r="AR1142" s="109"/>
      <c r="AS1142" s="109"/>
    </row>
    <row r="1143" spans="1:45" ht="12.6" customHeight="1" x14ac:dyDescent="0.3">
      <c r="A1143" s="78"/>
      <c r="B1143" s="78"/>
      <c r="C1143" s="78"/>
      <c r="D1143" s="78"/>
      <c r="E1143" s="78"/>
      <c r="F1143" s="78"/>
      <c r="G1143" s="16" t="s">
        <v>1317</v>
      </c>
      <c r="Z1143" s="109"/>
      <c r="AA1143" s="109"/>
      <c r="AB1143" s="109"/>
      <c r="AC1143" s="109"/>
      <c r="AD1143" s="109"/>
      <c r="AE1143" s="109"/>
      <c r="AF1143" s="109"/>
      <c r="AG1143" s="109"/>
      <c r="AH1143" s="109"/>
      <c r="AI1143" s="109"/>
      <c r="AJ1143" s="109"/>
      <c r="AK1143" s="109"/>
      <c r="AL1143" s="109"/>
      <c r="AM1143" s="109"/>
      <c r="AN1143" s="109"/>
      <c r="AO1143" s="109"/>
      <c r="AP1143" s="109"/>
      <c r="AQ1143" s="109"/>
      <c r="AR1143" s="109"/>
      <c r="AS1143" s="109"/>
    </row>
    <row r="1144" spans="1:45" ht="12.6" customHeight="1" x14ac:dyDescent="0.3">
      <c r="A1144" s="68"/>
      <c r="B1144" s="77" t="s">
        <v>1340</v>
      </c>
      <c r="C1144" s="100">
        <f>E1144+D1144+F1144</f>
        <v>1280.7</v>
      </c>
      <c r="D1144" s="100">
        <f>SUMIF(N1127:N1143,M1144,D1127:D1143)</f>
        <v>736.7</v>
      </c>
      <c r="E1144" s="100">
        <f>SUMIF(N1127:N1143,M1144,E1127:E1143)</f>
        <v>238.1</v>
      </c>
      <c r="F1144" s="100">
        <f>SUMIF(N1127:N1143,M1144,F1127:F1143)</f>
        <v>305.89999999999998</v>
      </c>
      <c r="G1144" s="16" t="s">
        <v>1380</v>
      </c>
      <c r="M1144" s="20" t="s">
        <v>1341</v>
      </c>
      <c r="N1144" s="20" t="s">
        <v>1400</v>
      </c>
      <c r="Z1144" s="109"/>
      <c r="AA1144" s="109"/>
      <c r="AB1144" s="109"/>
      <c r="AC1144" s="109"/>
      <c r="AD1144" s="109"/>
      <c r="AE1144" s="109"/>
      <c r="AF1144" s="109"/>
      <c r="AG1144" s="109"/>
      <c r="AH1144" s="109"/>
      <c r="AI1144" s="109"/>
      <c r="AJ1144" s="109"/>
      <c r="AK1144" s="109"/>
      <c r="AL1144" s="109"/>
      <c r="AM1144" s="109"/>
      <c r="AN1144" s="109"/>
      <c r="AO1144" s="109"/>
      <c r="AP1144" s="109"/>
      <c r="AQ1144" s="109"/>
      <c r="AR1144" s="109"/>
      <c r="AS1144" s="109"/>
    </row>
    <row r="1145" spans="1:45" ht="12.6" customHeight="1" x14ac:dyDescent="0.3">
      <c r="A1145" s="78"/>
      <c r="B1145" s="78"/>
      <c r="C1145" s="98"/>
      <c r="D1145" s="98"/>
      <c r="E1145" s="98"/>
      <c r="F1145" s="98"/>
      <c r="G1145" s="16" t="s">
        <v>1317</v>
      </c>
      <c r="Z1145" s="109"/>
      <c r="AA1145" s="109"/>
      <c r="AB1145" s="109"/>
      <c r="AC1145" s="109"/>
      <c r="AD1145" s="109"/>
      <c r="AE1145" s="109"/>
      <c r="AF1145" s="109"/>
      <c r="AG1145" s="109"/>
      <c r="AH1145" s="109"/>
      <c r="AI1145" s="109"/>
      <c r="AJ1145" s="109"/>
      <c r="AK1145" s="109"/>
      <c r="AL1145" s="109"/>
      <c r="AM1145" s="109"/>
      <c r="AN1145" s="109"/>
      <c r="AO1145" s="109"/>
      <c r="AP1145" s="109"/>
      <c r="AQ1145" s="109"/>
      <c r="AR1145" s="109"/>
      <c r="AS1145" s="109"/>
    </row>
    <row r="1146" spans="1:45" ht="12.6" customHeight="1" x14ac:dyDescent="0.3">
      <c r="A1146" s="68"/>
      <c r="B1146" s="77" t="s">
        <v>1399</v>
      </c>
      <c r="C1146" s="100">
        <f>E1146+D1146+F1146</f>
        <v>1280.7</v>
      </c>
      <c r="D1146" s="100">
        <f>SUMIF(N1127:N1145,M1146,D1127:D1145)</f>
        <v>736.7</v>
      </c>
      <c r="E1146" s="100">
        <f>SUMIF(N1127:N1145,M1146,E1127:E1145)</f>
        <v>238.1</v>
      </c>
      <c r="F1146" s="100">
        <f>SUMIF(N1127:N1145,M1146,F1127:F1145)</f>
        <v>305.89999999999998</v>
      </c>
      <c r="G1146" s="16" t="s">
        <v>1398</v>
      </c>
      <c r="M1146" s="20" t="s">
        <v>1400</v>
      </c>
      <c r="N1146" s="20" t="s">
        <v>1128</v>
      </c>
      <c r="Z1146" s="109"/>
      <c r="AA1146" s="109"/>
      <c r="AB1146" s="109"/>
      <c r="AC1146" s="109"/>
      <c r="AD1146" s="109"/>
      <c r="AE1146" s="109"/>
      <c r="AF1146" s="109"/>
      <c r="AG1146" s="109"/>
      <c r="AH1146" s="109"/>
      <c r="AI1146" s="109"/>
      <c r="AJ1146" s="109"/>
      <c r="AK1146" s="109"/>
      <c r="AL1146" s="109"/>
      <c r="AM1146" s="109"/>
      <c r="AN1146" s="109"/>
      <c r="AO1146" s="109"/>
      <c r="AP1146" s="109"/>
      <c r="AQ1146" s="109"/>
      <c r="AR1146" s="109"/>
      <c r="AS1146" s="109"/>
    </row>
    <row r="1147" spans="1:45" ht="12.6" customHeight="1" x14ac:dyDescent="0.3">
      <c r="A1147" s="78"/>
      <c r="B1147" s="78"/>
      <c r="C1147" s="98"/>
      <c r="D1147" s="98"/>
      <c r="E1147" s="98"/>
      <c r="F1147" s="98"/>
      <c r="Z1147" s="109"/>
      <c r="AA1147" s="109"/>
      <c r="AB1147" s="109"/>
      <c r="AC1147" s="109"/>
      <c r="AD1147" s="109"/>
      <c r="AE1147" s="109"/>
      <c r="AF1147" s="109"/>
      <c r="AG1147" s="109"/>
      <c r="AH1147" s="109"/>
      <c r="AI1147" s="109"/>
      <c r="AJ1147" s="109"/>
      <c r="AK1147" s="109"/>
      <c r="AL1147" s="109"/>
      <c r="AM1147" s="109"/>
      <c r="AN1147" s="109"/>
      <c r="AO1147" s="109"/>
      <c r="AP1147" s="109"/>
      <c r="AQ1147" s="109"/>
      <c r="AR1147" s="109"/>
      <c r="AS1147" s="109"/>
    </row>
    <row r="1148" spans="1:45" ht="12.6" customHeight="1" x14ac:dyDescent="0.3">
      <c r="A1148" s="78"/>
      <c r="B1148" s="78"/>
      <c r="C1148" s="78"/>
      <c r="D1148" s="78"/>
      <c r="E1148" s="78"/>
      <c r="F1148" s="78"/>
      <c r="Z1148" s="109"/>
      <c r="AA1148" s="109"/>
      <c r="AB1148" s="109"/>
      <c r="AC1148" s="109"/>
      <c r="AD1148" s="109"/>
      <c r="AE1148" s="109"/>
      <c r="AF1148" s="109"/>
      <c r="AG1148" s="109"/>
      <c r="AH1148" s="109"/>
      <c r="AI1148" s="109"/>
      <c r="AJ1148" s="109"/>
      <c r="AK1148" s="109"/>
      <c r="AL1148" s="109"/>
      <c r="AM1148" s="109"/>
      <c r="AN1148" s="109"/>
      <c r="AO1148" s="109"/>
      <c r="AP1148" s="109"/>
      <c r="AQ1148" s="109"/>
      <c r="AR1148" s="109"/>
      <c r="AS1148" s="109"/>
    </row>
    <row r="1149" spans="1:45" ht="12.6" customHeight="1" x14ac:dyDescent="0.3">
      <c r="A1149" s="78"/>
      <c r="B1149" s="78"/>
      <c r="C1149" s="78"/>
      <c r="D1149" s="78"/>
      <c r="E1149" s="78"/>
      <c r="F1149" s="78"/>
      <c r="Z1149" s="109"/>
      <c r="AA1149" s="109"/>
      <c r="AB1149" s="109"/>
      <c r="AC1149" s="109"/>
      <c r="AD1149" s="109"/>
      <c r="AE1149" s="109"/>
      <c r="AF1149" s="109"/>
      <c r="AG1149" s="109"/>
      <c r="AH1149" s="109"/>
      <c r="AI1149" s="109"/>
      <c r="AJ1149" s="109"/>
      <c r="AK1149" s="109"/>
      <c r="AL1149" s="109"/>
      <c r="AM1149" s="109"/>
      <c r="AN1149" s="109"/>
      <c r="AO1149" s="109"/>
      <c r="AP1149" s="109"/>
      <c r="AQ1149" s="109"/>
      <c r="AR1149" s="109"/>
      <c r="AS1149" s="109"/>
    </row>
    <row r="1150" spans="1:45" ht="12.6" customHeight="1" x14ac:dyDescent="0.3">
      <c r="A1150" s="78"/>
      <c r="B1150" s="78"/>
      <c r="C1150" s="78"/>
      <c r="D1150" s="78"/>
      <c r="E1150" s="78"/>
      <c r="F1150" s="78"/>
      <c r="Z1150" s="109"/>
      <c r="AA1150" s="109"/>
      <c r="AB1150" s="109"/>
      <c r="AC1150" s="109"/>
      <c r="AD1150" s="109"/>
      <c r="AE1150" s="109"/>
      <c r="AF1150" s="109"/>
      <c r="AG1150" s="109"/>
      <c r="AH1150" s="109"/>
      <c r="AI1150" s="109"/>
      <c r="AJ1150" s="109"/>
      <c r="AK1150" s="109"/>
      <c r="AL1150" s="109"/>
      <c r="AM1150" s="109"/>
      <c r="AN1150" s="109"/>
      <c r="AO1150" s="109"/>
      <c r="AP1150" s="109"/>
      <c r="AQ1150" s="109"/>
      <c r="AR1150" s="109"/>
      <c r="AS1150" s="109"/>
    </row>
    <row r="1151" spans="1:45" ht="12.6" customHeight="1" x14ac:dyDescent="0.3">
      <c r="A1151" s="78"/>
      <c r="B1151" s="78"/>
      <c r="C1151" s="78"/>
      <c r="D1151" s="78"/>
      <c r="E1151" s="78"/>
      <c r="F1151" s="78"/>
      <c r="Z1151" s="109"/>
      <c r="AA1151" s="109"/>
      <c r="AB1151" s="109"/>
      <c r="AC1151" s="109"/>
      <c r="AD1151" s="109"/>
      <c r="AE1151" s="109"/>
      <c r="AF1151" s="109"/>
      <c r="AG1151" s="109"/>
      <c r="AH1151" s="109"/>
      <c r="AI1151" s="109"/>
      <c r="AJ1151" s="109"/>
      <c r="AK1151" s="109"/>
      <c r="AL1151" s="109"/>
      <c r="AM1151" s="109"/>
      <c r="AN1151" s="109"/>
      <c r="AO1151" s="109"/>
      <c r="AP1151" s="109"/>
      <c r="AQ1151" s="109"/>
      <c r="AR1151" s="109"/>
      <c r="AS1151" s="109"/>
    </row>
    <row r="1152" spans="1:45" ht="12.6" customHeight="1" x14ac:dyDescent="0.3">
      <c r="A1152" s="78"/>
      <c r="B1152" s="78"/>
      <c r="C1152" s="78"/>
      <c r="D1152" s="78"/>
      <c r="E1152" s="78"/>
      <c r="F1152" s="78"/>
      <c r="Z1152" s="109"/>
      <c r="AA1152" s="109"/>
      <c r="AB1152" s="109"/>
      <c r="AC1152" s="109"/>
      <c r="AD1152" s="109"/>
      <c r="AE1152" s="109"/>
      <c r="AF1152" s="109"/>
      <c r="AG1152" s="109"/>
      <c r="AH1152" s="109"/>
      <c r="AI1152" s="109"/>
      <c r="AJ1152" s="109"/>
      <c r="AK1152" s="109"/>
      <c r="AL1152" s="109"/>
      <c r="AM1152" s="109"/>
      <c r="AN1152" s="109"/>
      <c r="AO1152" s="109"/>
      <c r="AP1152" s="109"/>
      <c r="AQ1152" s="109"/>
      <c r="AR1152" s="109"/>
      <c r="AS1152" s="109"/>
    </row>
    <row r="1153" spans="1:45" ht="12.6" customHeight="1" x14ac:dyDescent="0.3">
      <c r="A1153" s="78"/>
      <c r="B1153" s="78"/>
      <c r="C1153" s="78"/>
      <c r="D1153" s="78"/>
      <c r="E1153" s="78"/>
      <c r="F1153" s="78"/>
      <c r="Z1153" s="109"/>
      <c r="AA1153" s="109"/>
      <c r="AB1153" s="109"/>
      <c r="AC1153" s="109"/>
      <c r="AD1153" s="109"/>
      <c r="AE1153" s="109"/>
      <c r="AF1153" s="109"/>
      <c r="AG1153" s="109"/>
      <c r="AH1153" s="109"/>
      <c r="AI1153" s="109"/>
      <c r="AJ1153" s="109"/>
      <c r="AK1153" s="109"/>
      <c r="AL1153" s="109"/>
      <c r="AM1153" s="109"/>
      <c r="AN1153" s="109"/>
      <c r="AO1153" s="109"/>
      <c r="AP1153" s="109"/>
      <c r="AQ1153" s="109"/>
      <c r="AR1153" s="109"/>
      <c r="AS1153" s="109"/>
    </row>
    <row r="1154" spans="1:45" ht="12.6" customHeight="1" x14ac:dyDescent="0.3">
      <c r="A1154" s="78"/>
      <c r="B1154" s="78"/>
      <c r="C1154" s="78"/>
      <c r="D1154" s="78"/>
      <c r="E1154" s="78"/>
      <c r="F1154" s="78"/>
      <c r="Z1154" s="109"/>
      <c r="AA1154" s="109"/>
      <c r="AB1154" s="109"/>
      <c r="AC1154" s="109"/>
      <c r="AD1154" s="109"/>
      <c r="AE1154" s="109"/>
      <c r="AF1154" s="109"/>
      <c r="AG1154" s="109"/>
      <c r="AH1154" s="109"/>
      <c r="AI1154" s="109"/>
      <c r="AJ1154" s="109"/>
      <c r="AK1154" s="109"/>
      <c r="AL1154" s="109"/>
      <c r="AM1154" s="109"/>
      <c r="AN1154" s="109"/>
      <c r="AO1154" s="109"/>
      <c r="AP1154" s="109"/>
      <c r="AQ1154" s="109"/>
      <c r="AR1154" s="109"/>
      <c r="AS1154" s="109"/>
    </row>
    <row r="1155" spans="1:45" ht="12.6" customHeight="1" x14ac:dyDescent="0.3">
      <c r="A1155" s="78"/>
      <c r="B1155" s="78"/>
      <c r="C1155" s="78"/>
      <c r="D1155" s="78"/>
      <c r="E1155" s="78"/>
      <c r="F1155" s="78"/>
      <c r="Z1155" s="109"/>
      <c r="AA1155" s="109"/>
      <c r="AB1155" s="109"/>
      <c r="AC1155" s="109"/>
      <c r="AD1155" s="109"/>
      <c r="AE1155" s="109"/>
      <c r="AF1155" s="109"/>
      <c r="AG1155" s="109"/>
      <c r="AH1155" s="109"/>
      <c r="AI1155" s="109"/>
      <c r="AJ1155" s="109"/>
      <c r="AK1155" s="109"/>
      <c r="AL1155" s="109"/>
      <c r="AM1155" s="109"/>
      <c r="AN1155" s="109"/>
      <c r="AO1155" s="109"/>
      <c r="AP1155" s="109"/>
      <c r="AQ1155" s="109"/>
      <c r="AR1155" s="109"/>
      <c r="AS1155" s="109"/>
    </row>
    <row r="1156" spans="1:45" ht="12.6" customHeight="1" x14ac:dyDescent="0.3">
      <c r="A1156" s="78"/>
      <c r="B1156" s="78"/>
      <c r="C1156" s="78"/>
      <c r="D1156" s="78"/>
      <c r="E1156" s="78"/>
      <c r="F1156" s="78"/>
      <c r="Z1156" s="109"/>
      <c r="AA1156" s="109"/>
      <c r="AB1156" s="109"/>
      <c r="AC1156" s="109"/>
      <c r="AD1156" s="109"/>
      <c r="AE1156" s="109"/>
      <c r="AF1156" s="109"/>
      <c r="AG1156" s="109"/>
      <c r="AH1156" s="109"/>
      <c r="AI1156" s="109"/>
      <c r="AJ1156" s="109"/>
      <c r="AK1156" s="109"/>
      <c r="AL1156" s="109"/>
      <c r="AM1156" s="109"/>
      <c r="AN1156" s="109"/>
      <c r="AO1156" s="109"/>
      <c r="AP1156" s="109"/>
      <c r="AQ1156" s="109"/>
      <c r="AR1156" s="109"/>
      <c r="AS1156" s="109"/>
    </row>
    <row r="1157" spans="1:45" ht="12.6" customHeight="1" x14ac:dyDescent="0.3">
      <c r="A1157" s="78"/>
      <c r="B1157" s="78"/>
      <c r="C1157" s="78"/>
      <c r="D1157" s="78"/>
      <c r="E1157" s="78"/>
      <c r="F1157" s="78"/>
      <c r="Z1157" s="109"/>
      <c r="AA1157" s="109"/>
      <c r="AB1157" s="109"/>
      <c r="AC1157" s="109"/>
      <c r="AD1157" s="109"/>
      <c r="AE1157" s="109"/>
      <c r="AF1157" s="109"/>
      <c r="AG1157" s="109"/>
      <c r="AH1157" s="109"/>
      <c r="AI1157" s="109"/>
      <c r="AJ1157" s="109"/>
      <c r="AK1157" s="109"/>
      <c r="AL1157" s="109"/>
      <c r="AM1157" s="109"/>
      <c r="AN1157" s="109"/>
      <c r="AO1157" s="109"/>
      <c r="AP1157" s="109"/>
      <c r="AQ1157" s="109"/>
      <c r="AR1157" s="109"/>
      <c r="AS1157" s="109"/>
    </row>
    <row r="1158" spans="1:45" ht="12.6" customHeight="1" x14ac:dyDescent="0.3">
      <c r="A1158" s="58"/>
      <c r="B1158" s="58"/>
      <c r="C1158" s="58"/>
      <c r="D1158" s="58"/>
      <c r="E1158" s="58"/>
      <c r="F1158" s="58"/>
      <c r="Z1158" s="109"/>
      <c r="AA1158" s="109"/>
      <c r="AB1158" s="109"/>
      <c r="AC1158" s="109"/>
      <c r="AD1158" s="109"/>
      <c r="AE1158" s="109"/>
      <c r="AF1158" s="109"/>
      <c r="AG1158" s="109"/>
      <c r="AH1158" s="109"/>
      <c r="AI1158" s="109"/>
      <c r="AJ1158" s="109"/>
      <c r="AK1158" s="109"/>
      <c r="AL1158" s="109"/>
      <c r="AM1158" s="109"/>
      <c r="AN1158" s="109"/>
      <c r="AO1158" s="109"/>
      <c r="AP1158" s="109"/>
      <c r="AQ1158" s="109"/>
      <c r="AR1158" s="109"/>
      <c r="AS1158" s="109"/>
    </row>
    <row r="1159" spans="1:45" ht="12.6" customHeight="1" x14ac:dyDescent="0.3">
      <c r="A1159" s="159" t="s">
        <v>1401</v>
      </c>
      <c r="B1159" s="152"/>
      <c r="C1159" s="55">
        <f>E1159+D1159+F1159</f>
        <v>1279</v>
      </c>
      <c r="D1159" s="54">
        <f>ROUNDDOWN(SUMIF(N1127:N1146,M1159,D1127:D1146),0)</f>
        <v>736</v>
      </c>
      <c r="E1159" s="63">
        <f>ROUNDDOWN(SUMIF(N1127:N1146,M1159,E1127:E1146),0)</f>
        <v>238</v>
      </c>
      <c r="F1159" s="55">
        <f>ROUNDDOWN(SUMIF(N1127:N1146,M1159,F1127:F1146),0)</f>
        <v>305</v>
      </c>
      <c r="M1159" s="20" t="s">
        <v>1128</v>
      </c>
      <c r="Z1159" s="109"/>
      <c r="AA1159" s="109"/>
      <c r="AB1159" s="109"/>
      <c r="AC1159" s="109"/>
      <c r="AD1159" s="109"/>
      <c r="AE1159" s="109"/>
      <c r="AF1159" s="109"/>
      <c r="AG1159" s="109"/>
      <c r="AH1159" s="109"/>
      <c r="AI1159" s="109"/>
      <c r="AJ1159" s="109"/>
      <c r="AK1159" s="109"/>
      <c r="AL1159" s="109"/>
      <c r="AM1159" s="109"/>
      <c r="AN1159" s="109"/>
      <c r="AO1159" s="109"/>
      <c r="AP1159" s="109"/>
      <c r="AQ1159" s="109"/>
      <c r="AR1159" s="109"/>
      <c r="AS1159" s="109"/>
    </row>
    <row r="1160" spans="1:45" ht="12.6" customHeight="1" x14ac:dyDescent="0.3">
      <c r="A1160" s="95" t="s">
        <v>103</v>
      </c>
      <c r="B1160" s="96" t="s">
        <v>103</v>
      </c>
      <c r="C1160" s="158">
        <f>C1194</f>
        <v>1023</v>
      </c>
      <c r="D1160" s="158">
        <f>D1194</f>
        <v>589</v>
      </c>
      <c r="E1160" s="158">
        <f>E1194</f>
        <v>190</v>
      </c>
      <c r="F1160" s="158">
        <f>F1194</f>
        <v>244</v>
      </c>
      <c r="G1160" s="36" t="str">
        <f>HYPERLINK("#G"&amp;ROW(G1179),"_x0005_`BDCOD|D02145_x0007_`POSS|"&amp;ROW(G1162)&amp;"_x0007_`POSE|"&amp;ROW(G1179)&amp;"_x0007_`")</f>
        <v>_x0005_`BDCOD|D02145_x0007_`POSS|1162_x0007_`POSE|1179_x0007_`</v>
      </c>
      <c r="Z1160" s="109"/>
      <c r="AA1160" s="109"/>
      <c r="AB1160" s="109"/>
      <c r="AC1160" s="109"/>
      <c r="AD1160" s="109"/>
      <c r="AE1160" s="109"/>
      <c r="AF1160" s="109"/>
      <c r="AG1160" s="109"/>
      <c r="AH1160" s="109"/>
      <c r="AI1160" s="109"/>
      <c r="AJ1160" s="109"/>
      <c r="AK1160" s="109"/>
      <c r="AL1160" s="109"/>
      <c r="AM1160" s="109"/>
      <c r="AN1160" s="109"/>
      <c r="AO1160" s="109"/>
      <c r="AP1160" s="109"/>
      <c r="AQ1160" s="109"/>
      <c r="AR1160" s="109"/>
      <c r="AS1160" s="109"/>
    </row>
    <row r="1161" spans="1:45" ht="12.6" customHeight="1" x14ac:dyDescent="0.3">
      <c r="A1161" s="84"/>
      <c r="B1161" s="96" t="s">
        <v>237</v>
      </c>
      <c r="C1161" s="141"/>
      <c r="D1161" s="141"/>
      <c r="E1161" s="141"/>
      <c r="F1161" s="141"/>
      <c r="M1161" s="20" t="s">
        <v>236</v>
      </c>
      <c r="Z1161" s="109"/>
      <c r="AA1161" s="109"/>
      <c r="AB1161" s="109"/>
      <c r="AC1161" s="109"/>
      <c r="AD1161" s="109"/>
      <c r="AE1161" s="109"/>
      <c r="AF1161" s="109"/>
      <c r="AG1161" s="109"/>
      <c r="AH1161" s="109"/>
      <c r="AI1161" s="109"/>
      <c r="AJ1161" s="109"/>
      <c r="AK1161" s="109"/>
      <c r="AL1161" s="109"/>
      <c r="AM1161" s="109"/>
      <c r="AN1161" s="109"/>
      <c r="AO1161" s="109"/>
      <c r="AP1161" s="109"/>
      <c r="AQ1161" s="109"/>
      <c r="AR1161" s="109"/>
      <c r="AS1161" s="109"/>
    </row>
    <row r="1162" spans="1:45" ht="12.6" customHeight="1" x14ac:dyDescent="0.3">
      <c r="A1162" s="78"/>
      <c r="B1162" s="78"/>
      <c r="C1162" s="98"/>
      <c r="D1162" s="98"/>
      <c r="E1162" s="98"/>
      <c r="F1162" s="98"/>
      <c r="G1162" s="16" t="s">
        <v>1317</v>
      </c>
      <c r="Z1162" s="109"/>
      <c r="AA1162" s="109"/>
      <c r="AB1162" s="109"/>
      <c r="AC1162" s="109"/>
      <c r="AD1162" s="109"/>
      <c r="AE1162" s="109"/>
      <c r="AF1162" s="109"/>
      <c r="AG1162" s="109"/>
      <c r="AH1162" s="109"/>
      <c r="AI1162" s="109"/>
      <c r="AJ1162" s="109"/>
      <c r="AK1162" s="109"/>
      <c r="AL1162" s="109"/>
      <c r="AM1162" s="109"/>
      <c r="AN1162" s="109"/>
      <c r="AO1162" s="109"/>
      <c r="AP1162" s="109"/>
      <c r="AQ1162" s="109"/>
      <c r="AR1162" s="109"/>
      <c r="AS1162" s="109"/>
    </row>
    <row r="1163" spans="1:45" ht="12.6" customHeight="1" x14ac:dyDescent="0.3">
      <c r="A1163" s="78"/>
      <c r="B1163" s="78"/>
      <c r="C1163" s="78"/>
      <c r="D1163" s="78"/>
      <c r="E1163" s="78"/>
      <c r="F1163" s="78"/>
      <c r="G1163" s="16" t="s">
        <v>1317</v>
      </c>
      <c r="Z1163" s="109"/>
      <c r="AA1163" s="109"/>
      <c r="AB1163" s="109"/>
      <c r="AC1163" s="109"/>
      <c r="AD1163" s="109"/>
      <c r="AE1163" s="109"/>
      <c r="AF1163" s="109"/>
      <c r="AG1163" s="109"/>
      <c r="AH1163" s="109"/>
      <c r="AI1163" s="109"/>
      <c r="AJ1163" s="109"/>
      <c r="AK1163" s="109"/>
      <c r="AL1163" s="109"/>
      <c r="AM1163" s="109"/>
      <c r="AN1163" s="109"/>
      <c r="AO1163" s="109"/>
      <c r="AP1163" s="109"/>
      <c r="AQ1163" s="109"/>
      <c r="AR1163" s="109"/>
      <c r="AS1163" s="109"/>
    </row>
    <row r="1164" spans="1:45" ht="12.6" customHeight="1" x14ac:dyDescent="0.3">
      <c r="A1164" s="68"/>
      <c r="B1164" s="77" t="s">
        <v>1754</v>
      </c>
      <c r="C1164" s="78"/>
      <c r="D1164" s="78"/>
      <c r="E1164" s="78"/>
      <c r="F1164" s="78"/>
      <c r="G1164" s="16" t="s">
        <v>1753</v>
      </c>
      <c r="Z1164" s="109"/>
      <c r="AA1164" s="109"/>
      <c r="AB1164" s="109"/>
      <c r="AC1164" s="109"/>
      <c r="AD1164" s="109"/>
      <c r="AE1164" s="109"/>
      <c r="AF1164" s="109"/>
      <c r="AG1164" s="109"/>
      <c r="AH1164" s="109"/>
      <c r="AI1164" s="109"/>
      <c r="AJ1164" s="109"/>
      <c r="AK1164" s="109"/>
      <c r="AL1164" s="109"/>
      <c r="AM1164" s="109"/>
      <c r="AN1164" s="109"/>
      <c r="AO1164" s="109"/>
      <c r="AP1164" s="109"/>
      <c r="AQ1164" s="109"/>
      <c r="AR1164" s="109"/>
      <c r="AS1164" s="109"/>
    </row>
    <row r="1165" spans="1:45" ht="12.6" customHeight="1" x14ac:dyDescent="0.3">
      <c r="A1165" s="78"/>
      <c r="B1165" s="78"/>
      <c r="C1165" s="78"/>
      <c r="D1165" s="78"/>
      <c r="E1165" s="78"/>
      <c r="F1165" s="78"/>
      <c r="G1165" s="16" t="s">
        <v>1317</v>
      </c>
      <c r="Z1165" s="109"/>
      <c r="AA1165" s="109"/>
      <c r="AB1165" s="109"/>
      <c r="AC1165" s="109"/>
      <c r="AD1165" s="109"/>
      <c r="AE1165" s="109"/>
      <c r="AF1165" s="109"/>
      <c r="AG1165" s="109"/>
      <c r="AH1165" s="109"/>
      <c r="AI1165" s="109"/>
      <c r="AJ1165" s="109"/>
      <c r="AK1165" s="109"/>
      <c r="AL1165" s="109"/>
      <c r="AM1165" s="109"/>
      <c r="AN1165" s="109"/>
      <c r="AO1165" s="109"/>
      <c r="AP1165" s="109"/>
      <c r="AQ1165" s="109"/>
      <c r="AR1165" s="109"/>
      <c r="AS1165" s="109"/>
    </row>
    <row r="1166" spans="1:45" ht="12.6" customHeight="1" x14ac:dyDescent="0.3">
      <c r="A1166" s="68"/>
      <c r="B1166" s="97" t="str">
        <f>"q (버킷용량) = "&amp;Z1166&amp;" , k (버킷계수) = "&amp;AD1166&amp;" , f (체적환산계수) = "&amp;AH1166&amp;""</f>
        <v>q (버킷용량) = 0.7 , k (버킷계수) = 0.9 , f (체적환산계수) = 1</v>
      </c>
      <c r="C1166" s="78"/>
      <c r="D1166" s="78"/>
      <c r="E1166" s="78"/>
      <c r="F1166" s="78"/>
      <c r="G1166" s="16" t="s">
        <v>1755</v>
      </c>
      <c r="Z1166" s="110">
        <v>0.7</v>
      </c>
      <c r="AA1166" s="20" t="s">
        <v>1326</v>
      </c>
      <c r="AB1166" s="112">
        <f>Z1166</f>
        <v>0.7</v>
      </c>
      <c r="AC1166" s="20" t="s">
        <v>1385</v>
      </c>
      <c r="AD1166" s="110">
        <v>0.9</v>
      </c>
      <c r="AE1166" s="20" t="s">
        <v>1326</v>
      </c>
      <c r="AF1166" s="112">
        <f>AD1166</f>
        <v>0.9</v>
      </c>
      <c r="AG1166" s="20" t="s">
        <v>1385</v>
      </c>
      <c r="AH1166" s="111">
        <v>1</v>
      </c>
      <c r="AI1166" s="20" t="s">
        <v>1326</v>
      </c>
      <c r="AJ1166" s="112">
        <f>AH1166</f>
        <v>1</v>
      </c>
      <c r="AK1166" s="20" t="s">
        <v>1385</v>
      </c>
      <c r="AL1166" s="109"/>
      <c r="AM1166" s="109"/>
      <c r="AN1166" s="109"/>
      <c r="AO1166" s="109"/>
      <c r="AP1166" s="109"/>
      <c r="AQ1166" s="109"/>
      <c r="AR1166" s="109"/>
      <c r="AS1166" s="109"/>
    </row>
    <row r="1167" spans="1:45" ht="12.6" customHeight="1" x14ac:dyDescent="0.3">
      <c r="A1167" s="78"/>
      <c r="B1167" s="78"/>
      <c r="C1167" s="78"/>
      <c r="D1167" s="78"/>
      <c r="E1167" s="78"/>
      <c r="F1167" s="78"/>
      <c r="G1167" s="16" t="s">
        <v>1317</v>
      </c>
      <c r="Z1167" s="109"/>
      <c r="AA1167" s="109"/>
      <c r="AB1167" s="109"/>
      <c r="AC1167" s="109"/>
      <c r="AD1167" s="109"/>
      <c r="AE1167" s="109"/>
      <c r="AF1167" s="109"/>
      <c r="AG1167" s="109"/>
      <c r="AH1167" s="109"/>
      <c r="AI1167" s="109"/>
      <c r="AJ1167" s="109"/>
      <c r="AK1167" s="109"/>
      <c r="AL1167" s="109"/>
      <c r="AM1167" s="109"/>
      <c r="AN1167" s="109"/>
      <c r="AO1167" s="109"/>
      <c r="AP1167" s="109"/>
      <c r="AQ1167" s="109"/>
      <c r="AR1167" s="109"/>
      <c r="AS1167" s="109"/>
    </row>
    <row r="1168" spans="1:45" ht="12.6" customHeight="1" x14ac:dyDescent="0.3">
      <c r="A1168" s="68"/>
      <c r="B1168" s="97" t="str">
        <f>"E (작업효율) = "&amp;Z1168&amp;" , Cm (1회사이클시간(초)) = "&amp;AD1168&amp;"  sec(90) "</f>
        <v xml:space="preserve">E (작업효율) = 0.75 , Cm (1회사이클시간(초)) = 18  sec(90) </v>
      </c>
      <c r="C1168" s="78"/>
      <c r="D1168" s="78"/>
      <c r="E1168" s="78"/>
      <c r="F1168" s="78"/>
      <c r="G1168" s="16" t="s">
        <v>1756</v>
      </c>
      <c r="Z1168" s="110">
        <v>0.75</v>
      </c>
      <c r="AA1168" s="20" t="s">
        <v>1326</v>
      </c>
      <c r="AB1168" s="112">
        <f>Z1168</f>
        <v>0.75</v>
      </c>
      <c r="AC1168" s="20" t="s">
        <v>1385</v>
      </c>
      <c r="AD1168" s="111">
        <v>18</v>
      </c>
      <c r="AE1168" s="20" t="s">
        <v>1326</v>
      </c>
      <c r="AF1168" s="112">
        <f>AD1168</f>
        <v>18</v>
      </c>
      <c r="AG1168" s="20" t="s">
        <v>1385</v>
      </c>
      <c r="AH1168" s="109"/>
      <c r="AI1168" s="109"/>
      <c r="AJ1168" s="109"/>
      <c r="AK1168" s="109"/>
      <c r="AL1168" s="109"/>
      <c r="AM1168" s="109"/>
      <c r="AN1168" s="109"/>
      <c r="AO1168" s="109"/>
      <c r="AP1168" s="109"/>
      <c r="AQ1168" s="109"/>
      <c r="AR1168" s="109"/>
      <c r="AS1168" s="109"/>
    </row>
    <row r="1169" spans="1:45" ht="12.6" customHeight="1" x14ac:dyDescent="0.3">
      <c r="A1169" s="78"/>
      <c r="B1169" s="78"/>
      <c r="C1169" s="78"/>
      <c r="D1169" s="78"/>
      <c r="E1169" s="78"/>
      <c r="F1169" s="78"/>
      <c r="G1169" s="16" t="s">
        <v>1317</v>
      </c>
      <c r="Z1169" s="109"/>
      <c r="AA1169" s="109"/>
      <c r="AB1169" s="109"/>
      <c r="AC1169" s="109"/>
      <c r="AD1169" s="109"/>
      <c r="AE1169" s="109"/>
      <c r="AF1169" s="109"/>
      <c r="AG1169" s="109"/>
      <c r="AH1169" s="109"/>
      <c r="AI1169" s="109"/>
      <c r="AJ1169" s="109"/>
      <c r="AK1169" s="109"/>
      <c r="AL1169" s="109"/>
      <c r="AM1169" s="109"/>
      <c r="AN1169" s="109"/>
      <c r="AO1169" s="109"/>
      <c r="AP1169" s="109"/>
      <c r="AQ1169" s="109"/>
      <c r="AR1169" s="109"/>
      <c r="AS1169" s="109"/>
    </row>
    <row r="1170" spans="1:45" ht="12.6" customHeight="1" x14ac:dyDescent="0.3">
      <c r="A1170" s="68"/>
      <c r="B1170" s="97" t="str">
        <f>"Q (시간당 작업량)  = "&amp;Z1170&amp;"*q*k*E*f/Cm = "&amp;AL1170&amp;" m3/hr "</f>
        <v xml:space="preserve">Q (시간당 작업량)  = 3600*q*k*E*f/Cm = 94.50 m3/hr </v>
      </c>
      <c r="C1170" s="78"/>
      <c r="D1170" s="78"/>
      <c r="E1170" s="78"/>
      <c r="F1170" s="78"/>
      <c r="G1170" s="16" t="s">
        <v>1757</v>
      </c>
      <c r="Z1170" s="111">
        <v>3600</v>
      </c>
      <c r="AA1170" s="20" t="s">
        <v>1390</v>
      </c>
      <c r="AB1170" s="112">
        <f>AB1166</f>
        <v>0.7</v>
      </c>
      <c r="AC1170" s="20" t="s">
        <v>1390</v>
      </c>
      <c r="AD1170" s="112">
        <f>AF1166</f>
        <v>0.9</v>
      </c>
      <c r="AE1170" s="20" t="s">
        <v>1390</v>
      </c>
      <c r="AF1170" s="112">
        <f>AB1168</f>
        <v>0.75</v>
      </c>
      <c r="AG1170" s="20" t="s">
        <v>1390</v>
      </c>
      <c r="AH1170" s="112">
        <f>AJ1166</f>
        <v>1</v>
      </c>
      <c r="AI1170" s="20" t="s">
        <v>1387</v>
      </c>
      <c r="AJ1170" s="112">
        <f>AF1168</f>
        <v>18</v>
      </c>
      <c r="AK1170" s="20" t="s">
        <v>1326</v>
      </c>
      <c r="AL1170" s="112" t="str">
        <f>TEXT(ROUND(Z1170*AB1166*AF1166*AB1168*AJ1166/AF1168,2),"0.00")</f>
        <v>94.50</v>
      </c>
      <c r="AM1170" s="109"/>
      <c r="AN1170" s="109"/>
      <c r="AO1170" s="109"/>
      <c r="AP1170" s="109"/>
      <c r="AQ1170" s="109"/>
      <c r="AR1170" s="109"/>
      <c r="AS1170" s="109"/>
    </row>
    <row r="1171" spans="1:45" ht="12.6" customHeight="1" x14ac:dyDescent="0.3">
      <c r="A1171" s="78"/>
      <c r="B1171" s="78"/>
      <c r="C1171" s="78"/>
      <c r="D1171" s="78"/>
      <c r="E1171" s="78"/>
      <c r="F1171" s="78"/>
      <c r="G1171" s="16" t="s">
        <v>1317</v>
      </c>
      <c r="Z1171" s="109"/>
      <c r="AA1171" s="109"/>
      <c r="AB1171" s="109"/>
      <c r="AC1171" s="109"/>
      <c r="AD1171" s="109"/>
      <c r="AE1171" s="109"/>
      <c r="AF1171" s="109"/>
      <c r="AG1171" s="109"/>
      <c r="AH1171" s="109"/>
      <c r="AI1171" s="109"/>
      <c r="AJ1171" s="109"/>
      <c r="AK1171" s="109"/>
      <c r="AL1171" s="109"/>
      <c r="AM1171" s="109"/>
      <c r="AN1171" s="109"/>
      <c r="AO1171" s="109"/>
      <c r="AP1171" s="109"/>
      <c r="AQ1171" s="109"/>
      <c r="AR1171" s="109"/>
      <c r="AS1171" s="109"/>
    </row>
    <row r="1172" spans="1:45" ht="12.6" customHeight="1" x14ac:dyDescent="0.3">
      <c r="A1172" s="68" t="s">
        <v>1473</v>
      </c>
      <c r="B1172" s="97" t="str">
        <f>" 노 무 비  :   "&amp;TEXT(I1172,"#,##0"&amp;IF(I1172&lt;&gt;INT(I1172),".###",""))&amp;" / Q  = "&amp;TEXT(C1172,"#,##0.0")&amp;""</f>
        <v xml:space="preserve"> 노 무 비  :   55,700 / Q  = 589.4</v>
      </c>
      <c r="C1172" s="99">
        <f>E1172+D1172+F1172</f>
        <v>589.4</v>
      </c>
      <c r="D1172" s="99">
        <f>IF(H1172=0,0,ROUNDDOWN(J1172*H1172,1))</f>
        <v>589.4</v>
      </c>
      <c r="E1172" s="99">
        <f>IF(H1172=0,0,ROUNDDOWN(K1172*H1172,1))</f>
        <v>0</v>
      </c>
      <c r="F1172" s="99">
        <f>IF(H1172=0,0,ROUNDDOWN(L1172*H1172,1))</f>
        <v>0</v>
      </c>
      <c r="G1172" s="16" t="s">
        <v>1758</v>
      </c>
      <c r="H1172" s="105">
        <f>AC1172</f>
        <v>1.0582010582010581E-2</v>
      </c>
      <c r="I1172" s="106">
        <f>K1172+J1172+L1172</f>
        <v>55700</v>
      </c>
      <c r="J1172" s="39">
        <f>중기목록표!F7</f>
        <v>55700</v>
      </c>
      <c r="M1172" s="20" t="s">
        <v>1193</v>
      </c>
      <c r="N1172" s="20" t="s">
        <v>1332</v>
      </c>
      <c r="X1172" s="108" t="str">
        <f>중기목록표!B7&amp;" / "&amp;중기목록표!C7</f>
        <v xml:space="preserve">굴삭기(0.7m3) / </v>
      </c>
      <c r="Y1172" s="19" t="str">
        <f ca="1">HYPERLINK("#"&amp;중기목록표!J2&amp;"!A"&amp;ROW(중기목록표!A7),"중기    4 →")</f>
        <v>중기    4 →</v>
      </c>
      <c r="Z1172" s="20" t="s">
        <v>1393</v>
      </c>
      <c r="AA1172" s="112" t="str">
        <f>AL1170</f>
        <v>94.50</v>
      </c>
      <c r="AB1172" s="20" t="s">
        <v>1326</v>
      </c>
      <c r="AC1172" s="113">
        <f>1/AL1170</f>
        <v>1.0582010582010581E-2</v>
      </c>
      <c r="AD1172" s="109"/>
      <c r="AE1172" s="109"/>
      <c r="AF1172" s="109"/>
      <c r="AG1172" s="109"/>
      <c r="AH1172" s="109"/>
      <c r="AI1172" s="109"/>
      <c r="AJ1172" s="109"/>
      <c r="AK1172" s="109"/>
      <c r="AL1172" s="109"/>
      <c r="AM1172" s="109"/>
      <c r="AN1172" s="109"/>
      <c r="AO1172" s="109"/>
      <c r="AP1172" s="109"/>
      <c r="AQ1172" s="109"/>
      <c r="AR1172" s="109"/>
      <c r="AS1172" s="109"/>
    </row>
    <row r="1173" spans="1:45" ht="12.6" customHeight="1" x14ac:dyDescent="0.3">
      <c r="A1173" s="78"/>
      <c r="B1173" s="78"/>
      <c r="C1173" s="78"/>
      <c r="D1173" s="78"/>
      <c r="E1173" s="78"/>
      <c r="F1173" s="78"/>
      <c r="G1173" s="16" t="s">
        <v>1317</v>
      </c>
      <c r="Z1173" s="109"/>
      <c r="AA1173" s="109"/>
      <c r="AB1173" s="109"/>
      <c r="AC1173" s="109"/>
      <c r="AD1173" s="109"/>
      <c r="AE1173" s="109"/>
      <c r="AF1173" s="109"/>
      <c r="AG1173" s="109"/>
      <c r="AH1173" s="109"/>
      <c r="AI1173" s="109"/>
      <c r="AJ1173" s="109"/>
      <c r="AK1173" s="109"/>
      <c r="AL1173" s="109"/>
      <c r="AM1173" s="109"/>
      <c r="AN1173" s="109"/>
      <c r="AO1173" s="109"/>
      <c r="AP1173" s="109"/>
      <c r="AQ1173" s="109"/>
      <c r="AR1173" s="109"/>
      <c r="AS1173" s="109"/>
    </row>
    <row r="1174" spans="1:45" ht="12.6" customHeight="1" x14ac:dyDescent="0.3">
      <c r="A1174" s="68" t="s">
        <v>1475</v>
      </c>
      <c r="B1174" s="97" t="str">
        <f>" 재 료 비  :   "&amp;TEXT(I1174,"#,##0"&amp;IF(I1174&lt;&gt;INT(I1174),".###",""))&amp;" / Q  = "&amp;TEXT(C1174,"#,##0.0")&amp;""</f>
        <v xml:space="preserve"> 재 료 비  :   18,001 / Q  = 190.4</v>
      </c>
      <c r="C1174" s="99">
        <f>E1174+D1174+F1174</f>
        <v>190.4</v>
      </c>
      <c r="D1174" s="99">
        <f>IF(H1174=0,0,ROUNDDOWN(J1174*H1174,1))</f>
        <v>0</v>
      </c>
      <c r="E1174" s="99">
        <f>IF(H1174=0,0,ROUNDDOWN(K1174*H1174,1))</f>
        <v>190.4</v>
      </c>
      <c r="F1174" s="99">
        <f>IF(H1174=0,0,ROUNDDOWN(L1174*H1174,1))</f>
        <v>0</v>
      </c>
      <c r="G1174" s="16" t="s">
        <v>1759</v>
      </c>
      <c r="H1174" s="105">
        <f>AC1174</f>
        <v>1.0582010582010581E-2</v>
      </c>
      <c r="I1174" s="106">
        <f>K1174+J1174+L1174</f>
        <v>18001</v>
      </c>
      <c r="K1174" s="39">
        <f>중기목록표!G7</f>
        <v>18001</v>
      </c>
      <c r="M1174" s="20" t="s">
        <v>1193</v>
      </c>
      <c r="N1174" s="20" t="s">
        <v>1332</v>
      </c>
      <c r="X1174" s="108" t="str">
        <f>중기목록표!B7&amp;" / "&amp;중기목록표!C7</f>
        <v xml:space="preserve">굴삭기(0.7m3) / </v>
      </c>
      <c r="Y1174" s="19" t="str">
        <f ca="1">HYPERLINK("#"&amp;중기목록표!J2&amp;"!A"&amp;ROW(중기목록표!A7),"중기    4 →")</f>
        <v>중기    4 →</v>
      </c>
      <c r="Z1174" s="20" t="s">
        <v>1393</v>
      </c>
      <c r="AA1174" s="112" t="str">
        <f>AL1170</f>
        <v>94.50</v>
      </c>
      <c r="AB1174" s="20" t="s">
        <v>1326</v>
      </c>
      <c r="AC1174" s="113">
        <f>1/AL1170</f>
        <v>1.0582010582010581E-2</v>
      </c>
      <c r="AD1174" s="109"/>
      <c r="AE1174" s="109"/>
      <c r="AF1174" s="109"/>
      <c r="AG1174" s="109"/>
      <c r="AH1174" s="109"/>
      <c r="AI1174" s="109"/>
      <c r="AJ1174" s="109"/>
      <c r="AK1174" s="109"/>
      <c r="AL1174" s="109"/>
      <c r="AM1174" s="109"/>
      <c r="AN1174" s="109"/>
      <c r="AO1174" s="109"/>
      <c r="AP1174" s="109"/>
      <c r="AQ1174" s="109"/>
      <c r="AR1174" s="109"/>
      <c r="AS1174" s="109"/>
    </row>
    <row r="1175" spans="1:45" ht="12.6" customHeight="1" x14ac:dyDescent="0.3">
      <c r="A1175" s="78"/>
      <c r="B1175" s="78"/>
      <c r="C1175" s="78"/>
      <c r="D1175" s="78"/>
      <c r="E1175" s="78"/>
      <c r="F1175" s="78"/>
      <c r="G1175" s="16" t="s">
        <v>1317</v>
      </c>
      <c r="Z1175" s="109"/>
      <c r="AA1175" s="109"/>
      <c r="AB1175" s="109"/>
      <c r="AC1175" s="109"/>
      <c r="AD1175" s="109"/>
      <c r="AE1175" s="109"/>
      <c r="AF1175" s="109"/>
      <c r="AG1175" s="109"/>
      <c r="AH1175" s="109"/>
      <c r="AI1175" s="109"/>
      <c r="AJ1175" s="109"/>
      <c r="AK1175" s="109"/>
      <c r="AL1175" s="109"/>
      <c r="AM1175" s="109"/>
      <c r="AN1175" s="109"/>
      <c r="AO1175" s="109"/>
      <c r="AP1175" s="109"/>
      <c r="AQ1175" s="109"/>
      <c r="AR1175" s="109"/>
      <c r="AS1175" s="109"/>
    </row>
    <row r="1176" spans="1:45" ht="12.6" customHeight="1" x14ac:dyDescent="0.3">
      <c r="A1176" s="68" t="s">
        <v>1477</v>
      </c>
      <c r="B1176" s="97" t="str">
        <f>" 경    비  :   "&amp;TEXT(I1176,"#,##0"&amp;IF(I1176&lt;&gt;INT(I1176),".###",""))&amp;" / Q  = "&amp;TEXT(C1176,"#,##0.0")&amp;""</f>
        <v xml:space="preserve"> 경    비  :   23,128 / Q  = 244.7</v>
      </c>
      <c r="C1176" s="99">
        <f>E1176+D1176+F1176</f>
        <v>244.7</v>
      </c>
      <c r="D1176" s="99">
        <f>IF(H1176=0,0,ROUNDDOWN(J1176*H1176,1))</f>
        <v>0</v>
      </c>
      <c r="E1176" s="99">
        <f>IF(H1176=0,0,ROUNDDOWN(K1176*H1176,1))</f>
        <v>0</v>
      </c>
      <c r="F1176" s="99">
        <f>IF(H1176=0,0,ROUNDDOWN(L1176*H1176,1))</f>
        <v>244.7</v>
      </c>
      <c r="G1176" s="16" t="s">
        <v>1760</v>
      </c>
      <c r="H1176" s="105">
        <f>AC1176</f>
        <v>1.0582010582010581E-2</v>
      </c>
      <c r="I1176" s="106">
        <f>K1176+J1176+L1176</f>
        <v>23128</v>
      </c>
      <c r="L1176" s="39">
        <f>중기목록표!H7</f>
        <v>23128</v>
      </c>
      <c r="M1176" s="20" t="s">
        <v>1193</v>
      </c>
      <c r="N1176" s="20" t="s">
        <v>1332</v>
      </c>
      <c r="X1176" s="108" t="str">
        <f>중기목록표!B7&amp;" / "&amp;중기목록표!C7</f>
        <v xml:space="preserve">굴삭기(0.7m3) / </v>
      </c>
      <c r="Y1176" s="19" t="str">
        <f ca="1">HYPERLINK("#"&amp;중기목록표!J2&amp;"!A"&amp;ROW(중기목록표!A7),"중기    4 →")</f>
        <v>중기    4 →</v>
      </c>
      <c r="Z1176" s="20" t="s">
        <v>1393</v>
      </c>
      <c r="AA1176" s="112" t="str">
        <f>AL1170</f>
        <v>94.50</v>
      </c>
      <c r="AB1176" s="20" t="s">
        <v>1326</v>
      </c>
      <c r="AC1176" s="113">
        <f>1/AL1170</f>
        <v>1.0582010582010581E-2</v>
      </c>
      <c r="AD1176" s="109"/>
      <c r="AE1176" s="109"/>
      <c r="AF1176" s="109"/>
      <c r="AG1176" s="109"/>
      <c r="AH1176" s="109"/>
      <c r="AI1176" s="109"/>
      <c r="AJ1176" s="109"/>
      <c r="AK1176" s="109"/>
      <c r="AL1176" s="109"/>
      <c r="AM1176" s="109"/>
      <c r="AN1176" s="109"/>
      <c r="AO1176" s="109"/>
      <c r="AP1176" s="109"/>
      <c r="AQ1176" s="109"/>
      <c r="AR1176" s="109"/>
      <c r="AS1176" s="109"/>
    </row>
    <row r="1177" spans="1:45" ht="12.6" customHeight="1" x14ac:dyDescent="0.3">
      <c r="A1177" s="78"/>
      <c r="B1177" s="78"/>
      <c r="C1177" s="78"/>
      <c r="D1177" s="78"/>
      <c r="E1177" s="78"/>
      <c r="F1177" s="78"/>
      <c r="G1177" s="16" t="s">
        <v>1317</v>
      </c>
      <c r="Z1177" s="109"/>
      <c r="AA1177" s="109"/>
      <c r="AB1177" s="109"/>
      <c r="AC1177" s="109"/>
      <c r="AD1177" s="109"/>
      <c r="AE1177" s="109"/>
      <c r="AF1177" s="109"/>
      <c r="AG1177" s="109"/>
      <c r="AH1177" s="109"/>
      <c r="AI1177" s="109"/>
      <c r="AJ1177" s="109"/>
      <c r="AK1177" s="109"/>
      <c r="AL1177" s="109"/>
      <c r="AM1177" s="109"/>
      <c r="AN1177" s="109"/>
      <c r="AO1177" s="109"/>
      <c r="AP1177" s="109"/>
      <c r="AQ1177" s="109"/>
      <c r="AR1177" s="109"/>
      <c r="AS1177" s="109"/>
    </row>
    <row r="1178" spans="1:45" ht="12.6" customHeight="1" x14ac:dyDescent="0.3">
      <c r="A1178" s="68"/>
      <c r="B1178" s="77" t="s">
        <v>1331</v>
      </c>
      <c r="C1178" s="100">
        <f>E1178+D1178+F1178</f>
        <v>1024.5</v>
      </c>
      <c r="D1178" s="100">
        <f>SUMIF(N1162:N1177,M1178,D1162:D1177)</f>
        <v>589.4</v>
      </c>
      <c r="E1178" s="100">
        <f>SUMIF(N1162:N1177,M1178,E1162:E1177)</f>
        <v>190.4</v>
      </c>
      <c r="F1178" s="100">
        <f>SUMIF(N1162:N1177,M1178,F1162:F1177)</f>
        <v>244.7</v>
      </c>
      <c r="G1178" s="16" t="s">
        <v>1415</v>
      </c>
      <c r="M1178" s="20" t="s">
        <v>1332</v>
      </c>
      <c r="N1178" s="20" t="s">
        <v>1128</v>
      </c>
      <c r="Z1178" s="109"/>
      <c r="AA1178" s="109"/>
      <c r="AB1178" s="109"/>
      <c r="AC1178" s="109"/>
      <c r="AD1178" s="109"/>
      <c r="AE1178" s="109"/>
      <c r="AF1178" s="109"/>
      <c r="AG1178" s="109"/>
      <c r="AH1178" s="109"/>
      <c r="AI1178" s="109"/>
      <c r="AJ1178" s="109"/>
      <c r="AK1178" s="109"/>
      <c r="AL1178" s="109"/>
      <c r="AM1178" s="109"/>
      <c r="AN1178" s="109"/>
      <c r="AO1178" s="109"/>
      <c r="AP1178" s="109"/>
      <c r="AQ1178" s="109"/>
      <c r="AR1178" s="109"/>
      <c r="AS1178" s="109"/>
    </row>
    <row r="1179" spans="1:45" ht="12.6" customHeight="1" x14ac:dyDescent="0.3">
      <c r="A1179" s="78"/>
      <c r="B1179" s="78"/>
      <c r="C1179" s="98"/>
      <c r="D1179" s="98"/>
      <c r="E1179" s="98"/>
      <c r="F1179" s="98"/>
      <c r="G1179" s="16" t="s">
        <v>1317</v>
      </c>
      <c r="Z1179" s="109"/>
      <c r="AA1179" s="109"/>
      <c r="AB1179" s="109"/>
      <c r="AC1179" s="109"/>
      <c r="AD1179" s="109"/>
      <c r="AE1179" s="109"/>
      <c r="AF1179" s="109"/>
      <c r="AG1179" s="109"/>
      <c r="AH1179" s="109"/>
      <c r="AI1179" s="109"/>
      <c r="AJ1179" s="109"/>
      <c r="AK1179" s="109"/>
      <c r="AL1179" s="109"/>
      <c r="AM1179" s="109"/>
      <c r="AN1179" s="109"/>
      <c r="AO1179" s="109"/>
      <c r="AP1179" s="109"/>
      <c r="AQ1179" s="109"/>
      <c r="AR1179" s="109"/>
      <c r="AS1179" s="109"/>
    </row>
    <row r="1180" spans="1:45" ht="12.6" customHeight="1" x14ac:dyDescent="0.3">
      <c r="A1180" s="78"/>
      <c r="B1180" s="78"/>
      <c r="C1180" s="78"/>
      <c r="D1180" s="78"/>
      <c r="E1180" s="78"/>
      <c r="F1180" s="78"/>
      <c r="Z1180" s="109"/>
      <c r="AA1180" s="109"/>
      <c r="AB1180" s="109"/>
      <c r="AC1180" s="109"/>
      <c r="AD1180" s="109"/>
      <c r="AE1180" s="109"/>
      <c r="AF1180" s="109"/>
      <c r="AG1180" s="109"/>
      <c r="AH1180" s="109"/>
      <c r="AI1180" s="109"/>
      <c r="AJ1180" s="109"/>
      <c r="AK1180" s="109"/>
      <c r="AL1180" s="109"/>
      <c r="AM1180" s="109"/>
      <c r="AN1180" s="109"/>
      <c r="AO1180" s="109"/>
      <c r="AP1180" s="109"/>
      <c r="AQ1180" s="109"/>
      <c r="AR1180" s="109"/>
      <c r="AS1180" s="109"/>
    </row>
    <row r="1181" spans="1:45" ht="12.6" customHeight="1" x14ac:dyDescent="0.3">
      <c r="A1181" s="78"/>
      <c r="B1181" s="78"/>
      <c r="C1181" s="78"/>
      <c r="D1181" s="78"/>
      <c r="E1181" s="78"/>
      <c r="F1181" s="78"/>
      <c r="Z1181" s="109"/>
      <c r="AA1181" s="109"/>
      <c r="AB1181" s="109"/>
      <c r="AC1181" s="109"/>
      <c r="AD1181" s="109"/>
      <c r="AE1181" s="109"/>
      <c r="AF1181" s="109"/>
      <c r="AG1181" s="109"/>
      <c r="AH1181" s="109"/>
      <c r="AI1181" s="109"/>
      <c r="AJ1181" s="109"/>
      <c r="AK1181" s="109"/>
      <c r="AL1181" s="109"/>
      <c r="AM1181" s="109"/>
      <c r="AN1181" s="109"/>
      <c r="AO1181" s="109"/>
      <c r="AP1181" s="109"/>
      <c r="AQ1181" s="109"/>
      <c r="AR1181" s="109"/>
      <c r="AS1181" s="109"/>
    </row>
    <row r="1182" spans="1:45" ht="12.6" customHeight="1" x14ac:dyDescent="0.3">
      <c r="A1182" s="78"/>
      <c r="B1182" s="78"/>
      <c r="C1182" s="78"/>
      <c r="D1182" s="78"/>
      <c r="E1182" s="78"/>
      <c r="F1182" s="78"/>
      <c r="Z1182" s="109"/>
      <c r="AA1182" s="109"/>
      <c r="AB1182" s="109"/>
      <c r="AC1182" s="109"/>
      <c r="AD1182" s="109"/>
      <c r="AE1182" s="109"/>
      <c r="AF1182" s="109"/>
      <c r="AG1182" s="109"/>
      <c r="AH1182" s="109"/>
      <c r="AI1182" s="109"/>
      <c r="AJ1182" s="109"/>
      <c r="AK1182" s="109"/>
      <c r="AL1182" s="109"/>
      <c r="AM1182" s="109"/>
      <c r="AN1182" s="109"/>
      <c r="AO1182" s="109"/>
      <c r="AP1182" s="109"/>
      <c r="AQ1182" s="109"/>
      <c r="AR1182" s="109"/>
      <c r="AS1182" s="109"/>
    </row>
    <row r="1183" spans="1:45" ht="12.6" customHeight="1" x14ac:dyDescent="0.3">
      <c r="A1183" s="78"/>
      <c r="B1183" s="78"/>
      <c r="C1183" s="78"/>
      <c r="D1183" s="78"/>
      <c r="E1183" s="78"/>
      <c r="F1183" s="78"/>
      <c r="Z1183" s="109"/>
      <c r="AA1183" s="109"/>
      <c r="AB1183" s="109"/>
      <c r="AC1183" s="109"/>
      <c r="AD1183" s="109"/>
      <c r="AE1183" s="109"/>
      <c r="AF1183" s="109"/>
      <c r="AG1183" s="109"/>
      <c r="AH1183" s="109"/>
      <c r="AI1183" s="109"/>
      <c r="AJ1183" s="109"/>
      <c r="AK1183" s="109"/>
      <c r="AL1183" s="109"/>
      <c r="AM1183" s="109"/>
      <c r="AN1183" s="109"/>
      <c r="AO1183" s="109"/>
      <c r="AP1183" s="109"/>
      <c r="AQ1183" s="109"/>
      <c r="AR1183" s="109"/>
      <c r="AS1183" s="109"/>
    </row>
    <row r="1184" spans="1:45" ht="12.6" customHeight="1" x14ac:dyDescent="0.3">
      <c r="A1184" s="78"/>
      <c r="B1184" s="78"/>
      <c r="C1184" s="78"/>
      <c r="D1184" s="78"/>
      <c r="E1184" s="78"/>
      <c r="F1184" s="78"/>
      <c r="Z1184" s="109"/>
      <c r="AA1184" s="109"/>
      <c r="AB1184" s="109"/>
      <c r="AC1184" s="109"/>
      <c r="AD1184" s="109"/>
      <c r="AE1184" s="109"/>
      <c r="AF1184" s="109"/>
      <c r="AG1184" s="109"/>
      <c r="AH1184" s="109"/>
      <c r="AI1184" s="109"/>
      <c r="AJ1184" s="109"/>
      <c r="AK1184" s="109"/>
      <c r="AL1184" s="109"/>
      <c r="AM1184" s="109"/>
      <c r="AN1184" s="109"/>
      <c r="AO1184" s="109"/>
      <c r="AP1184" s="109"/>
      <c r="AQ1184" s="109"/>
      <c r="AR1184" s="109"/>
      <c r="AS1184" s="109"/>
    </row>
    <row r="1185" spans="1:45" ht="12.6" customHeight="1" x14ac:dyDescent="0.3">
      <c r="A1185" s="78"/>
      <c r="B1185" s="78"/>
      <c r="C1185" s="78"/>
      <c r="D1185" s="78"/>
      <c r="E1185" s="78"/>
      <c r="F1185" s="78"/>
      <c r="Z1185" s="109"/>
      <c r="AA1185" s="109"/>
      <c r="AB1185" s="109"/>
      <c r="AC1185" s="109"/>
      <c r="AD1185" s="109"/>
      <c r="AE1185" s="109"/>
      <c r="AF1185" s="109"/>
      <c r="AG1185" s="109"/>
      <c r="AH1185" s="109"/>
      <c r="AI1185" s="109"/>
      <c r="AJ1185" s="109"/>
      <c r="AK1185" s="109"/>
      <c r="AL1185" s="109"/>
      <c r="AM1185" s="109"/>
      <c r="AN1185" s="109"/>
      <c r="AO1185" s="109"/>
      <c r="AP1185" s="109"/>
      <c r="AQ1185" s="109"/>
      <c r="AR1185" s="109"/>
      <c r="AS1185" s="109"/>
    </row>
    <row r="1186" spans="1:45" ht="12.6" customHeight="1" x14ac:dyDescent="0.3">
      <c r="A1186" s="78"/>
      <c r="B1186" s="78"/>
      <c r="C1186" s="78"/>
      <c r="D1186" s="78"/>
      <c r="E1186" s="78"/>
      <c r="F1186" s="78"/>
      <c r="Z1186" s="109"/>
      <c r="AA1186" s="109"/>
      <c r="AB1186" s="109"/>
      <c r="AC1186" s="109"/>
      <c r="AD1186" s="109"/>
      <c r="AE1186" s="109"/>
      <c r="AF1186" s="109"/>
      <c r="AG1186" s="109"/>
      <c r="AH1186" s="109"/>
      <c r="AI1186" s="109"/>
      <c r="AJ1186" s="109"/>
      <c r="AK1186" s="109"/>
      <c r="AL1186" s="109"/>
      <c r="AM1186" s="109"/>
      <c r="AN1186" s="109"/>
      <c r="AO1186" s="109"/>
      <c r="AP1186" s="109"/>
      <c r="AQ1186" s="109"/>
      <c r="AR1186" s="109"/>
      <c r="AS1186" s="109"/>
    </row>
    <row r="1187" spans="1:45" ht="12.6" customHeight="1" x14ac:dyDescent="0.3">
      <c r="A1187" s="78"/>
      <c r="B1187" s="78"/>
      <c r="C1187" s="78"/>
      <c r="D1187" s="78"/>
      <c r="E1187" s="78"/>
      <c r="F1187" s="78"/>
      <c r="Z1187" s="109"/>
      <c r="AA1187" s="109"/>
      <c r="AB1187" s="109"/>
      <c r="AC1187" s="109"/>
      <c r="AD1187" s="109"/>
      <c r="AE1187" s="109"/>
      <c r="AF1187" s="109"/>
      <c r="AG1187" s="109"/>
      <c r="AH1187" s="109"/>
      <c r="AI1187" s="109"/>
      <c r="AJ1187" s="109"/>
      <c r="AK1187" s="109"/>
      <c r="AL1187" s="109"/>
      <c r="AM1187" s="109"/>
      <c r="AN1187" s="109"/>
      <c r="AO1187" s="109"/>
      <c r="AP1187" s="109"/>
      <c r="AQ1187" s="109"/>
      <c r="AR1187" s="109"/>
      <c r="AS1187" s="109"/>
    </row>
    <row r="1188" spans="1:45" ht="12.6" customHeight="1" x14ac:dyDescent="0.3">
      <c r="A1188" s="78"/>
      <c r="B1188" s="78"/>
      <c r="C1188" s="78"/>
      <c r="D1188" s="78"/>
      <c r="E1188" s="78"/>
      <c r="F1188" s="78"/>
      <c r="Z1188" s="109"/>
      <c r="AA1188" s="109"/>
      <c r="AB1188" s="109"/>
      <c r="AC1188" s="109"/>
      <c r="AD1188" s="109"/>
      <c r="AE1188" s="109"/>
      <c r="AF1188" s="109"/>
      <c r="AG1188" s="109"/>
      <c r="AH1188" s="109"/>
      <c r="AI1188" s="109"/>
      <c r="AJ1188" s="109"/>
      <c r="AK1188" s="109"/>
      <c r="AL1188" s="109"/>
      <c r="AM1188" s="109"/>
      <c r="AN1188" s="109"/>
      <c r="AO1188" s="109"/>
      <c r="AP1188" s="109"/>
      <c r="AQ1188" s="109"/>
      <c r="AR1188" s="109"/>
      <c r="AS1188" s="109"/>
    </row>
    <row r="1189" spans="1:45" ht="12.6" customHeight="1" x14ac:dyDescent="0.3">
      <c r="A1189" s="78"/>
      <c r="B1189" s="78"/>
      <c r="C1189" s="78"/>
      <c r="D1189" s="78"/>
      <c r="E1189" s="78"/>
      <c r="F1189" s="78"/>
      <c r="Z1189" s="109"/>
      <c r="AA1189" s="109"/>
      <c r="AB1189" s="109"/>
      <c r="AC1189" s="109"/>
      <c r="AD1189" s="109"/>
      <c r="AE1189" s="109"/>
      <c r="AF1189" s="109"/>
      <c r="AG1189" s="109"/>
      <c r="AH1189" s="109"/>
      <c r="AI1189" s="109"/>
      <c r="AJ1189" s="109"/>
      <c r="AK1189" s="109"/>
      <c r="AL1189" s="109"/>
      <c r="AM1189" s="109"/>
      <c r="AN1189" s="109"/>
      <c r="AO1189" s="109"/>
      <c r="AP1189" s="109"/>
      <c r="AQ1189" s="109"/>
      <c r="AR1189" s="109"/>
      <c r="AS1189" s="109"/>
    </row>
    <row r="1190" spans="1:45" ht="12.6" customHeight="1" x14ac:dyDescent="0.3">
      <c r="A1190" s="78"/>
      <c r="B1190" s="78"/>
      <c r="C1190" s="78"/>
      <c r="D1190" s="78"/>
      <c r="E1190" s="78"/>
      <c r="F1190" s="78"/>
      <c r="Z1190" s="109"/>
      <c r="AA1190" s="109"/>
      <c r="AB1190" s="109"/>
      <c r="AC1190" s="109"/>
      <c r="AD1190" s="109"/>
      <c r="AE1190" s="109"/>
      <c r="AF1190" s="109"/>
      <c r="AG1190" s="109"/>
      <c r="AH1190" s="109"/>
      <c r="AI1190" s="109"/>
      <c r="AJ1190" s="109"/>
      <c r="AK1190" s="109"/>
      <c r="AL1190" s="109"/>
      <c r="AM1190" s="109"/>
      <c r="AN1190" s="109"/>
      <c r="AO1190" s="109"/>
      <c r="AP1190" s="109"/>
      <c r="AQ1190" s="109"/>
      <c r="AR1190" s="109"/>
      <c r="AS1190" s="109"/>
    </row>
    <row r="1191" spans="1:45" ht="12.6" customHeight="1" x14ac:dyDescent="0.3">
      <c r="A1191" s="78"/>
      <c r="B1191" s="78"/>
      <c r="C1191" s="78"/>
      <c r="D1191" s="78"/>
      <c r="E1191" s="78"/>
      <c r="F1191" s="78"/>
      <c r="Z1191" s="109"/>
      <c r="AA1191" s="109"/>
      <c r="AB1191" s="109"/>
      <c r="AC1191" s="109"/>
      <c r="AD1191" s="109"/>
      <c r="AE1191" s="109"/>
      <c r="AF1191" s="109"/>
      <c r="AG1191" s="109"/>
      <c r="AH1191" s="109"/>
      <c r="AI1191" s="109"/>
      <c r="AJ1191" s="109"/>
      <c r="AK1191" s="109"/>
      <c r="AL1191" s="109"/>
      <c r="AM1191" s="109"/>
      <c r="AN1191" s="109"/>
      <c r="AO1191" s="109"/>
      <c r="AP1191" s="109"/>
      <c r="AQ1191" s="109"/>
      <c r="AR1191" s="109"/>
      <c r="AS1191" s="109"/>
    </row>
    <row r="1192" spans="1:45" ht="12.6" customHeight="1" x14ac:dyDescent="0.3">
      <c r="A1192" s="78"/>
      <c r="B1192" s="78"/>
      <c r="C1192" s="78"/>
      <c r="D1192" s="78"/>
      <c r="E1192" s="78"/>
      <c r="F1192" s="78"/>
      <c r="Z1192" s="109"/>
      <c r="AA1192" s="109"/>
      <c r="AB1192" s="109"/>
      <c r="AC1192" s="109"/>
      <c r="AD1192" s="109"/>
      <c r="AE1192" s="109"/>
      <c r="AF1192" s="109"/>
      <c r="AG1192" s="109"/>
      <c r="AH1192" s="109"/>
      <c r="AI1192" s="109"/>
      <c r="AJ1192" s="109"/>
      <c r="AK1192" s="109"/>
      <c r="AL1192" s="109"/>
      <c r="AM1192" s="109"/>
      <c r="AN1192" s="109"/>
      <c r="AO1192" s="109"/>
      <c r="AP1192" s="109"/>
      <c r="AQ1192" s="109"/>
      <c r="AR1192" s="109"/>
      <c r="AS1192" s="109"/>
    </row>
    <row r="1193" spans="1:45" ht="12.6" customHeight="1" x14ac:dyDescent="0.3">
      <c r="A1193" s="58"/>
      <c r="B1193" s="58"/>
      <c r="C1193" s="58"/>
      <c r="D1193" s="58"/>
      <c r="E1193" s="58"/>
      <c r="F1193" s="58"/>
      <c r="Z1193" s="109"/>
      <c r="AA1193" s="109"/>
      <c r="AB1193" s="109"/>
      <c r="AC1193" s="109"/>
      <c r="AD1193" s="109"/>
      <c r="AE1193" s="109"/>
      <c r="AF1193" s="109"/>
      <c r="AG1193" s="109"/>
      <c r="AH1193" s="109"/>
      <c r="AI1193" s="109"/>
      <c r="AJ1193" s="109"/>
      <c r="AK1193" s="109"/>
      <c r="AL1193" s="109"/>
      <c r="AM1193" s="109"/>
      <c r="AN1193" s="109"/>
      <c r="AO1193" s="109"/>
      <c r="AP1193" s="109"/>
      <c r="AQ1193" s="109"/>
      <c r="AR1193" s="109"/>
      <c r="AS1193" s="109"/>
    </row>
    <row r="1194" spans="1:45" ht="12.6" customHeight="1" x14ac:dyDescent="0.3">
      <c r="A1194" s="159" t="s">
        <v>1401</v>
      </c>
      <c r="B1194" s="152"/>
      <c r="C1194" s="55">
        <f>E1194+D1194+F1194</f>
        <v>1023</v>
      </c>
      <c r="D1194" s="54">
        <f>ROUNDDOWN(SUMIF(N1162:N1179,M1194,D1162:D1179),0)</f>
        <v>589</v>
      </c>
      <c r="E1194" s="63">
        <f>ROUNDDOWN(SUMIF(N1162:N1179,M1194,E1162:E1179),0)</f>
        <v>190</v>
      </c>
      <c r="F1194" s="55">
        <f>ROUNDDOWN(SUMIF(N1162:N1179,M1194,F1162:F1179),0)</f>
        <v>244</v>
      </c>
      <c r="M1194" s="20" t="s">
        <v>1128</v>
      </c>
      <c r="Z1194" s="109"/>
      <c r="AA1194" s="109"/>
      <c r="AB1194" s="109"/>
      <c r="AC1194" s="109"/>
      <c r="AD1194" s="109"/>
      <c r="AE1194" s="109"/>
      <c r="AF1194" s="109"/>
      <c r="AG1194" s="109"/>
      <c r="AH1194" s="109"/>
      <c r="AI1194" s="109"/>
      <c r="AJ1194" s="109"/>
      <c r="AK1194" s="109"/>
      <c r="AL1194" s="109"/>
      <c r="AM1194" s="109"/>
      <c r="AN1194" s="109"/>
      <c r="AO1194" s="109"/>
      <c r="AP1194" s="109"/>
      <c r="AQ1194" s="109"/>
      <c r="AR1194" s="109"/>
      <c r="AS1194" s="109"/>
    </row>
    <row r="1195" spans="1:45" ht="12.6" customHeight="1" x14ac:dyDescent="0.3">
      <c r="A1195" s="95" t="s">
        <v>107</v>
      </c>
      <c r="B1195" s="96" t="s">
        <v>107</v>
      </c>
      <c r="C1195" s="158">
        <f>C1264</f>
        <v>535090</v>
      </c>
      <c r="D1195" s="158">
        <f>D1264</f>
        <v>0</v>
      </c>
      <c r="E1195" s="158">
        <f>E1264</f>
        <v>0</v>
      </c>
      <c r="F1195" s="158">
        <f>F1264</f>
        <v>535090</v>
      </c>
      <c r="G1195" s="36" t="str">
        <f>HYPERLINK("#G"&amp;ROW(G1237),"_x0005_`BDCOD|D02153_x0007_`POSS|"&amp;ROW(G1197)&amp;"_x0007_`POSE|"&amp;ROW(G1237)&amp;"_x0007_`")</f>
        <v>_x0005_`BDCOD|D02153_x0007_`POSS|1197_x0007_`POSE|1237_x0007_`</v>
      </c>
      <c r="Z1195" s="109"/>
      <c r="AA1195" s="109"/>
      <c r="AB1195" s="109"/>
      <c r="AC1195" s="109"/>
      <c r="AD1195" s="109"/>
      <c r="AE1195" s="109"/>
      <c r="AF1195" s="109"/>
      <c r="AG1195" s="109"/>
      <c r="AH1195" s="109"/>
      <c r="AI1195" s="109"/>
      <c r="AJ1195" s="109"/>
      <c r="AK1195" s="109"/>
      <c r="AL1195" s="109"/>
      <c r="AM1195" s="109"/>
      <c r="AN1195" s="109"/>
      <c r="AO1195" s="109"/>
      <c r="AP1195" s="109"/>
      <c r="AQ1195" s="109"/>
      <c r="AR1195" s="109"/>
      <c r="AS1195" s="109"/>
    </row>
    <row r="1196" spans="1:45" ht="12.6" customHeight="1" x14ac:dyDescent="0.3">
      <c r="A1196" s="84"/>
      <c r="B1196" s="96" t="s">
        <v>240</v>
      </c>
      <c r="C1196" s="141"/>
      <c r="D1196" s="141"/>
      <c r="E1196" s="141"/>
      <c r="F1196" s="141"/>
      <c r="M1196" s="20" t="s">
        <v>239</v>
      </c>
      <c r="Z1196" s="109"/>
      <c r="AA1196" s="109"/>
      <c r="AB1196" s="109"/>
      <c r="AC1196" s="109"/>
      <c r="AD1196" s="109"/>
      <c r="AE1196" s="109"/>
      <c r="AF1196" s="109"/>
      <c r="AG1196" s="109"/>
      <c r="AH1196" s="109"/>
      <c r="AI1196" s="109"/>
      <c r="AJ1196" s="109"/>
      <c r="AK1196" s="109"/>
      <c r="AL1196" s="109"/>
      <c r="AM1196" s="109"/>
      <c r="AN1196" s="109"/>
      <c r="AO1196" s="109"/>
      <c r="AP1196" s="109"/>
      <c r="AQ1196" s="109"/>
      <c r="AR1196" s="109"/>
      <c r="AS1196" s="109"/>
    </row>
    <row r="1197" spans="1:45" ht="12.6" customHeight="1" x14ac:dyDescent="0.3">
      <c r="A1197" s="68"/>
      <c r="B1197" s="77" t="s">
        <v>1762</v>
      </c>
      <c r="C1197" s="98"/>
      <c r="D1197" s="98"/>
      <c r="E1197" s="98"/>
      <c r="F1197" s="98"/>
      <c r="G1197" s="16" t="s">
        <v>1761</v>
      </c>
      <c r="Z1197" s="109"/>
      <c r="AA1197" s="109"/>
      <c r="AB1197" s="109"/>
      <c r="AC1197" s="109"/>
      <c r="AD1197" s="109"/>
      <c r="AE1197" s="109"/>
      <c r="AF1197" s="109"/>
      <c r="AG1197" s="109"/>
      <c r="AH1197" s="109"/>
      <c r="AI1197" s="109"/>
      <c r="AJ1197" s="109"/>
      <c r="AK1197" s="109"/>
      <c r="AL1197" s="109"/>
      <c r="AM1197" s="109"/>
      <c r="AN1197" s="109"/>
      <c r="AO1197" s="109"/>
      <c r="AP1197" s="109"/>
      <c r="AQ1197" s="109"/>
      <c r="AR1197" s="109"/>
      <c r="AS1197" s="109"/>
    </row>
    <row r="1198" spans="1:45" ht="12.6" customHeight="1" x14ac:dyDescent="0.3">
      <c r="A1198" s="78"/>
      <c r="B1198" s="78"/>
      <c r="C1198" s="78"/>
      <c r="D1198" s="78"/>
      <c r="E1198" s="78"/>
      <c r="F1198" s="78"/>
      <c r="G1198" s="16" t="s">
        <v>1317</v>
      </c>
      <c r="Z1198" s="109"/>
      <c r="AA1198" s="109"/>
      <c r="AB1198" s="109"/>
      <c r="AC1198" s="109"/>
      <c r="AD1198" s="109"/>
      <c r="AE1198" s="109"/>
      <c r="AF1198" s="109"/>
      <c r="AG1198" s="109"/>
      <c r="AH1198" s="109"/>
      <c r="AI1198" s="109"/>
      <c r="AJ1198" s="109"/>
      <c r="AK1198" s="109"/>
      <c r="AL1198" s="109"/>
      <c r="AM1198" s="109"/>
      <c r="AN1198" s="109"/>
      <c r="AO1198" s="109"/>
      <c r="AP1198" s="109"/>
      <c r="AQ1198" s="109"/>
      <c r="AR1198" s="109"/>
      <c r="AS1198" s="109"/>
    </row>
    <row r="1199" spans="1:45" ht="12.6" customHeight="1" x14ac:dyDescent="0.3">
      <c r="A1199" s="68"/>
      <c r="B1199" s="77" t="s">
        <v>1764</v>
      </c>
      <c r="C1199" s="78"/>
      <c r="D1199" s="78"/>
      <c r="E1199" s="78"/>
      <c r="F1199" s="78"/>
      <c r="G1199" s="16" t="s">
        <v>1763</v>
      </c>
      <c r="Z1199" s="109"/>
      <c r="AA1199" s="109"/>
      <c r="AB1199" s="109"/>
      <c r="AC1199" s="109"/>
      <c r="AD1199" s="109"/>
      <c r="AE1199" s="109"/>
      <c r="AF1199" s="109"/>
      <c r="AG1199" s="109"/>
      <c r="AH1199" s="109"/>
      <c r="AI1199" s="109"/>
      <c r="AJ1199" s="109"/>
      <c r="AK1199" s="109"/>
      <c r="AL1199" s="109"/>
      <c r="AM1199" s="109"/>
      <c r="AN1199" s="109"/>
      <c r="AO1199" s="109"/>
      <c r="AP1199" s="109"/>
      <c r="AQ1199" s="109"/>
      <c r="AR1199" s="109"/>
      <c r="AS1199" s="109"/>
    </row>
    <row r="1200" spans="1:45" ht="12.6" customHeight="1" x14ac:dyDescent="0.3">
      <c r="A1200" s="78"/>
      <c r="B1200" s="78"/>
      <c r="C1200" s="78"/>
      <c r="D1200" s="78"/>
      <c r="E1200" s="78"/>
      <c r="F1200" s="78"/>
      <c r="G1200" s="16" t="s">
        <v>1317</v>
      </c>
      <c r="Z1200" s="109"/>
      <c r="AA1200" s="109"/>
      <c r="AB1200" s="109"/>
      <c r="AC1200" s="109"/>
      <c r="AD1200" s="109"/>
      <c r="AE1200" s="109"/>
      <c r="AF1200" s="109"/>
      <c r="AG1200" s="109"/>
      <c r="AH1200" s="109"/>
      <c r="AI1200" s="109"/>
      <c r="AJ1200" s="109"/>
      <c r="AK1200" s="109"/>
      <c r="AL1200" s="109"/>
      <c r="AM1200" s="109"/>
      <c r="AN1200" s="109"/>
      <c r="AO1200" s="109"/>
      <c r="AP1200" s="109"/>
      <c r="AQ1200" s="109"/>
      <c r="AR1200" s="109"/>
      <c r="AS1200" s="109"/>
    </row>
    <row r="1201" spans="1:45" ht="12.6" customHeight="1" x14ac:dyDescent="0.3">
      <c r="A1201" s="68"/>
      <c r="B1201" s="77" t="s">
        <v>1766</v>
      </c>
      <c r="C1201" s="78"/>
      <c r="D1201" s="78"/>
      <c r="E1201" s="78"/>
      <c r="F1201" s="78"/>
      <c r="G1201" s="16" t="s">
        <v>1765</v>
      </c>
      <c r="Z1201" s="109"/>
      <c r="AA1201" s="109"/>
      <c r="AB1201" s="109"/>
      <c r="AC1201" s="109"/>
      <c r="AD1201" s="109"/>
      <c r="AE1201" s="109"/>
      <c r="AF1201" s="109"/>
      <c r="AG1201" s="109"/>
      <c r="AH1201" s="109"/>
      <c r="AI1201" s="109"/>
      <c r="AJ1201" s="109"/>
      <c r="AK1201" s="109"/>
      <c r="AL1201" s="109"/>
      <c r="AM1201" s="109"/>
      <c r="AN1201" s="109"/>
      <c r="AO1201" s="109"/>
      <c r="AP1201" s="109"/>
      <c r="AQ1201" s="109"/>
      <c r="AR1201" s="109"/>
      <c r="AS1201" s="109"/>
    </row>
    <row r="1202" spans="1:45" ht="12.6" customHeight="1" x14ac:dyDescent="0.3">
      <c r="A1202" s="78"/>
      <c r="B1202" s="78"/>
      <c r="C1202" s="78"/>
      <c r="D1202" s="78"/>
      <c r="E1202" s="78"/>
      <c r="F1202" s="78"/>
      <c r="G1202" s="16" t="s">
        <v>1317</v>
      </c>
      <c r="Z1202" s="109"/>
      <c r="AA1202" s="109"/>
      <c r="AB1202" s="109"/>
      <c r="AC1202" s="109"/>
      <c r="AD1202" s="109"/>
      <c r="AE1202" s="109"/>
      <c r="AF1202" s="109"/>
      <c r="AG1202" s="109"/>
      <c r="AH1202" s="109"/>
      <c r="AI1202" s="109"/>
      <c r="AJ1202" s="109"/>
      <c r="AK1202" s="109"/>
      <c r="AL1202" s="109"/>
      <c r="AM1202" s="109"/>
      <c r="AN1202" s="109"/>
      <c r="AO1202" s="109"/>
      <c r="AP1202" s="109"/>
      <c r="AQ1202" s="109"/>
      <c r="AR1202" s="109"/>
      <c r="AS1202" s="109"/>
    </row>
    <row r="1203" spans="1:45" ht="12.6" customHeight="1" x14ac:dyDescent="0.3">
      <c r="A1203" s="68"/>
      <c r="B1203" s="77" t="s">
        <v>1768</v>
      </c>
      <c r="C1203" s="78"/>
      <c r="D1203" s="78"/>
      <c r="E1203" s="78"/>
      <c r="F1203" s="78"/>
      <c r="G1203" s="16" t="s">
        <v>1767</v>
      </c>
      <c r="Z1203" s="109"/>
      <c r="AA1203" s="109"/>
      <c r="AB1203" s="109"/>
      <c r="AC1203" s="109"/>
      <c r="AD1203" s="109"/>
      <c r="AE1203" s="109"/>
      <c r="AF1203" s="109"/>
      <c r="AG1203" s="109"/>
      <c r="AH1203" s="109"/>
      <c r="AI1203" s="109"/>
      <c r="AJ1203" s="109"/>
      <c r="AK1203" s="109"/>
      <c r="AL1203" s="109"/>
      <c r="AM1203" s="109"/>
      <c r="AN1203" s="109"/>
      <c r="AO1203" s="109"/>
      <c r="AP1203" s="109"/>
      <c r="AQ1203" s="109"/>
      <c r="AR1203" s="109"/>
      <c r="AS1203" s="109"/>
    </row>
    <row r="1204" spans="1:45" ht="12.6" customHeight="1" x14ac:dyDescent="0.3">
      <c r="A1204" s="78"/>
      <c r="B1204" s="78"/>
      <c r="C1204" s="78"/>
      <c r="D1204" s="78"/>
      <c r="E1204" s="78"/>
      <c r="F1204" s="78"/>
      <c r="G1204" s="16" t="s">
        <v>1317</v>
      </c>
      <c r="Z1204" s="109"/>
      <c r="AA1204" s="109"/>
      <c r="AB1204" s="109"/>
      <c r="AC1204" s="109"/>
      <c r="AD1204" s="109"/>
      <c r="AE1204" s="109"/>
      <c r="AF1204" s="109"/>
      <c r="AG1204" s="109"/>
      <c r="AH1204" s="109"/>
      <c r="AI1204" s="109"/>
      <c r="AJ1204" s="109"/>
      <c r="AK1204" s="109"/>
      <c r="AL1204" s="109"/>
      <c r="AM1204" s="109"/>
      <c r="AN1204" s="109"/>
      <c r="AO1204" s="109"/>
      <c r="AP1204" s="109"/>
      <c r="AQ1204" s="109"/>
      <c r="AR1204" s="109"/>
      <c r="AS1204" s="109"/>
    </row>
    <row r="1205" spans="1:45" ht="12.6" customHeight="1" x14ac:dyDescent="0.3">
      <c r="A1205" s="68"/>
      <c r="B1205" s="97" t="str">
        <f>"L1= "&amp;Z1205&amp;" km(포  장) "</f>
        <v xml:space="preserve">L1= 12 km(포  장) </v>
      </c>
      <c r="C1205" s="78"/>
      <c r="D1205" s="78"/>
      <c r="E1205" s="78"/>
      <c r="F1205" s="78"/>
      <c r="G1205" s="16" t="s">
        <v>1769</v>
      </c>
      <c r="Z1205" s="111">
        <v>12</v>
      </c>
      <c r="AA1205" s="20" t="s">
        <v>1326</v>
      </c>
      <c r="AB1205" s="112">
        <f>Z1205</f>
        <v>12</v>
      </c>
      <c r="AC1205" s="109"/>
      <c r="AD1205" s="109"/>
      <c r="AE1205" s="109"/>
      <c r="AF1205" s="109"/>
      <c r="AG1205" s="109"/>
      <c r="AH1205" s="109"/>
      <c r="AI1205" s="109"/>
      <c r="AJ1205" s="109"/>
      <c r="AK1205" s="109"/>
      <c r="AL1205" s="109"/>
      <c r="AM1205" s="109"/>
      <c r="AN1205" s="109"/>
      <c r="AO1205" s="109"/>
      <c r="AP1205" s="109"/>
      <c r="AQ1205" s="109"/>
      <c r="AR1205" s="109"/>
      <c r="AS1205" s="109"/>
    </row>
    <row r="1206" spans="1:45" ht="12.6" customHeight="1" x14ac:dyDescent="0.3">
      <c r="A1206" s="78"/>
      <c r="B1206" s="78"/>
      <c r="C1206" s="78"/>
      <c r="D1206" s="78"/>
      <c r="E1206" s="78"/>
      <c r="F1206" s="78"/>
      <c r="G1206" s="16" t="s">
        <v>1317</v>
      </c>
      <c r="Z1206" s="109"/>
      <c r="AA1206" s="109"/>
      <c r="AB1206" s="109"/>
      <c r="AC1206" s="109"/>
      <c r="AD1206" s="109"/>
      <c r="AE1206" s="109"/>
      <c r="AF1206" s="109"/>
      <c r="AG1206" s="109"/>
      <c r="AH1206" s="109"/>
      <c r="AI1206" s="109"/>
      <c r="AJ1206" s="109"/>
      <c r="AK1206" s="109"/>
      <c r="AL1206" s="109"/>
      <c r="AM1206" s="109"/>
      <c r="AN1206" s="109"/>
      <c r="AO1206" s="109"/>
      <c r="AP1206" s="109"/>
      <c r="AQ1206" s="109"/>
      <c r="AR1206" s="109"/>
      <c r="AS1206" s="109"/>
    </row>
    <row r="1207" spans="1:45" ht="12.6" customHeight="1" x14ac:dyDescent="0.3">
      <c r="A1207" s="68"/>
      <c r="B1207" s="97" t="str">
        <f>"L2= "&amp;Z1207&amp;" km(비포장) "</f>
        <v xml:space="preserve">L2= 7 km(비포장) </v>
      </c>
      <c r="C1207" s="78"/>
      <c r="D1207" s="78"/>
      <c r="E1207" s="78"/>
      <c r="F1207" s="78"/>
      <c r="G1207" s="16" t="s">
        <v>1770</v>
      </c>
      <c r="Z1207" s="111">
        <v>7</v>
      </c>
      <c r="AA1207" s="20" t="s">
        <v>1326</v>
      </c>
      <c r="AB1207" s="112">
        <f>Z1207</f>
        <v>7</v>
      </c>
      <c r="AC1207" s="109"/>
      <c r="AD1207" s="109"/>
      <c r="AE1207" s="109"/>
      <c r="AF1207" s="109"/>
      <c r="AG1207" s="109"/>
      <c r="AH1207" s="109"/>
      <c r="AI1207" s="109"/>
      <c r="AJ1207" s="109"/>
      <c r="AK1207" s="109"/>
      <c r="AL1207" s="109"/>
      <c r="AM1207" s="109"/>
      <c r="AN1207" s="109"/>
      <c r="AO1207" s="109"/>
      <c r="AP1207" s="109"/>
      <c r="AQ1207" s="109"/>
      <c r="AR1207" s="109"/>
      <c r="AS1207" s="109"/>
    </row>
    <row r="1208" spans="1:45" ht="12.6" customHeight="1" x14ac:dyDescent="0.3">
      <c r="A1208" s="78"/>
      <c r="B1208" s="78"/>
      <c r="C1208" s="78"/>
      <c r="D1208" s="78"/>
      <c r="E1208" s="78"/>
      <c r="F1208" s="78"/>
      <c r="G1208" s="16" t="s">
        <v>1317</v>
      </c>
      <c r="Z1208" s="109"/>
      <c r="AA1208" s="109"/>
      <c r="AB1208" s="109"/>
      <c r="AC1208" s="109"/>
      <c r="AD1208" s="109"/>
      <c r="AE1208" s="109"/>
      <c r="AF1208" s="109"/>
      <c r="AG1208" s="109"/>
      <c r="AH1208" s="109"/>
      <c r="AI1208" s="109"/>
      <c r="AJ1208" s="109"/>
      <c r="AK1208" s="109"/>
      <c r="AL1208" s="109"/>
      <c r="AM1208" s="109"/>
      <c r="AN1208" s="109"/>
      <c r="AO1208" s="109"/>
      <c r="AP1208" s="109"/>
      <c r="AQ1208" s="109"/>
      <c r="AR1208" s="109"/>
      <c r="AS1208" s="109"/>
    </row>
    <row r="1209" spans="1:45" ht="12.6" customHeight="1" x14ac:dyDescent="0.3">
      <c r="A1209" s="68"/>
      <c r="B1209" s="97" t="str">
        <f>"V1= "&amp;Z1209&amp;" km/hr "</f>
        <v xml:space="preserve">V1= 30 km/hr </v>
      </c>
      <c r="C1209" s="78"/>
      <c r="D1209" s="78"/>
      <c r="E1209" s="78"/>
      <c r="F1209" s="78"/>
      <c r="G1209" s="16" t="s">
        <v>1771</v>
      </c>
      <c r="Z1209" s="111">
        <v>30</v>
      </c>
      <c r="AA1209" s="20" t="s">
        <v>1326</v>
      </c>
      <c r="AB1209" s="112">
        <f>Z1209</f>
        <v>30</v>
      </c>
      <c r="AC1209" s="109"/>
      <c r="AD1209" s="109"/>
      <c r="AE1209" s="109"/>
      <c r="AF1209" s="109"/>
      <c r="AG1209" s="109"/>
      <c r="AH1209" s="109"/>
      <c r="AI1209" s="109"/>
      <c r="AJ1209" s="109"/>
      <c r="AK1209" s="109"/>
      <c r="AL1209" s="109"/>
      <c r="AM1209" s="109"/>
      <c r="AN1209" s="109"/>
      <c r="AO1209" s="109"/>
      <c r="AP1209" s="109"/>
      <c r="AQ1209" s="109"/>
      <c r="AR1209" s="109"/>
      <c r="AS1209" s="109"/>
    </row>
    <row r="1210" spans="1:45" ht="12.6" customHeight="1" x14ac:dyDescent="0.3">
      <c r="A1210" s="78"/>
      <c r="B1210" s="78"/>
      <c r="C1210" s="78"/>
      <c r="D1210" s="78"/>
      <c r="E1210" s="78"/>
      <c r="F1210" s="78"/>
      <c r="G1210" s="16" t="s">
        <v>1433</v>
      </c>
      <c r="Z1210" s="109"/>
      <c r="AA1210" s="109"/>
      <c r="AB1210" s="109"/>
      <c r="AC1210" s="109"/>
      <c r="AD1210" s="109"/>
      <c r="AE1210" s="109"/>
      <c r="AF1210" s="109"/>
      <c r="AG1210" s="109"/>
      <c r="AH1210" s="109"/>
      <c r="AI1210" s="109"/>
      <c r="AJ1210" s="109"/>
      <c r="AK1210" s="109"/>
      <c r="AL1210" s="109"/>
      <c r="AM1210" s="109"/>
      <c r="AN1210" s="109"/>
      <c r="AO1210" s="109"/>
      <c r="AP1210" s="109"/>
      <c r="AQ1210" s="109"/>
      <c r="AR1210" s="109"/>
      <c r="AS1210" s="109"/>
    </row>
    <row r="1211" spans="1:45" ht="12.6" customHeight="1" x14ac:dyDescent="0.3">
      <c r="A1211" s="68"/>
      <c r="B1211" s="97" t="str">
        <f>"V2= "&amp;Z1211&amp;" km/hr "</f>
        <v xml:space="preserve">V2= 35 km/hr </v>
      </c>
      <c r="C1211" s="78"/>
      <c r="D1211" s="78"/>
      <c r="E1211" s="78"/>
      <c r="F1211" s="78"/>
      <c r="G1211" s="16" t="s">
        <v>1772</v>
      </c>
      <c r="Z1211" s="111">
        <v>35</v>
      </c>
      <c r="AA1211" s="20" t="s">
        <v>1326</v>
      </c>
      <c r="AB1211" s="112">
        <f>Z1211</f>
        <v>35</v>
      </c>
      <c r="AC1211" s="109"/>
      <c r="AD1211" s="109"/>
      <c r="AE1211" s="109"/>
      <c r="AF1211" s="109"/>
      <c r="AG1211" s="109"/>
      <c r="AH1211" s="109"/>
      <c r="AI1211" s="109"/>
      <c r="AJ1211" s="109"/>
      <c r="AK1211" s="109"/>
      <c r="AL1211" s="109"/>
      <c r="AM1211" s="109"/>
      <c r="AN1211" s="109"/>
      <c r="AO1211" s="109"/>
      <c r="AP1211" s="109"/>
      <c r="AQ1211" s="109"/>
      <c r="AR1211" s="109"/>
      <c r="AS1211" s="109"/>
    </row>
    <row r="1212" spans="1:45" ht="12.6" customHeight="1" x14ac:dyDescent="0.3">
      <c r="A1212" s="78"/>
      <c r="B1212" s="78"/>
      <c r="C1212" s="78"/>
      <c r="D1212" s="78"/>
      <c r="E1212" s="78"/>
      <c r="F1212" s="78"/>
      <c r="G1212" s="16" t="s">
        <v>1433</v>
      </c>
      <c r="Z1212" s="109"/>
      <c r="AA1212" s="109"/>
      <c r="AB1212" s="109"/>
      <c r="AC1212" s="109"/>
      <c r="AD1212" s="109"/>
      <c r="AE1212" s="109"/>
      <c r="AF1212" s="109"/>
      <c r="AG1212" s="109"/>
      <c r="AH1212" s="109"/>
      <c r="AI1212" s="109"/>
      <c r="AJ1212" s="109"/>
      <c r="AK1212" s="109"/>
      <c r="AL1212" s="109"/>
      <c r="AM1212" s="109"/>
      <c r="AN1212" s="109"/>
      <c r="AO1212" s="109"/>
      <c r="AP1212" s="109"/>
      <c r="AQ1212" s="109"/>
      <c r="AR1212" s="109"/>
      <c r="AS1212" s="109"/>
    </row>
    <row r="1213" spans="1:45" ht="12.6" customHeight="1" x14ac:dyDescent="0.3">
      <c r="A1213" s="68"/>
      <c r="B1213" s="97" t="str">
        <f>"V3= "&amp;Z1213&amp;" km/hr "</f>
        <v xml:space="preserve">V3= 10 km/hr </v>
      </c>
      <c r="C1213" s="78"/>
      <c r="D1213" s="78"/>
      <c r="E1213" s="78"/>
      <c r="F1213" s="78"/>
      <c r="G1213" s="16" t="s">
        <v>1773</v>
      </c>
      <c r="Z1213" s="111">
        <v>10</v>
      </c>
      <c r="AA1213" s="20" t="s">
        <v>1326</v>
      </c>
      <c r="AB1213" s="112">
        <f>Z1213</f>
        <v>10</v>
      </c>
      <c r="AC1213" s="109"/>
      <c r="AD1213" s="109"/>
      <c r="AE1213" s="109"/>
      <c r="AF1213" s="109"/>
      <c r="AG1213" s="109"/>
      <c r="AH1213" s="109"/>
      <c r="AI1213" s="109"/>
      <c r="AJ1213" s="109"/>
      <c r="AK1213" s="109"/>
      <c r="AL1213" s="109"/>
      <c r="AM1213" s="109"/>
      <c r="AN1213" s="109"/>
      <c r="AO1213" s="109"/>
      <c r="AP1213" s="109"/>
      <c r="AQ1213" s="109"/>
      <c r="AR1213" s="109"/>
      <c r="AS1213" s="109"/>
    </row>
    <row r="1214" spans="1:45" ht="12.6" customHeight="1" x14ac:dyDescent="0.3">
      <c r="A1214" s="78"/>
      <c r="B1214" s="78"/>
      <c r="C1214" s="78"/>
      <c r="D1214" s="78"/>
      <c r="E1214" s="78"/>
      <c r="F1214" s="78"/>
      <c r="G1214" s="16" t="s">
        <v>1433</v>
      </c>
      <c r="Z1214" s="109"/>
      <c r="AA1214" s="109"/>
      <c r="AB1214" s="109"/>
      <c r="AC1214" s="109"/>
      <c r="AD1214" s="109"/>
      <c r="AE1214" s="109"/>
      <c r="AF1214" s="109"/>
      <c r="AG1214" s="109"/>
      <c r="AH1214" s="109"/>
      <c r="AI1214" s="109"/>
      <c r="AJ1214" s="109"/>
      <c r="AK1214" s="109"/>
      <c r="AL1214" s="109"/>
      <c r="AM1214" s="109"/>
      <c r="AN1214" s="109"/>
      <c r="AO1214" s="109"/>
      <c r="AP1214" s="109"/>
      <c r="AQ1214" s="109"/>
      <c r="AR1214" s="109"/>
      <c r="AS1214" s="109"/>
    </row>
    <row r="1215" spans="1:45" ht="12.6" customHeight="1" x14ac:dyDescent="0.3">
      <c r="A1215" s="68"/>
      <c r="B1215" s="97" t="str">
        <f>"V4= "&amp;Z1215&amp;" km/hr "</f>
        <v xml:space="preserve">V4= 15 km/hr </v>
      </c>
      <c r="C1215" s="78"/>
      <c r="D1215" s="78"/>
      <c r="E1215" s="78"/>
      <c r="F1215" s="78"/>
      <c r="G1215" s="16" t="s">
        <v>1774</v>
      </c>
      <c r="Z1215" s="111">
        <v>15</v>
      </c>
      <c r="AA1215" s="20" t="s">
        <v>1326</v>
      </c>
      <c r="AB1215" s="112">
        <f>Z1215</f>
        <v>15</v>
      </c>
      <c r="AC1215" s="109"/>
      <c r="AD1215" s="109"/>
      <c r="AE1215" s="109"/>
      <c r="AF1215" s="109"/>
      <c r="AG1215" s="109"/>
      <c r="AH1215" s="109"/>
      <c r="AI1215" s="109"/>
      <c r="AJ1215" s="109"/>
      <c r="AK1215" s="109"/>
      <c r="AL1215" s="109"/>
      <c r="AM1215" s="109"/>
      <c r="AN1215" s="109"/>
      <c r="AO1215" s="109"/>
      <c r="AP1215" s="109"/>
      <c r="AQ1215" s="109"/>
      <c r="AR1215" s="109"/>
      <c r="AS1215" s="109"/>
    </row>
    <row r="1216" spans="1:45" ht="12.6" customHeight="1" x14ac:dyDescent="0.3">
      <c r="A1216" s="78"/>
      <c r="B1216" s="78"/>
      <c r="C1216" s="78"/>
      <c r="D1216" s="78"/>
      <c r="E1216" s="78"/>
      <c r="F1216" s="78"/>
      <c r="G1216" s="16" t="s">
        <v>1317</v>
      </c>
      <c r="Z1216" s="109"/>
      <c r="AA1216" s="109"/>
      <c r="AB1216" s="109"/>
      <c r="AC1216" s="109"/>
      <c r="AD1216" s="109"/>
      <c r="AE1216" s="109"/>
      <c r="AF1216" s="109"/>
      <c r="AG1216" s="109"/>
      <c r="AH1216" s="109"/>
      <c r="AI1216" s="109"/>
      <c r="AJ1216" s="109"/>
      <c r="AK1216" s="109"/>
      <c r="AL1216" s="109"/>
      <c r="AM1216" s="109"/>
      <c r="AN1216" s="109"/>
      <c r="AO1216" s="109"/>
      <c r="AP1216" s="109"/>
      <c r="AQ1216" s="109"/>
      <c r="AR1216" s="109"/>
      <c r="AS1216" s="109"/>
    </row>
    <row r="1217" spans="1:45" ht="12.6" customHeight="1" x14ac:dyDescent="0.3">
      <c r="A1217" s="68"/>
      <c r="B1217" s="97" t="str">
        <f>"t1 (상차시간(분)) ="&amp;Z1217&amp;" , E="&amp;AD1217&amp;""</f>
        <v>t1 (상차시간(분)) =20 , E=0.9</v>
      </c>
      <c r="C1217" s="78"/>
      <c r="D1217" s="78"/>
      <c r="E1217" s="78"/>
      <c r="F1217" s="78"/>
      <c r="G1217" s="16" t="s">
        <v>1775</v>
      </c>
      <c r="Z1217" s="111">
        <v>20</v>
      </c>
      <c r="AA1217" s="20" t="s">
        <v>1326</v>
      </c>
      <c r="AB1217" s="112">
        <f>Z1217</f>
        <v>20</v>
      </c>
      <c r="AC1217" s="20" t="s">
        <v>1385</v>
      </c>
      <c r="AD1217" s="110">
        <v>0.9</v>
      </c>
      <c r="AE1217" s="20" t="s">
        <v>1326</v>
      </c>
      <c r="AF1217" s="112">
        <f>AD1217</f>
        <v>0.9</v>
      </c>
      <c r="AG1217" s="20" t="s">
        <v>1385</v>
      </c>
      <c r="AH1217" s="109"/>
      <c r="AI1217" s="109"/>
      <c r="AJ1217" s="109"/>
      <c r="AK1217" s="109"/>
      <c r="AL1217" s="109"/>
      <c r="AM1217" s="109"/>
      <c r="AN1217" s="109"/>
      <c r="AO1217" s="109"/>
      <c r="AP1217" s="109"/>
      <c r="AQ1217" s="109"/>
      <c r="AR1217" s="109"/>
      <c r="AS1217" s="109"/>
    </row>
    <row r="1218" spans="1:45" ht="12.6" customHeight="1" x14ac:dyDescent="0.3">
      <c r="A1218" s="78"/>
      <c r="B1218" s="78"/>
      <c r="C1218" s="78"/>
      <c r="D1218" s="78"/>
      <c r="E1218" s="78"/>
      <c r="F1218" s="78"/>
      <c r="G1218" s="16" t="s">
        <v>1317</v>
      </c>
      <c r="Z1218" s="109"/>
      <c r="AA1218" s="109"/>
      <c r="AB1218" s="109"/>
      <c r="AC1218" s="109"/>
      <c r="AD1218" s="109"/>
      <c r="AE1218" s="109"/>
      <c r="AF1218" s="109"/>
      <c r="AG1218" s="109"/>
      <c r="AH1218" s="109"/>
      <c r="AI1218" s="109"/>
      <c r="AJ1218" s="109"/>
      <c r="AK1218" s="109"/>
      <c r="AL1218" s="109"/>
      <c r="AM1218" s="109"/>
      <c r="AN1218" s="109"/>
      <c r="AO1218" s="109"/>
      <c r="AP1218" s="109"/>
      <c r="AQ1218" s="109"/>
      <c r="AR1218" s="109"/>
      <c r="AS1218" s="109"/>
    </row>
    <row r="1219" spans="1:45" ht="12.6" customHeight="1" x14ac:dyDescent="0.3">
      <c r="A1219" s="68"/>
      <c r="B1219" s="97" t="str">
        <f>"t2 (왕복시간(분)) =(L1/V1+L1/V2+L2/V3+L2/V4) * "&amp;AQ1219&amp;" = "&amp;AS1219&amp;""</f>
        <v>t2 (왕복시간(분)) =(L1/V1+L1/V2+L2/V3+L2/V4) * 60 = 114.57</v>
      </c>
      <c r="C1219" s="78"/>
      <c r="D1219" s="78"/>
      <c r="E1219" s="78"/>
      <c r="F1219" s="78"/>
      <c r="G1219" s="16" t="s">
        <v>1776</v>
      </c>
      <c r="Z1219" s="20" t="s">
        <v>1526</v>
      </c>
      <c r="AA1219" s="112">
        <f>AB1205</f>
        <v>12</v>
      </c>
      <c r="AB1219" s="20" t="s">
        <v>1387</v>
      </c>
      <c r="AC1219" s="112">
        <f>AB1209</f>
        <v>30</v>
      </c>
      <c r="AD1219" s="20" t="s">
        <v>1535</v>
      </c>
      <c r="AE1219" s="112">
        <f>AB1205</f>
        <v>12</v>
      </c>
      <c r="AF1219" s="20" t="s">
        <v>1387</v>
      </c>
      <c r="AG1219" s="112">
        <f>AB1211</f>
        <v>35</v>
      </c>
      <c r="AH1219" s="20" t="s">
        <v>1535</v>
      </c>
      <c r="AI1219" s="112">
        <f>AB1207</f>
        <v>7</v>
      </c>
      <c r="AJ1219" s="20" t="s">
        <v>1387</v>
      </c>
      <c r="AK1219" s="112">
        <f>AB1213</f>
        <v>10</v>
      </c>
      <c r="AL1219" s="20" t="s">
        <v>1535</v>
      </c>
      <c r="AM1219" s="112">
        <f>AB1207</f>
        <v>7</v>
      </c>
      <c r="AN1219" s="20" t="s">
        <v>1387</v>
      </c>
      <c r="AO1219" s="112">
        <f>AB1215</f>
        <v>15</v>
      </c>
      <c r="AP1219" s="20" t="s">
        <v>1527</v>
      </c>
      <c r="AQ1219" s="111">
        <v>60</v>
      </c>
      <c r="AR1219" s="20" t="s">
        <v>1326</v>
      </c>
      <c r="AS1219" s="112" t="str">
        <f>TEXT(ROUND((AB1205/AB1209+AB1205/AB1211+AB1207/AB1213+AB1207/AB1215)*AQ1219,2),"0.00")</f>
        <v>114.57</v>
      </c>
    </row>
    <row r="1220" spans="1:45" ht="12.6" customHeight="1" x14ac:dyDescent="0.3">
      <c r="A1220" s="78"/>
      <c r="B1220" s="78"/>
      <c r="C1220" s="78"/>
      <c r="D1220" s="78"/>
      <c r="E1220" s="78"/>
      <c r="F1220" s="78"/>
      <c r="G1220" s="16" t="s">
        <v>1317</v>
      </c>
      <c r="Z1220" s="109"/>
      <c r="AA1220" s="109"/>
      <c r="AB1220" s="109"/>
      <c r="AC1220" s="109"/>
      <c r="AD1220" s="109"/>
      <c r="AE1220" s="109"/>
      <c r="AF1220" s="109"/>
      <c r="AG1220" s="109"/>
      <c r="AH1220" s="109"/>
      <c r="AI1220" s="109"/>
      <c r="AJ1220" s="109"/>
      <c r="AK1220" s="109"/>
      <c r="AL1220" s="109"/>
      <c r="AM1220" s="109"/>
      <c r="AN1220" s="109"/>
      <c r="AO1220" s="109"/>
      <c r="AP1220" s="109"/>
      <c r="AQ1220" s="109"/>
      <c r="AR1220" s="109"/>
      <c r="AS1220" s="109"/>
    </row>
    <row r="1221" spans="1:45" ht="12.6" customHeight="1" x14ac:dyDescent="0.3">
      <c r="A1221" s="68"/>
      <c r="B1221" s="97" t="str">
        <f>"t3 (하차시간(분)) ="&amp;Z1221&amp;""</f>
        <v>t3 (하차시간(분)) =20</v>
      </c>
      <c r="C1221" s="78"/>
      <c r="D1221" s="78"/>
      <c r="E1221" s="78"/>
      <c r="F1221" s="78"/>
      <c r="G1221" s="16" t="s">
        <v>1777</v>
      </c>
      <c r="Z1221" s="111">
        <v>20</v>
      </c>
      <c r="AA1221" s="20" t="s">
        <v>1326</v>
      </c>
      <c r="AB1221" s="112">
        <f>Z1221</f>
        <v>20</v>
      </c>
      <c r="AC1221" s="109"/>
      <c r="AD1221" s="109"/>
      <c r="AE1221" s="109"/>
      <c r="AF1221" s="109"/>
      <c r="AG1221" s="109"/>
      <c r="AH1221" s="109"/>
      <c r="AI1221" s="109"/>
      <c r="AJ1221" s="109"/>
      <c r="AK1221" s="109"/>
      <c r="AL1221" s="109"/>
      <c r="AM1221" s="109"/>
      <c r="AN1221" s="109"/>
      <c r="AO1221" s="109"/>
      <c r="AP1221" s="109"/>
      <c r="AQ1221" s="109"/>
      <c r="AR1221" s="109"/>
      <c r="AS1221" s="109"/>
    </row>
    <row r="1222" spans="1:45" ht="12.6" customHeight="1" x14ac:dyDescent="0.3">
      <c r="A1222" s="78"/>
      <c r="B1222" s="78"/>
      <c r="C1222" s="78"/>
      <c r="D1222" s="78"/>
      <c r="E1222" s="78"/>
      <c r="F1222" s="78"/>
      <c r="G1222" s="16" t="s">
        <v>1317</v>
      </c>
      <c r="Z1222" s="109"/>
      <c r="AA1222" s="109"/>
      <c r="AB1222" s="109"/>
      <c r="AC1222" s="109"/>
      <c r="AD1222" s="109"/>
      <c r="AE1222" s="109"/>
      <c r="AF1222" s="109"/>
      <c r="AG1222" s="109"/>
      <c r="AH1222" s="109"/>
      <c r="AI1222" s="109"/>
      <c r="AJ1222" s="109"/>
      <c r="AK1222" s="109"/>
      <c r="AL1222" s="109"/>
      <c r="AM1222" s="109"/>
      <c r="AN1222" s="109"/>
      <c r="AO1222" s="109"/>
      <c r="AP1222" s="109"/>
      <c r="AQ1222" s="109"/>
      <c r="AR1222" s="109"/>
      <c r="AS1222" s="109"/>
    </row>
    <row r="1223" spans="1:45" ht="12.6" customHeight="1" x14ac:dyDescent="0.3">
      <c r="A1223" s="68"/>
      <c r="B1223" s="97" t="str">
        <f>"t4 (하차준비시간(분)) ="&amp;Z1223&amp;""</f>
        <v>t4 (하차준비시간(분)) =0.42</v>
      </c>
      <c r="C1223" s="78"/>
      <c r="D1223" s="78"/>
      <c r="E1223" s="78"/>
      <c r="F1223" s="78"/>
      <c r="G1223" s="16" t="s">
        <v>1778</v>
      </c>
      <c r="Z1223" s="110">
        <v>0.42</v>
      </c>
      <c r="AA1223" s="20" t="s">
        <v>1326</v>
      </c>
      <c r="AB1223" s="112">
        <f>Z1223</f>
        <v>0.42</v>
      </c>
      <c r="AC1223" s="109"/>
      <c r="AD1223" s="109"/>
      <c r="AE1223" s="109"/>
      <c r="AF1223" s="109"/>
      <c r="AG1223" s="109"/>
      <c r="AH1223" s="109"/>
      <c r="AI1223" s="109"/>
      <c r="AJ1223" s="109"/>
      <c r="AK1223" s="109"/>
      <c r="AL1223" s="109"/>
      <c r="AM1223" s="109"/>
      <c r="AN1223" s="109"/>
      <c r="AO1223" s="109"/>
      <c r="AP1223" s="109"/>
      <c r="AQ1223" s="109"/>
      <c r="AR1223" s="109"/>
      <c r="AS1223" s="109"/>
    </row>
    <row r="1224" spans="1:45" ht="12.6" customHeight="1" x14ac:dyDescent="0.3">
      <c r="A1224" s="78"/>
      <c r="B1224" s="78"/>
      <c r="C1224" s="78"/>
      <c r="D1224" s="78"/>
      <c r="E1224" s="78"/>
      <c r="F1224" s="78"/>
      <c r="G1224" s="16" t="s">
        <v>1317</v>
      </c>
      <c r="Z1224" s="109"/>
      <c r="AA1224" s="109"/>
      <c r="AB1224" s="109"/>
      <c r="AC1224" s="109"/>
      <c r="AD1224" s="109"/>
      <c r="AE1224" s="109"/>
      <c r="AF1224" s="109"/>
      <c r="AG1224" s="109"/>
      <c r="AH1224" s="109"/>
      <c r="AI1224" s="109"/>
      <c r="AJ1224" s="109"/>
      <c r="AK1224" s="109"/>
      <c r="AL1224" s="109"/>
      <c r="AM1224" s="109"/>
      <c r="AN1224" s="109"/>
      <c r="AO1224" s="109"/>
      <c r="AP1224" s="109"/>
      <c r="AQ1224" s="109"/>
      <c r="AR1224" s="109"/>
      <c r="AS1224" s="109"/>
    </row>
    <row r="1225" spans="1:45" ht="12.6" customHeight="1" x14ac:dyDescent="0.3">
      <c r="A1225" s="68"/>
      <c r="B1225" s="97" t="str">
        <f>"Cm (회 사이클 시간(분))  =t1 + t2 + t3 + t4 = "&amp;AH1225&amp;""</f>
        <v>Cm (회 사이클 시간(분))  =t1 + t2 + t3 + t4 = 154.99</v>
      </c>
      <c r="C1225" s="78"/>
      <c r="D1225" s="78"/>
      <c r="E1225" s="78"/>
      <c r="F1225" s="78"/>
      <c r="G1225" s="16" t="s">
        <v>1779</v>
      </c>
      <c r="Z1225" s="112">
        <f>AB1217</f>
        <v>20</v>
      </c>
      <c r="AA1225" s="20" t="s">
        <v>1535</v>
      </c>
      <c r="AB1225" s="112" t="str">
        <f>AS1219</f>
        <v>114.57</v>
      </c>
      <c r="AC1225" s="20" t="s">
        <v>1535</v>
      </c>
      <c r="AD1225" s="112">
        <f>AB1221</f>
        <v>20</v>
      </c>
      <c r="AE1225" s="20" t="s">
        <v>1535</v>
      </c>
      <c r="AF1225" s="112">
        <f>AB1223</f>
        <v>0.42</v>
      </c>
      <c r="AG1225" s="20" t="s">
        <v>1326</v>
      </c>
      <c r="AH1225" s="112" t="str">
        <f>TEXT(ROUND(AB1217+AS1219+AB1221+AB1223,2),"0.00")</f>
        <v>154.99</v>
      </c>
      <c r="AI1225" s="109"/>
      <c r="AJ1225" s="109"/>
      <c r="AK1225" s="109"/>
      <c r="AL1225" s="109"/>
      <c r="AM1225" s="109"/>
      <c r="AN1225" s="109"/>
      <c r="AO1225" s="109"/>
      <c r="AP1225" s="109"/>
      <c r="AQ1225" s="109"/>
      <c r="AR1225" s="109"/>
      <c r="AS1225" s="109"/>
    </row>
    <row r="1226" spans="1:45" ht="12.6" customHeight="1" x14ac:dyDescent="0.3">
      <c r="A1226" s="78"/>
      <c r="B1226" s="78"/>
      <c r="C1226" s="78"/>
      <c r="D1226" s="78"/>
      <c r="E1226" s="78"/>
      <c r="F1226" s="78"/>
      <c r="G1226" s="16" t="s">
        <v>1317</v>
      </c>
      <c r="Z1226" s="109"/>
      <c r="AA1226" s="109"/>
      <c r="AB1226" s="109"/>
      <c r="AC1226" s="109"/>
      <c r="AD1226" s="109"/>
      <c r="AE1226" s="109"/>
      <c r="AF1226" s="109"/>
      <c r="AG1226" s="109"/>
      <c r="AH1226" s="109"/>
      <c r="AI1226" s="109"/>
      <c r="AJ1226" s="109"/>
      <c r="AK1226" s="109"/>
      <c r="AL1226" s="109"/>
      <c r="AM1226" s="109"/>
      <c r="AN1226" s="109"/>
      <c r="AO1226" s="109"/>
      <c r="AP1226" s="109"/>
      <c r="AQ1226" s="109"/>
      <c r="AR1226" s="109"/>
      <c r="AS1226" s="109"/>
    </row>
    <row r="1227" spans="1:45" ht="12.6" customHeight="1" x14ac:dyDescent="0.3">
      <c r="A1227" s="68"/>
      <c r="B1227" s="97" t="str">
        <f>"N (간단 운반횟수(회)) ="&amp;Z1227&amp;"*E/Cm= "&amp;AF1227&amp;"   회 "</f>
        <v xml:space="preserve">N (간단 운반횟수(회)) =60*E/Cm= 0.35   회 </v>
      </c>
      <c r="C1227" s="78"/>
      <c r="D1227" s="78"/>
      <c r="E1227" s="78"/>
      <c r="F1227" s="78"/>
      <c r="G1227" s="16" t="s">
        <v>1780</v>
      </c>
      <c r="Z1227" s="111">
        <v>60</v>
      </c>
      <c r="AA1227" s="20" t="s">
        <v>1390</v>
      </c>
      <c r="AB1227" s="112">
        <f>AF1217</f>
        <v>0.9</v>
      </c>
      <c r="AC1227" s="20" t="s">
        <v>1387</v>
      </c>
      <c r="AD1227" s="112" t="str">
        <f>AH1225</f>
        <v>154.99</v>
      </c>
      <c r="AE1227" s="20" t="s">
        <v>1326</v>
      </c>
      <c r="AF1227" s="112" t="str">
        <f>TEXT(ROUND(Z1227*AF1217/AH1225,2),"0.00")</f>
        <v>0.35</v>
      </c>
      <c r="AG1227" s="109"/>
      <c r="AH1227" s="109"/>
      <c r="AI1227" s="109"/>
      <c r="AJ1227" s="109"/>
      <c r="AK1227" s="109"/>
      <c r="AL1227" s="109"/>
      <c r="AM1227" s="109"/>
      <c r="AN1227" s="109"/>
      <c r="AO1227" s="109"/>
      <c r="AP1227" s="109"/>
      <c r="AQ1227" s="109"/>
      <c r="AR1227" s="109"/>
      <c r="AS1227" s="109"/>
    </row>
    <row r="1228" spans="1:45" ht="12.6" customHeight="1" x14ac:dyDescent="0.3">
      <c r="A1228" s="78"/>
      <c r="B1228" s="78"/>
      <c r="C1228" s="78"/>
      <c r="D1228" s="78"/>
      <c r="E1228" s="78"/>
      <c r="F1228" s="78"/>
      <c r="G1228" s="16" t="s">
        <v>1317</v>
      </c>
      <c r="Z1228" s="109"/>
      <c r="AA1228" s="109"/>
      <c r="AB1228" s="109"/>
      <c r="AC1228" s="109"/>
      <c r="AD1228" s="109"/>
      <c r="AE1228" s="109"/>
      <c r="AF1228" s="109"/>
      <c r="AG1228" s="109"/>
      <c r="AH1228" s="109"/>
      <c r="AI1228" s="109"/>
      <c r="AJ1228" s="109"/>
      <c r="AK1228" s="109"/>
      <c r="AL1228" s="109"/>
      <c r="AM1228" s="109"/>
      <c r="AN1228" s="109"/>
      <c r="AO1228" s="109"/>
      <c r="AP1228" s="109"/>
      <c r="AQ1228" s="109"/>
      <c r="AR1228" s="109"/>
      <c r="AS1228" s="109"/>
    </row>
    <row r="1229" spans="1:45" ht="12.6" customHeight="1" x14ac:dyDescent="0.3">
      <c r="A1229" s="68"/>
      <c r="B1229" s="97" t="str">
        <f>"OH (상차 10분 초과 시 운반기계의 유류보정) =(cm-t1-t3)/Cm= "&amp;AI1229&amp;""</f>
        <v>OH (상차 10분 초과 시 운반기계의 유류보정) =(cm-t1-t3)/Cm= 0.74</v>
      </c>
      <c r="C1229" s="78"/>
      <c r="D1229" s="78"/>
      <c r="E1229" s="78"/>
      <c r="F1229" s="78"/>
      <c r="G1229" s="16" t="s">
        <v>1781</v>
      </c>
      <c r="Z1229" s="20" t="s">
        <v>1526</v>
      </c>
      <c r="AA1229" s="112" t="str">
        <f>AH1225</f>
        <v>154.99</v>
      </c>
      <c r="AB1229" s="20" t="s">
        <v>1407</v>
      </c>
      <c r="AC1229" s="112">
        <f>AB1217</f>
        <v>20</v>
      </c>
      <c r="AD1229" s="20" t="s">
        <v>1407</v>
      </c>
      <c r="AE1229" s="112">
        <f>AB1221</f>
        <v>20</v>
      </c>
      <c r="AF1229" s="20" t="s">
        <v>1727</v>
      </c>
      <c r="AG1229" s="112" t="str">
        <f>AH1225</f>
        <v>154.99</v>
      </c>
      <c r="AH1229" s="20" t="s">
        <v>1326</v>
      </c>
      <c r="AI1229" s="112" t="str">
        <f>TEXT(ROUND((AH1225-AB1217-AB1221)/AH1225,2),"0.00")</f>
        <v>0.74</v>
      </c>
      <c r="AJ1229" s="109"/>
      <c r="AK1229" s="109"/>
      <c r="AL1229" s="109"/>
      <c r="AM1229" s="109"/>
      <c r="AN1229" s="109"/>
      <c r="AO1229" s="109"/>
      <c r="AP1229" s="109"/>
      <c r="AQ1229" s="109"/>
      <c r="AR1229" s="109"/>
      <c r="AS1229" s="109"/>
    </row>
    <row r="1230" spans="1:45" ht="12.6" customHeight="1" x14ac:dyDescent="0.3">
      <c r="A1230" s="78"/>
      <c r="B1230" s="78"/>
      <c r="C1230" s="78"/>
      <c r="D1230" s="78"/>
      <c r="E1230" s="78"/>
      <c r="F1230" s="78"/>
      <c r="G1230" s="16" t="s">
        <v>1317</v>
      </c>
      <c r="Z1230" s="109"/>
      <c r="AA1230" s="109"/>
      <c r="AB1230" s="109"/>
      <c r="AC1230" s="109"/>
      <c r="AD1230" s="109"/>
      <c r="AE1230" s="109"/>
      <c r="AF1230" s="109"/>
      <c r="AG1230" s="109"/>
      <c r="AH1230" s="109"/>
      <c r="AI1230" s="109"/>
      <c r="AJ1230" s="109"/>
      <c r="AK1230" s="109"/>
      <c r="AL1230" s="109"/>
      <c r="AM1230" s="109"/>
      <c r="AN1230" s="109"/>
      <c r="AO1230" s="109"/>
      <c r="AP1230" s="109"/>
      <c r="AQ1230" s="109"/>
      <c r="AR1230" s="109"/>
      <c r="AS1230" s="109"/>
    </row>
    <row r="1231" spans="1:45" ht="12.6" customHeight="1" x14ac:dyDescent="0.3">
      <c r="A1231" s="68" t="s">
        <v>1783</v>
      </c>
      <c r="B1231" s="97" t="str">
        <f>"  노무비 : "&amp;TEXT(I1231,"#,##0"&amp;IF(I1231&lt;&gt;INT(I1231),".###",""))&amp;"/N*"&amp;AC1231&amp;" = "&amp;TEXT(C1231,"#,##0.0")&amp;""</f>
        <v xml:space="preserve">  노무비 : 55,700/N*2 = 318,285.7</v>
      </c>
      <c r="C1231" s="99">
        <f>E1231+D1231+F1231</f>
        <v>318285.7</v>
      </c>
      <c r="D1231" s="99">
        <f>IF(H1231=0,0,ROUNDDOWN(J1231*H1231,1))</f>
        <v>318285.7</v>
      </c>
      <c r="E1231" s="99">
        <f>IF(H1231=0,0,ROUNDDOWN(K1231*H1231,1))</f>
        <v>0</v>
      </c>
      <c r="F1231" s="99">
        <f>IF(H1231=0,0,ROUNDDOWN(L1231*H1231,1))</f>
        <v>0</v>
      </c>
      <c r="G1231" s="16" t="s">
        <v>1782</v>
      </c>
      <c r="H1231" s="105">
        <f>AE1231</f>
        <v>5.7142857142857144</v>
      </c>
      <c r="I1231" s="106">
        <f>K1231+J1231+L1231</f>
        <v>55700</v>
      </c>
      <c r="J1231" s="39">
        <f>중기목록표!F16</f>
        <v>55700</v>
      </c>
      <c r="M1231" s="20" t="s">
        <v>1784</v>
      </c>
      <c r="N1231" s="20" t="s">
        <v>1332</v>
      </c>
      <c r="X1231" s="108" t="str">
        <f>중기목록표!B16&amp;" / "&amp;중기목록표!C16</f>
        <v>트럭 트랙터 및 평판트레일러 / 20Ton</v>
      </c>
      <c r="Y1231" s="19" t="str">
        <f ca="1">HYPERLINK("#"&amp;중기목록표!J2&amp;"!A"&amp;ROW(중기목록표!A16),"중기   13 →")</f>
        <v>중기   13 →</v>
      </c>
      <c r="Z1231" s="20" t="s">
        <v>1393</v>
      </c>
      <c r="AA1231" s="112" t="str">
        <f>AF1227</f>
        <v>0.35</v>
      </c>
      <c r="AB1231" s="20" t="s">
        <v>1390</v>
      </c>
      <c r="AC1231" s="111">
        <v>2</v>
      </c>
      <c r="AD1231" s="20" t="s">
        <v>1326</v>
      </c>
      <c r="AE1231" s="113">
        <f>1/AF1227*AC1231</f>
        <v>5.7142857142857144</v>
      </c>
      <c r="AF1231" s="109"/>
      <c r="AG1231" s="109"/>
      <c r="AH1231" s="109"/>
      <c r="AI1231" s="109"/>
      <c r="AJ1231" s="109"/>
      <c r="AK1231" s="109"/>
      <c r="AL1231" s="109"/>
      <c r="AM1231" s="109"/>
      <c r="AN1231" s="109"/>
      <c r="AO1231" s="109"/>
      <c r="AP1231" s="109"/>
      <c r="AQ1231" s="109"/>
      <c r="AR1231" s="109"/>
      <c r="AS1231" s="109"/>
    </row>
    <row r="1232" spans="1:45" ht="12.6" customHeight="1" x14ac:dyDescent="0.3">
      <c r="A1232" s="78"/>
      <c r="B1232" s="78"/>
      <c r="C1232" s="78"/>
      <c r="D1232" s="78"/>
      <c r="E1232" s="78"/>
      <c r="F1232" s="78"/>
      <c r="G1232" s="16" t="s">
        <v>1317</v>
      </c>
      <c r="Z1232" s="109"/>
      <c r="AA1232" s="109"/>
      <c r="AB1232" s="109"/>
      <c r="AC1232" s="109"/>
      <c r="AD1232" s="109"/>
      <c r="AE1232" s="109"/>
      <c r="AF1232" s="109"/>
      <c r="AG1232" s="109"/>
      <c r="AH1232" s="109"/>
      <c r="AI1232" s="109"/>
      <c r="AJ1232" s="109"/>
      <c r="AK1232" s="109"/>
      <c r="AL1232" s="109"/>
      <c r="AM1232" s="109"/>
      <c r="AN1232" s="109"/>
      <c r="AO1232" s="109"/>
      <c r="AP1232" s="109"/>
      <c r="AQ1232" s="109"/>
      <c r="AR1232" s="109"/>
      <c r="AS1232" s="109"/>
    </row>
    <row r="1233" spans="1:45" ht="12.6" customHeight="1" x14ac:dyDescent="0.3">
      <c r="A1233" s="68" t="s">
        <v>1786</v>
      </c>
      <c r="B1233" s="97" t="str">
        <f>"  재료비 : "&amp;TEXT(I1233,"#,##0"&amp;IF(I1233&lt;&gt;INT(I1233),".###",""))&amp;"/N*OH*"&amp;AE1233&amp;" = "&amp;TEXT(C1233,"#,##0.0")&amp;""</f>
        <v xml:space="preserve">  재료비 : 29,173/N*OH*2 = 123,360.1</v>
      </c>
      <c r="C1233" s="99">
        <f>E1233+D1233+F1233</f>
        <v>123360.1</v>
      </c>
      <c r="D1233" s="99">
        <f>IF(H1233=0,0,ROUNDDOWN(J1233*H1233,1))</f>
        <v>0</v>
      </c>
      <c r="E1233" s="99">
        <f>IF(H1233=0,0,ROUNDDOWN(K1233*H1233,1))</f>
        <v>123360.1</v>
      </c>
      <c r="F1233" s="99">
        <f>IF(H1233=0,0,ROUNDDOWN(L1233*H1233,1))</f>
        <v>0</v>
      </c>
      <c r="G1233" s="16" t="s">
        <v>1785</v>
      </c>
      <c r="H1233" s="105">
        <f>AG1233</f>
        <v>4.2285714285714286</v>
      </c>
      <c r="I1233" s="106">
        <f>K1233+J1233+L1233</f>
        <v>29173</v>
      </c>
      <c r="K1233" s="39">
        <f>중기목록표!G16</f>
        <v>29173</v>
      </c>
      <c r="M1233" s="20" t="s">
        <v>1784</v>
      </c>
      <c r="N1233" s="20" t="s">
        <v>1332</v>
      </c>
      <c r="X1233" s="108" t="str">
        <f>중기목록표!B16&amp;" / "&amp;중기목록표!C16</f>
        <v>트럭 트랙터 및 평판트레일러 / 20Ton</v>
      </c>
      <c r="Y1233" s="19" t="str">
        <f ca="1">HYPERLINK("#"&amp;중기목록표!J2&amp;"!A"&amp;ROW(중기목록표!A16),"중기   13 →")</f>
        <v>중기   13 →</v>
      </c>
      <c r="Z1233" s="20" t="s">
        <v>1393</v>
      </c>
      <c r="AA1233" s="112" t="str">
        <f>AF1227</f>
        <v>0.35</v>
      </c>
      <c r="AB1233" s="20" t="s">
        <v>1390</v>
      </c>
      <c r="AC1233" s="112" t="str">
        <f>AI1229</f>
        <v>0.74</v>
      </c>
      <c r="AD1233" s="20" t="s">
        <v>1390</v>
      </c>
      <c r="AE1233" s="111">
        <v>2</v>
      </c>
      <c r="AF1233" s="20" t="s">
        <v>1326</v>
      </c>
      <c r="AG1233" s="113">
        <f>1/AF1227*AI1229*AE1233</f>
        <v>4.2285714285714286</v>
      </c>
      <c r="AH1233" s="109"/>
      <c r="AI1233" s="109"/>
      <c r="AJ1233" s="109"/>
      <c r="AK1233" s="109"/>
      <c r="AL1233" s="109"/>
      <c r="AM1233" s="109"/>
      <c r="AN1233" s="109"/>
      <c r="AO1233" s="109"/>
      <c r="AP1233" s="109"/>
      <c r="AQ1233" s="109"/>
      <c r="AR1233" s="109"/>
      <c r="AS1233" s="109"/>
    </row>
    <row r="1234" spans="1:45" ht="12.6" customHeight="1" x14ac:dyDescent="0.3">
      <c r="A1234" s="78"/>
      <c r="B1234" s="78"/>
      <c r="C1234" s="78"/>
      <c r="D1234" s="78"/>
      <c r="E1234" s="78"/>
      <c r="F1234" s="78"/>
      <c r="G1234" s="16" t="s">
        <v>1317</v>
      </c>
      <c r="Z1234" s="109"/>
      <c r="AA1234" s="109"/>
      <c r="AB1234" s="109"/>
      <c r="AC1234" s="109"/>
      <c r="AD1234" s="109"/>
      <c r="AE1234" s="109"/>
      <c r="AF1234" s="109"/>
      <c r="AG1234" s="109"/>
      <c r="AH1234" s="109"/>
      <c r="AI1234" s="109"/>
      <c r="AJ1234" s="109"/>
      <c r="AK1234" s="109"/>
      <c r="AL1234" s="109"/>
      <c r="AM1234" s="109"/>
      <c r="AN1234" s="109"/>
      <c r="AO1234" s="109"/>
      <c r="AP1234" s="109"/>
      <c r="AQ1234" s="109"/>
      <c r="AR1234" s="109"/>
      <c r="AS1234" s="109"/>
    </row>
    <row r="1235" spans="1:45" ht="12.6" customHeight="1" x14ac:dyDescent="0.3">
      <c r="A1235" s="68" t="s">
        <v>1788</v>
      </c>
      <c r="B1235" s="97" t="str">
        <f>"  경   비 : "&amp;TEXT(I1235,"#,##0"&amp;IF(I1235&lt;&gt;INT(I1235),".###",""))&amp;"/N*"&amp;AC1235&amp;" = "&amp;TEXT(C1235,"#,##0.0")&amp;""</f>
        <v xml:space="preserve">  경   비 : 16,353/N*2 = 93,445.7</v>
      </c>
      <c r="C1235" s="99">
        <f>E1235+D1235+F1235</f>
        <v>93445.7</v>
      </c>
      <c r="D1235" s="99">
        <f>IF(H1235=0,0,ROUNDDOWN(J1235*H1235,1))</f>
        <v>0</v>
      </c>
      <c r="E1235" s="99">
        <f>IF(H1235=0,0,ROUNDDOWN(K1235*H1235,1))</f>
        <v>0</v>
      </c>
      <c r="F1235" s="99">
        <f>IF(H1235=0,0,ROUNDDOWN(L1235*H1235,1))</f>
        <v>93445.7</v>
      </c>
      <c r="G1235" s="16" t="s">
        <v>1787</v>
      </c>
      <c r="H1235" s="105">
        <f>AE1235</f>
        <v>5.7142857142857144</v>
      </c>
      <c r="I1235" s="106">
        <f>K1235+J1235+L1235</f>
        <v>16353</v>
      </c>
      <c r="L1235" s="39">
        <f>중기목록표!H16</f>
        <v>16353</v>
      </c>
      <c r="M1235" s="20" t="s">
        <v>1784</v>
      </c>
      <c r="N1235" s="20" t="s">
        <v>1332</v>
      </c>
      <c r="X1235" s="108" t="str">
        <f>중기목록표!B16&amp;" / "&amp;중기목록표!C16</f>
        <v>트럭 트랙터 및 평판트레일러 / 20Ton</v>
      </c>
      <c r="Y1235" s="19" t="str">
        <f ca="1">HYPERLINK("#"&amp;중기목록표!J2&amp;"!A"&amp;ROW(중기목록표!A16),"중기   13 →")</f>
        <v>중기   13 →</v>
      </c>
      <c r="Z1235" s="20" t="s">
        <v>1393</v>
      </c>
      <c r="AA1235" s="112" t="str">
        <f>AF1227</f>
        <v>0.35</v>
      </c>
      <c r="AB1235" s="20" t="s">
        <v>1390</v>
      </c>
      <c r="AC1235" s="111">
        <v>2</v>
      </c>
      <c r="AD1235" s="20" t="s">
        <v>1326</v>
      </c>
      <c r="AE1235" s="113">
        <f>1/AF1227*AC1235</f>
        <v>5.7142857142857144</v>
      </c>
      <c r="AF1235" s="109"/>
      <c r="AG1235" s="109"/>
      <c r="AH1235" s="109"/>
      <c r="AI1235" s="109"/>
      <c r="AJ1235" s="109"/>
      <c r="AK1235" s="109"/>
      <c r="AL1235" s="109"/>
      <c r="AM1235" s="109"/>
      <c r="AN1235" s="109"/>
      <c r="AO1235" s="109"/>
      <c r="AP1235" s="109"/>
      <c r="AQ1235" s="109"/>
      <c r="AR1235" s="109"/>
      <c r="AS1235" s="109"/>
    </row>
    <row r="1236" spans="1:45" ht="12.6" customHeight="1" x14ac:dyDescent="0.3">
      <c r="A1236" s="78"/>
      <c r="B1236" s="78"/>
      <c r="C1236" s="78"/>
      <c r="D1236" s="78"/>
      <c r="E1236" s="78"/>
      <c r="F1236" s="78"/>
      <c r="G1236" s="16" t="s">
        <v>1317</v>
      </c>
      <c r="Z1236" s="109"/>
      <c r="AA1236" s="109"/>
      <c r="AB1236" s="109"/>
      <c r="AC1236" s="109"/>
      <c r="AD1236" s="109"/>
      <c r="AE1236" s="109"/>
      <c r="AF1236" s="109"/>
      <c r="AG1236" s="109"/>
      <c r="AH1236" s="109"/>
      <c r="AI1236" s="109"/>
      <c r="AJ1236" s="109"/>
      <c r="AK1236" s="109"/>
      <c r="AL1236" s="109"/>
      <c r="AM1236" s="109"/>
      <c r="AN1236" s="109"/>
      <c r="AO1236" s="109"/>
      <c r="AP1236" s="109"/>
      <c r="AQ1236" s="109"/>
      <c r="AR1236" s="109"/>
      <c r="AS1236" s="109"/>
    </row>
    <row r="1237" spans="1:45" ht="12.6" customHeight="1" x14ac:dyDescent="0.3">
      <c r="A1237" s="68"/>
      <c r="B1237" s="77" t="s">
        <v>1331</v>
      </c>
      <c r="C1237" s="100">
        <f>E1237+D1237+F1237</f>
        <v>535091.5</v>
      </c>
      <c r="D1237" s="100">
        <f>SUMIF(N1197:N1236,M1237,D1197:D1236)</f>
        <v>318285.7</v>
      </c>
      <c r="E1237" s="100">
        <f>SUMIF(N1197:N1236,M1237,E1197:E1236)</f>
        <v>123360.1</v>
      </c>
      <c r="F1237" s="100">
        <f>SUMIF(N1197:N1236,M1237,F1197:F1236)</f>
        <v>93445.7</v>
      </c>
      <c r="G1237" s="16" t="s">
        <v>1415</v>
      </c>
      <c r="M1237" s="20" t="s">
        <v>1332</v>
      </c>
      <c r="N1237" s="20" t="s">
        <v>1128</v>
      </c>
      <c r="Z1237" s="109"/>
      <c r="AA1237" s="109"/>
      <c r="AB1237" s="109"/>
      <c r="AC1237" s="109"/>
      <c r="AD1237" s="109"/>
      <c r="AE1237" s="109"/>
      <c r="AF1237" s="109"/>
      <c r="AG1237" s="109"/>
      <c r="AH1237" s="109"/>
      <c r="AI1237" s="109"/>
      <c r="AJ1237" s="109"/>
      <c r="AK1237" s="109"/>
      <c r="AL1237" s="109"/>
      <c r="AM1237" s="109"/>
      <c r="AN1237" s="109"/>
      <c r="AO1237" s="109"/>
      <c r="AP1237" s="109"/>
      <c r="AQ1237" s="109"/>
      <c r="AR1237" s="109"/>
      <c r="AS1237" s="109"/>
    </row>
    <row r="1238" spans="1:45" ht="12.6" customHeight="1" x14ac:dyDescent="0.3">
      <c r="A1238" s="78"/>
      <c r="B1238" s="78"/>
      <c r="C1238" s="98"/>
      <c r="D1238" s="98"/>
      <c r="E1238" s="98"/>
      <c r="F1238" s="98"/>
      <c r="Z1238" s="109"/>
      <c r="AA1238" s="109"/>
      <c r="AB1238" s="109"/>
      <c r="AC1238" s="109"/>
      <c r="AD1238" s="109"/>
      <c r="AE1238" s="109"/>
      <c r="AF1238" s="109"/>
      <c r="AG1238" s="109"/>
      <c r="AH1238" s="109"/>
      <c r="AI1238" s="109"/>
      <c r="AJ1238" s="109"/>
      <c r="AK1238" s="109"/>
      <c r="AL1238" s="109"/>
      <c r="AM1238" s="109"/>
      <c r="AN1238" s="109"/>
      <c r="AO1238" s="109"/>
      <c r="AP1238" s="109"/>
      <c r="AQ1238" s="109"/>
      <c r="AR1238" s="109"/>
      <c r="AS1238" s="109"/>
    </row>
    <row r="1239" spans="1:45" ht="12.6" customHeight="1" x14ac:dyDescent="0.3">
      <c r="A1239" s="78"/>
      <c r="B1239" s="78"/>
      <c r="C1239" s="78"/>
      <c r="D1239" s="78"/>
      <c r="E1239" s="78"/>
      <c r="F1239" s="78"/>
      <c r="Z1239" s="109"/>
      <c r="AA1239" s="109"/>
      <c r="AB1239" s="109"/>
      <c r="AC1239" s="109"/>
      <c r="AD1239" s="109"/>
      <c r="AE1239" s="109"/>
      <c r="AF1239" s="109"/>
      <c r="AG1239" s="109"/>
      <c r="AH1239" s="109"/>
      <c r="AI1239" s="109"/>
      <c r="AJ1239" s="109"/>
      <c r="AK1239" s="109"/>
      <c r="AL1239" s="109"/>
      <c r="AM1239" s="109"/>
      <c r="AN1239" s="109"/>
      <c r="AO1239" s="109"/>
      <c r="AP1239" s="109"/>
      <c r="AQ1239" s="109"/>
      <c r="AR1239" s="109"/>
      <c r="AS1239" s="109"/>
    </row>
    <row r="1240" spans="1:45" ht="12.6" customHeight="1" x14ac:dyDescent="0.3">
      <c r="A1240" s="78"/>
      <c r="B1240" s="78"/>
      <c r="C1240" s="78"/>
      <c r="D1240" s="78"/>
      <c r="E1240" s="78"/>
      <c r="F1240" s="78"/>
      <c r="Z1240" s="109"/>
      <c r="AA1240" s="109"/>
      <c r="AB1240" s="109"/>
      <c r="AC1240" s="109"/>
      <c r="AD1240" s="109"/>
      <c r="AE1240" s="109"/>
      <c r="AF1240" s="109"/>
      <c r="AG1240" s="109"/>
      <c r="AH1240" s="109"/>
      <c r="AI1240" s="109"/>
      <c r="AJ1240" s="109"/>
      <c r="AK1240" s="109"/>
      <c r="AL1240" s="109"/>
      <c r="AM1240" s="109"/>
      <c r="AN1240" s="109"/>
      <c r="AO1240" s="109"/>
      <c r="AP1240" s="109"/>
      <c r="AQ1240" s="109"/>
      <c r="AR1240" s="109"/>
      <c r="AS1240" s="109"/>
    </row>
    <row r="1241" spans="1:45" ht="12.6" customHeight="1" x14ac:dyDescent="0.3">
      <c r="A1241" s="78"/>
      <c r="B1241" s="78"/>
      <c r="C1241" s="78"/>
      <c r="D1241" s="78"/>
      <c r="E1241" s="78"/>
      <c r="F1241" s="78"/>
      <c r="Z1241" s="109"/>
      <c r="AA1241" s="109"/>
      <c r="AB1241" s="109"/>
      <c r="AC1241" s="109"/>
      <c r="AD1241" s="109"/>
      <c r="AE1241" s="109"/>
      <c r="AF1241" s="109"/>
      <c r="AG1241" s="109"/>
      <c r="AH1241" s="109"/>
      <c r="AI1241" s="109"/>
      <c r="AJ1241" s="109"/>
      <c r="AK1241" s="109"/>
      <c r="AL1241" s="109"/>
      <c r="AM1241" s="109"/>
      <c r="AN1241" s="109"/>
      <c r="AO1241" s="109"/>
      <c r="AP1241" s="109"/>
      <c r="AQ1241" s="109"/>
      <c r="AR1241" s="109"/>
      <c r="AS1241" s="109"/>
    </row>
    <row r="1242" spans="1:45" ht="12.6" customHeight="1" x14ac:dyDescent="0.3">
      <c r="A1242" s="78"/>
      <c r="B1242" s="78"/>
      <c r="C1242" s="78"/>
      <c r="D1242" s="78"/>
      <c r="E1242" s="78"/>
      <c r="F1242" s="78"/>
      <c r="Z1242" s="109"/>
      <c r="AA1242" s="109"/>
      <c r="AB1242" s="109"/>
      <c r="AC1242" s="109"/>
      <c r="AD1242" s="109"/>
      <c r="AE1242" s="109"/>
      <c r="AF1242" s="109"/>
      <c r="AG1242" s="109"/>
      <c r="AH1242" s="109"/>
      <c r="AI1242" s="109"/>
      <c r="AJ1242" s="109"/>
      <c r="AK1242" s="109"/>
      <c r="AL1242" s="109"/>
      <c r="AM1242" s="109"/>
      <c r="AN1242" s="109"/>
      <c r="AO1242" s="109"/>
      <c r="AP1242" s="109"/>
      <c r="AQ1242" s="109"/>
      <c r="AR1242" s="109"/>
      <c r="AS1242" s="109"/>
    </row>
    <row r="1243" spans="1:45" ht="12.6" customHeight="1" x14ac:dyDescent="0.3">
      <c r="A1243" s="78"/>
      <c r="B1243" s="78"/>
      <c r="C1243" s="78"/>
      <c r="D1243" s="78"/>
      <c r="E1243" s="78"/>
      <c r="F1243" s="78"/>
      <c r="Z1243" s="109"/>
      <c r="AA1243" s="109"/>
      <c r="AB1243" s="109"/>
      <c r="AC1243" s="109"/>
      <c r="AD1243" s="109"/>
      <c r="AE1243" s="109"/>
      <c r="AF1243" s="109"/>
      <c r="AG1243" s="109"/>
      <c r="AH1243" s="109"/>
      <c r="AI1243" s="109"/>
      <c r="AJ1243" s="109"/>
      <c r="AK1243" s="109"/>
      <c r="AL1243" s="109"/>
      <c r="AM1243" s="109"/>
      <c r="AN1243" s="109"/>
      <c r="AO1243" s="109"/>
      <c r="AP1243" s="109"/>
      <c r="AQ1243" s="109"/>
      <c r="AR1243" s="109"/>
      <c r="AS1243" s="109"/>
    </row>
    <row r="1244" spans="1:45" ht="12.6" customHeight="1" x14ac:dyDescent="0.3">
      <c r="A1244" s="78"/>
      <c r="B1244" s="78"/>
      <c r="C1244" s="78"/>
      <c r="D1244" s="78"/>
      <c r="E1244" s="78"/>
      <c r="F1244" s="78"/>
      <c r="Z1244" s="109"/>
      <c r="AA1244" s="109"/>
      <c r="AB1244" s="109"/>
      <c r="AC1244" s="109"/>
      <c r="AD1244" s="109"/>
      <c r="AE1244" s="109"/>
      <c r="AF1244" s="109"/>
      <c r="AG1244" s="109"/>
      <c r="AH1244" s="109"/>
      <c r="AI1244" s="109"/>
      <c r="AJ1244" s="109"/>
      <c r="AK1244" s="109"/>
      <c r="AL1244" s="109"/>
      <c r="AM1244" s="109"/>
      <c r="AN1244" s="109"/>
      <c r="AO1244" s="109"/>
      <c r="AP1244" s="109"/>
      <c r="AQ1244" s="109"/>
      <c r="AR1244" s="109"/>
      <c r="AS1244" s="109"/>
    </row>
    <row r="1245" spans="1:45" ht="12.6" customHeight="1" x14ac:dyDescent="0.3">
      <c r="A1245" s="78"/>
      <c r="B1245" s="78"/>
      <c r="C1245" s="78"/>
      <c r="D1245" s="78"/>
      <c r="E1245" s="78"/>
      <c r="F1245" s="78"/>
      <c r="Z1245" s="109"/>
      <c r="AA1245" s="109"/>
      <c r="AB1245" s="109"/>
      <c r="AC1245" s="109"/>
      <c r="AD1245" s="109"/>
      <c r="AE1245" s="109"/>
      <c r="AF1245" s="109"/>
      <c r="AG1245" s="109"/>
      <c r="AH1245" s="109"/>
      <c r="AI1245" s="109"/>
      <c r="AJ1245" s="109"/>
      <c r="AK1245" s="109"/>
      <c r="AL1245" s="109"/>
      <c r="AM1245" s="109"/>
      <c r="AN1245" s="109"/>
      <c r="AO1245" s="109"/>
      <c r="AP1245" s="109"/>
      <c r="AQ1245" s="109"/>
      <c r="AR1245" s="109"/>
      <c r="AS1245" s="109"/>
    </row>
    <row r="1246" spans="1:45" ht="12.6" customHeight="1" x14ac:dyDescent="0.3">
      <c r="A1246" s="78"/>
      <c r="B1246" s="78"/>
      <c r="C1246" s="78"/>
      <c r="D1246" s="78"/>
      <c r="E1246" s="78"/>
      <c r="F1246" s="78"/>
      <c r="Z1246" s="109"/>
      <c r="AA1246" s="109"/>
      <c r="AB1246" s="109"/>
      <c r="AC1246" s="109"/>
      <c r="AD1246" s="109"/>
      <c r="AE1246" s="109"/>
      <c r="AF1246" s="109"/>
      <c r="AG1246" s="109"/>
      <c r="AH1246" s="109"/>
      <c r="AI1246" s="109"/>
      <c r="AJ1246" s="109"/>
      <c r="AK1246" s="109"/>
      <c r="AL1246" s="109"/>
      <c r="AM1246" s="109"/>
      <c r="AN1246" s="109"/>
      <c r="AO1246" s="109"/>
      <c r="AP1246" s="109"/>
      <c r="AQ1246" s="109"/>
      <c r="AR1246" s="109"/>
      <c r="AS1246" s="109"/>
    </row>
    <row r="1247" spans="1:45" ht="12.6" customHeight="1" x14ac:dyDescent="0.3">
      <c r="A1247" s="78"/>
      <c r="B1247" s="78"/>
      <c r="C1247" s="78"/>
      <c r="D1247" s="78"/>
      <c r="E1247" s="78"/>
      <c r="F1247" s="78"/>
      <c r="Z1247" s="109"/>
      <c r="AA1247" s="109"/>
      <c r="AB1247" s="109"/>
      <c r="AC1247" s="109"/>
      <c r="AD1247" s="109"/>
      <c r="AE1247" s="109"/>
      <c r="AF1247" s="109"/>
      <c r="AG1247" s="109"/>
      <c r="AH1247" s="109"/>
      <c r="AI1247" s="109"/>
      <c r="AJ1247" s="109"/>
      <c r="AK1247" s="109"/>
      <c r="AL1247" s="109"/>
      <c r="AM1247" s="109"/>
      <c r="AN1247" s="109"/>
      <c r="AO1247" s="109"/>
      <c r="AP1247" s="109"/>
      <c r="AQ1247" s="109"/>
      <c r="AR1247" s="109"/>
      <c r="AS1247" s="109"/>
    </row>
    <row r="1248" spans="1:45" ht="12.6" customHeight="1" x14ac:dyDescent="0.3">
      <c r="A1248" s="78"/>
      <c r="B1248" s="78"/>
      <c r="C1248" s="78"/>
      <c r="D1248" s="78"/>
      <c r="E1248" s="78"/>
      <c r="F1248" s="78"/>
      <c r="Z1248" s="109"/>
      <c r="AA1248" s="109"/>
      <c r="AB1248" s="109"/>
      <c r="AC1248" s="109"/>
      <c r="AD1248" s="109"/>
      <c r="AE1248" s="109"/>
      <c r="AF1248" s="109"/>
      <c r="AG1248" s="109"/>
      <c r="AH1248" s="109"/>
      <c r="AI1248" s="109"/>
      <c r="AJ1248" s="109"/>
      <c r="AK1248" s="109"/>
      <c r="AL1248" s="109"/>
      <c r="AM1248" s="109"/>
      <c r="AN1248" s="109"/>
      <c r="AO1248" s="109"/>
      <c r="AP1248" s="109"/>
      <c r="AQ1248" s="109"/>
      <c r="AR1248" s="109"/>
      <c r="AS1248" s="109"/>
    </row>
    <row r="1249" spans="1:45" ht="12.6" customHeight="1" x14ac:dyDescent="0.3">
      <c r="A1249" s="78"/>
      <c r="B1249" s="78"/>
      <c r="C1249" s="78"/>
      <c r="D1249" s="78"/>
      <c r="E1249" s="78"/>
      <c r="F1249" s="78"/>
      <c r="Z1249" s="109"/>
      <c r="AA1249" s="109"/>
      <c r="AB1249" s="109"/>
      <c r="AC1249" s="109"/>
      <c r="AD1249" s="109"/>
      <c r="AE1249" s="109"/>
      <c r="AF1249" s="109"/>
      <c r="AG1249" s="109"/>
      <c r="AH1249" s="109"/>
      <c r="AI1249" s="109"/>
      <c r="AJ1249" s="109"/>
      <c r="AK1249" s="109"/>
      <c r="AL1249" s="109"/>
      <c r="AM1249" s="109"/>
      <c r="AN1249" s="109"/>
      <c r="AO1249" s="109"/>
      <c r="AP1249" s="109"/>
      <c r="AQ1249" s="109"/>
      <c r="AR1249" s="109"/>
      <c r="AS1249" s="109"/>
    </row>
    <row r="1250" spans="1:45" ht="12.6" customHeight="1" x14ac:dyDescent="0.3">
      <c r="A1250" s="78"/>
      <c r="B1250" s="78"/>
      <c r="C1250" s="78"/>
      <c r="D1250" s="78"/>
      <c r="E1250" s="78"/>
      <c r="F1250" s="78"/>
      <c r="Z1250" s="109"/>
      <c r="AA1250" s="109"/>
      <c r="AB1250" s="109"/>
      <c r="AC1250" s="109"/>
      <c r="AD1250" s="109"/>
      <c r="AE1250" s="109"/>
      <c r="AF1250" s="109"/>
      <c r="AG1250" s="109"/>
      <c r="AH1250" s="109"/>
      <c r="AI1250" s="109"/>
      <c r="AJ1250" s="109"/>
      <c r="AK1250" s="109"/>
      <c r="AL1250" s="109"/>
      <c r="AM1250" s="109"/>
      <c r="AN1250" s="109"/>
      <c r="AO1250" s="109"/>
      <c r="AP1250" s="109"/>
      <c r="AQ1250" s="109"/>
      <c r="AR1250" s="109"/>
      <c r="AS1250" s="109"/>
    </row>
    <row r="1251" spans="1:45" ht="12.6" customHeight="1" x14ac:dyDescent="0.3">
      <c r="A1251" s="78"/>
      <c r="B1251" s="78"/>
      <c r="C1251" s="78"/>
      <c r="D1251" s="78"/>
      <c r="E1251" s="78"/>
      <c r="F1251" s="78"/>
      <c r="Z1251" s="109"/>
      <c r="AA1251" s="109"/>
      <c r="AB1251" s="109"/>
      <c r="AC1251" s="109"/>
      <c r="AD1251" s="109"/>
      <c r="AE1251" s="109"/>
      <c r="AF1251" s="109"/>
      <c r="AG1251" s="109"/>
      <c r="AH1251" s="109"/>
      <c r="AI1251" s="109"/>
      <c r="AJ1251" s="109"/>
      <c r="AK1251" s="109"/>
      <c r="AL1251" s="109"/>
      <c r="AM1251" s="109"/>
      <c r="AN1251" s="109"/>
      <c r="AO1251" s="109"/>
      <c r="AP1251" s="109"/>
      <c r="AQ1251" s="109"/>
      <c r="AR1251" s="109"/>
      <c r="AS1251" s="109"/>
    </row>
    <row r="1252" spans="1:45" ht="12.6" customHeight="1" x14ac:dyDescent="0.3">
      <c r="A1252" s="78"/>
      <c r="B1252" s="78"/>
      <c r="C1252" s="78"/>
      <c r="D1252" s="78"/>
      <c r="E1252" s="78"/>
      <c r="F1252" s="78"/>
      <c r="Z1252" s="109"/>
      <c r="AA1252" s="109"/>
      <c r="AB1252" s="109"/>
      <c r="AC1252" s="109"/>
      <c r="AD1252" s="109"/>
      <c r="AE1252" s="109"/>
      <c r="AF1252" s="109"/>
      <c r="AG1252" s="109"/>
      <c r="AH1252" s="109"/>
      <c r="AI1252" s="109"/>
      <c r="AJ1252" s="109"/>
      <c r="AK1252" s="109"/>
      <c r="AL1252" s="109"/>
      <c r="AM1252" s="109"/>
      <c r="AN1252" s="109"/>
      <c r="AO1252" s="109"/>
      <c r="AP1252" s="109"/>
      <c r="AQ1252" s="109"/>
      <c r="AR1252" s="109"/>
      <c r="AS1252" s="109"/>
    </row>
    <row r="1253" spans="1:45" ht="12.6" customHeight="1" x14ac:dyDescent="0.3">
      <c r="A1253" s="78"/>
      <c r="B1253" s="78"/>
      <c r="C1253" s="78"/>
      <c r="D1253" s="78"/>
      <c r="E1253" s="78"/>
      <c r="F1253" s="78"/>
      <c r="Z1253" s="109"/>
      <c r="AA1253" s="109"/>
      <c r="AB1253" s="109"/>
      <c r="AC1253" s="109"/>
      <c r="AD1253" s="109"/>
      <c r="AE1253" s="109"/>
      <c r="AF1253" s="109"/>
      <c r="AG1253" s="109"/>
      <c r="AH1253" s="109"/>
      <c r="AI1253" s="109"/>
      <c r="AJ1253" s="109"/>
      <c r="AK1253" s="109"/>
      <c r="AL1253" s="109"/>
      <c r="AM1253" s="109"/>
      <c r="AN1253" s="109"/>
      <c r="AO1253" s="109"/>
      <c r="AP1253" s="109"/>
      <c r="AQ1253" s="109"/>
      <c r="AR1253" s="109"/>
      <c r="AS1253" s="109"/>
    </row>
    <row r="1254" spans="1:45" ht="12.6" customHeight="1" x14ac:dyDescent="0.3">
      <c r="A1254" s="78"/>
      <c r="B1254" s="78"/>
      <c r="C1254" s="78"/>
      <c r="D1254" s="78"/>
      <c r="E1254" s="78"/>
      <c r="F1254" s="78"/>
      <c r="Z1254" s="109"/>
      <c r="AA1254" s="109"/>
      <c r="AB1254" s="109"/>
      <c r="AC1254" s="109"/>
      <c r="AD1254" s="109"/>
      <c r="AE1254" s="109"/>
      <c r="AF1254" s="109"/>
      <c r="AG1254" s="109"/>
      <c r="AH1254" s="109"/>
      <c r="AI1254" s="109"/>
      <c r="AJ1254" s="109"/>
      <c r="AK1254" s="109"/>
      <c r="AL1254" s="109"/>
      <c r="AM1254" s="109"/>
      <c r="AN1254" s="109"/>
      <c r="AO1254" s="109"/>
      <c r="AP1254" s="109"/>
      <c r="AQ1254" s="109"/>
      <c r="AR1254" s="109"/>
      <c r="AS1254" s="109"/>
    </row>
    <row r="1255" spans="1:45" ht="12.6" customHeight="1" x14ac:dyDescent="0.3">
      <c r="A1255" s="78"/>
      <c r="B1255" s="78"/>
      <c r="C1255" s="78"/>
      <c r="D1255" s="78"/>
      <c r="E1255" s="78"/>
      <c r="F1255" s="78"/>
      <c r="Z1255" s="109"/>
      <c r="AA1255" s="109"/>
      <c r="AB1255" s="109"/>
      <c r="AC1255" s="109"/>
      <c r="AD1255" s="109"/>
      <c r="AE1255" s="109"/>
      <c r="AF1255" s="109"/>
      <c r="AG1255" s="109"/>
      <c r="AH1255" s="109"/>
      <c r="AI1255" s="109"/>
      <c r="AJ1255" s="109"/>
      <c r="AK1255" s="109"/>
      <c r="AL1255" s="109"/>
      <c r="AM1255" s="109"/>
      <c r="AN1255" s="109"/>
      <c r="AO1255" s="109"/>
      <c r="AP1255" s="109"/>
      <c r="AQ1255" s="109"/>
      <c r="AR1255" s="109"/>
      <c r="AS1255" s="109"/>
    </row>
    <row r="1256" spans="1:45" ht="12.6" customHeight="1" x14ac:dyDescent="0.3">
      <c r="A1256" s="78"/>
      <c r="B1256" s="78"/>
      <c r="C1256" s="78"/>
      <c r="D1256" s="78"/>
      <c r="E1256" s="78"/>
      <c r="F1256" s="78"/>
      <c r="Z1256" s="109"/>
      <c r="AA1256" s="109"/>
      <c r="AB1256" s="109"/>
      <c r="AC1256" s="109"/>
      <c r="AD1256" s="109"/>
      <c r="AE1256" s="109"/>
      <c r="AF1256" s="109"/>
      <c r="AG1256" s="109"/>
      <c r="AH1256" s="109"/>
      <c r="AI1256" s="109"/>
      <c r="AJ1256" s="109"/>
      <c r="AK1256" s="109"/>
      <c r="AL1256" s="109"/>
      <c r="AM1256" s="109"/>
      <c r="AN1256" s="109"/>
      <c r="AO1256" s="109"/>
      <c r="AP1256" s="109"/>
      <c r="AQ1256" s="109"/>
      <c r="AR1256" s="109"/>
      <c r="AS1256" s="109"/>
    </row>
    <row r="1257" spans="1:45" ht="12.6" customHeight="1" x14ac:dyDescent="0.3">
      <c r="A1257" s="78"/>
      <c r="B1257" s="78"/>
      <c r="C1257" s="78"/>
      <c r="D1257" s="78"/>
      <c r="E1257" s="78"/>
      <c r="F1257" s="78"/>
      <c r="Z1257" s="109"/>
      <c r="AA1257" s="109"/>
      <c r="AB1257" s="109"/>
      <c r="AC1257" s="109"/>
      <c r="AD1257" s="109"/>
      <c r="AE1257" s="109"/>
      <c r="AF1257" s="109"/>
      <c r="AG1257" s="109"/>
      <c r="AH1257" s="109"/>
      <c r="AI1257" s="109"/>
      <c r="AJ1257" s="109"/>
      <c r="AK1257" s="109"/>
      <c r="AL1257" s="109"/>
      <c r="AM1257" s="109"/>
      <c r="AN1257" s="109"/>
      <c r="AO1257" s="109"/>
      <c r="AP1257" s="109"/>
      <c r="AQ1257" s="109"/>
      <c r="AR1257" s="109"/>
      <c r="AS1257" s="109"/>
    </row>
    <row r="1258" spans="1:45" ht="12.6" customHeight="1" x14ac:dyDescent="0.3">
      <c r="A1258" s="78"/>
      <c r="B1258" s="78"/>
      <c r="C1258" s="78"/>
      <c r="D1258" s="78"/>
      <c r="E1258" s="78"/>
      <c r="F1258" s="78"/>
      <c r="Z1258" s="109"/>
      <c r="AA1258" s="109"/>
      <c r="AB1258" s="109"/>
      <c r="AC1258" s="109"/>
      <c r="AD1258" s="109"/>
      <c r="AE1258" s="109"/>
      <c r="AF1258" s="109"/>
      <c r="AG1258" s="109"/>
      <c r="AH1258" s="109"/>
      <c r="AI1258" s="109"/>
      <c r="AJ1258" s="109"/>
      <c r="AK1258" s="109"/>
      <c r="AL1258" s="109"/>
      <c r="AM1258" s="109"/>
      <c r="AN1258" s="109"/>
      <c r="AO1258" s="109"/>
      <c r="AP1258" s="109"/>
      <c r="AQ1258" s="109"/>
      <c r="AR1258" s="109"/>
      <c r="AS1258" s="109"/>
    </row>
    <row r="1259" spans="1:45" ht="12.6" customHeight="1" x14ac:dyDescent="0.3">
      <c r="A1259" s="78"/>
      <c r="B1259" s="78"/>
      <c r="C1259" s="78"/>
      <c r="D1259" s="78"/>
      <c r="E1259" s="78"/>
      <c r="F1259" s="78"/>
      <c r="Z1259" s="109"/>
      <c r="AA1259" s="109"/>
      <c r="AB1259" s="109"/>
      <c r="AC1259" s="109"/>
      <c r="AD1259" s="109"/>
      <c r="AE1259" s="109"/>
      <c r="AF1259" s="109"/>
      <c r="AG1259" s="109"/>
      <c r="AH1259" s="109"/>
      <c r="AI1259" s="109"/>
      <c r="AJ1259" s="109"/>
      <c r="AK1259" s="109"/>
      <c r="AL1259" s="109"/>
      <c r="AM1259" s="109"/>
      <c r="AN1259" s="109"/>
      <c r="AO1259" s="109"/>
      <c r="AP1259" s="109"/>
      <c r="AQ1259" s="109"/>
      <c r="AR1259" s="109"/>
      <c r="AS1259" s="109"/>
    </row>
    <row r="1260" spans="1:45" ht="12.6" customHeight="1" x14ac:dyDescent="0.3">
      <c r="A1260" s="78"/>
      <c r="B1260" s="78"/>
      <c r="C1260" s="78"/>
      <c r="D1260" s="78"/>
      <c r="E1260" s="78"/>
      <c r="F1260" s="78"/>
      <c r="Z1260" s="109"/>
      <c r="AA1260" s="109"/>
      <c r="AB1260" s="109"/>
      <c r="AC1260" s="109"/>
      <c r="AD1260" s="109"/>
      <c r="AE1260" s="109"/>
      <c r="AF1260" s="109"/>
      <c r="AG1260" s="109"/>
      <c r="AH1260" s="109"/>
      <c r="AI1260" s="109"/>
      <c r="AJ1260" s="109"/>
      <c r="AK1260" s="109"/>
      <c r="AL1260" s="109"/>
      <c r="AM1260" s="109"/>
      <c r="AN1260" s="109"/>
      <c r="AO1260" s="109"/>
      <c r="AP1260" s="109"/>
      <c r="AQ1260" s="109"/>
      <c r="AR1260" s="109"/>
      <c r="AS1260" s="109"/>
    </row>
    <row r="1261" spans="1:45" ht="12.6" customHeight="1" x14ac:dyDescent="0.3">
      <c r="A1261" s="78"/>
      <c r="B1261" s="78"/>
      <c r="C1261" s="78"/>
      <c r="D1261" s="78"/>
      <c r="E1261" s="78"/>
      <c r="F1261" s="78"/>
      <c r="Z1261" s="109"/>
      <c r="AA1261" s="109"/>
      <c r="AB1261" s="109"/>
      <c r="AC1261" s="109"/>
      <c r="AD1261" s="109"/>
      <c r="AE1261" s="109"/>
      <c r="AF1261" s="109"/>
      <c r="AG1261" s="109"/>
      <c r="AH1261" s="109"/>
      <c r="AI1261" s="109"/>
      <c r="AJ1261" s="109"/>
      <c r="AK1261" s="109"/>
      <c r="AL1261" s="109"/>
      <c r="AM1261" s="109"/>
      <c r="AN1261" s="109"/>
      <c r="AO1261" s="109"/>
      <c r="AP1261" s="109"/>
      <c r="AQ1261" s="109"/>
      <c r="AR1261" s="109"/>
      <c r="AS1261" s="109"/>
    </row>
    <row r="1262" spans="1:45" ht="12.6" customHeight="1" x14ac:dyDescent="0.3">
      <c r="A1262" s="78"/>
      <c r="B1262" s="78"/>
      <c r="C1262" s="78"/>
      <c r="D1262" s="78"/>
      <c r="E1262" s="78"/>
      <c r="F1262" s="78"/>
      <c r="Z1262" s="109"/>
      <c r="AA1262" s="109"/>
      <c r="AB1262" s="109"/>
      <c r="AC1262" s="109"/>
      <c r="AD1262" s="109"/>
      <c r="AE1262" s="109"/>
      <c r="AF1262" s="109"/>
      <c r="AG1262" s="109"/>
      <c r="AH1262" s="109"/>
      <c r="AI1262" s="109"/>
      <c r="AJ1262" s="109"/>
      <c r="AK1262" s="109"/>
      <c r="AL1262" s="109"/>
      <c r="AM1262" s="109"/>
      <c r="AN1262" s="109"/>
      <c r="AO1262" s="109"/>
      <c r="AP1262" s="109"/>
      <c r="AQ1262" s="109"/>
      <c r="AR1262" s="109"/>
      <c r="AS1262" s="109"/>
    </row>
    <row r="1263" spans="1:45" ht="12.6" customHeight="1" x14ac:dyDescent="0.3">
      <c r="A1263" s="58"/>
      <c r="B1263" s="58"/>
      <c r="C1263" s="58"/>
      <c r="D1263" s="58"/>
      <c r="E1263" s="58"/>
      <c r="F1263" s="58"/>
      <c r="Z1263" s="109"/>
      <c r="AA1263" s="109"/>
      <c r="AB1263" s="109"/>
      <c r="AC1263" s="109"/>
      <c r="AD1263" s="109"/>
      <c r="AE1263" s="109"/>
      <c r="AF1263" s="109"/>
      <c r="AG1263" s="109"/>
      <c r="AH1263" s="109"/>
      <c r="AI1263" s="109"/>
      <c r="AJ1263" s="109"/>
      <c r="AK1263" s="109"/>
      <c r="AL1263" s="109"/>
      <c r="AM1263" s="109"/>
      <c r="AN1263" s="109"/>
      <c r="AO1263" s="109"/>
      <c r="AP1263" s="109"/>
      <c r="AQ1263" s="109"/>
      <c r="AR1263" s="109"/>
      <c r="AS1263" s="109"/>
    </row>
    <row r="1264" spans="1:45" ht="12.6" customHeight="1" x14ac:dyDescent="0.3">
      <c r="A1264" s="159" t="s">
        <v>1737</v>
      </c>
      <c r="B1264" s="152"/>
      <c r="C1264" s="55">
        <f>E1264+D1264+F1264</f>
        <v>535090</v>
      </c>
      <c r="D1264" s="11">
        <v>0</v>
      </c>
      <c r="E1264" s="12">
        <v>0</v>
      </c>
      <c r="F1264" s="55">
        <f>ROUNDDOWN(SUMIF(N1197:N1237,M1264,E1197:E1237),0)+ROUNDDOWN(SUMIF(N1197:N1237,M1264,D1197:D1237),0)+ROUNDDOWN(SUMIF(N1197:N1237,M1264,F1197:F1237),0)</f>
        <v>535090</v>
      </c>
      <c r="M1264" s="20" t="s">
        <v>1128</v>
      </c>
      <c r="Z1264" s="109"/>
      <c r="AA1264" s="109"/>
      <c r="AB1264" s="109"/>
      <c r="AC1264" s="109"/>
      <c r="AD1264" s="109"/>
      <c r="AE1264" s="109"/>
      <c r="AF1264" s="109"/>
      <c r="AG1264" s="109"/>
      <c r="AH1264" s="109"/>
      <c r="AI1264" s="109"/>
      <c r="AJ1264" s="109"/>
      <c r="AK1264" s="109"/>
      <c r="AL1264" s="109"/>
      <c r="AM1264" s="109"/>
      <c r="AN1264" s="109"/>
      <c r="AO1264" s="109"/>
      <c r="AP1264" s="109"/>
      <c r="AQ1264" s="109"/>
      <c r="AR1264" s="109"/>
      <c r="AS1264" s="109"/>
    </row>
    <row r="1265" spans="1:45" ht="12.6" customHeight="1" x14ac:dyDescent="0.3">
      <c r="A1265" s="95" t="s">
        <v>112</v>
      </c>
      <c r="B1265" s="96" t="s">
        <v>112</v>
      </c>
      <c r="C1265" s="158">
        <f>C1369</f>
        <v>18383</v>
      </c>
      <c r="D1265" s="158">
        <f>D1369</f>
        <v>0</v>
      </c>
      <c r="E1265" s="158">
        <f>E1369</f>
        <v>0</v>
      </c>
      <c r="F1265" s="158">
        <f>F1369</f>
        <v>18383</v>
      </c>
      <c r="G1265" s="36" t="str">
        <f>HYPERLINK("#G"&amp;ROW(G1360),"_x0005_`BDCOD|D02154_x0007_`POSS|"&amp;ROW(G1267)&amp;"_x0007_`POSE|"&amp;ROW(G1360)&amp;"_x0007_`")</f>
        <v>_x0005_`BDCOD|D02154_x0007_`POSS|1267_x0007_`POSE|1360_x0007_`</v>
      </c>
      <c r="Z1265" s="109"/>
      <c r="AA1265" s="109"/>
      <c r="AB1265" s="109"/>
      <c r="AC1265" s="109"/>
      <c r="AD1265" s="109"/>
      <c r="AE1265" s="109"/>
      <c r="AF1265" s="109"/>
      <c r="AG1265" s="109"/>
      <c r="AH1265" s="109"/>
      <c r="AI1265" s="109"/>
      <c r="AJ1265" s="109"/>
      <c r="AK1265" s="109"/>
      <c r="AL1265" s="109"/>
      <c r="AM1265" s="109"/>
      <c r="AN1265" s="109"/>
      <c r="AO1265" s="109"/>
      <c r="AP1265" s="109"/>
      <c r="AQ1265" s="109"/>
      <c r="AR1265" s="109"/>
      <c r="AS1265" s="109"/>
    </row>
    <row r="1266" spans="1:45" ht="12.6" customHeight="1" x14ac:dyDescent="0.3">
      <c r="A1266" s="84"/>
      <c r="B1266" s="96" t="s">
        <v>245</v>
      </c>
      <c r="C1266" s="141"/>
      <c r="D1266" s="141"/>
      <c r="E1266" s="141"/>
      <c r="F1266" s="141"/>
      <c r="M1266" s="20" t="s">
        <v>244</v>
      </c>
      <c r="Z1266" s="109"/>
      <c r="AA1266" s="109"/>
      <c r="AB1266" s="109"/>
      <c r="AC1266" s="109"/>
      <c r="AD1266" s="109"/>
      <c r="AE1266" s="109"/>
      <c r="AF1266" s="109"/>
      <c r="AG1266" s="109"/>
      <c r="AH1266" s="109"/>
      <c r="AI1266" s="109"/>
      <c r="AJ1266" s="109"/>
      <c r="AK1266" s="109"/>
      <c r="AL1266" s="109"/>
      <c r="AM1266" s="109"/>
      <c r="AN1266" s="109"/>
      <c r="AO1266" s="109"/>
      <c r="AP1266" s="109"/>
      <c r="AQ1266" s="109"/>
      <c r="AR1266" s="109"/>
      <c r="AS1266" s="109"/>
    </row>
    <row r="1267" spans="1:45" ht="12.6" customHeight="1" x14ac:dyDescent="0.3">
      <c r="A1267" s="68"/>
      <c r="B1267" s="77" t="s">
        <v>1790</v>
      </c>
      <c r="C1267" s="98"/>
      <c r="D1267" s="98"/>
      <c r="E1267" s="98"/>
      <c r="F1267" s="98"/>
      <c r="G1267" s="16" t="s">
        <v>1789</v>
      </c>
      <c r="Z1267" s="109"/>
      <c r="AA1267" s="109"/>
      <c r="AB1267" s="109"/>
      <c r="AC1267" s="109"/>
      <c r="AD1267" s="109"/>
      <c r="AE1267" s="109"/>
      <c r="AF1267" s="109"/>
      <c r="AG1267" s="109"/>
      <c r="AH1267" s="109"/>
      <c r="AI1267" s="109"/>
      <c r="AJ1267" s="109"/>
      <c r="AK1267" s="109"/>
      <c r="AL1267" s="109"/>
      <c r="AM1267" s="109"/>
      <c r="AN1267" s="109"/>
      <c r="AO1267" s="109"/>
      <c r="AP1267" s="109"/>
      <c r="AQ1267" s="109"/>
      <c r="AR1267" s="109"/>
      <c r="AS1267" s="109"/>
    </row>
    <row r="1268" spans="1:45" ht="12.6" customHeight="1" x14ac:dyDescent="0.3">
      <c r="A1268" s="78"/>
      <c r="B1268" s="78"/>
      <c r="C1268" s="78"/>
      <c r="D1268" s="78"/>
      <c r="E1268" s="78"/>
      <c r="F1268" s="78"/>
      <c r="G1268" s="16" t="s">
        <v>1317</v>
      </c>
      <c r="Z1268" s="109"/>
      <c r="AA1268" s="109"/>
      <c r="AB1268" s="109"/>
      <c r="AC1268" s="109"/>
      <c r="AD1268" s="109"/>
      <c r="AE1268" s="109"/>
      <c r="AF1268" s="109"/>
      <c r="AG1268" s="109"/>
      <c r="AH1268" s="109"/>
      <c r="AI1268" s="109"/>
      <c r="AJ1268" s="109"/>
      <c r="AK1268" s="109"/>
      <c r="AL1268" s="109"/>
      <c r="AM1268" s="109"/>
      <c r="AN1268" s="109"/>
      <c r="AO1268" s="109"/>
      <c r="AP1268" s="109"/>
      <c r="AQ1268" s="109"/>
      <c r="AR1268" s="109"/>
      <c r="AS1268" s="109"/>
    </row>
    <row r="1269" spans="1:45" ht="12.6" customHeight="1" x14ac:dyDescent="0.3">
      <c r="A1269" s="68"/>
      <c r="B1269" s="97" t="str">
        <f>"          포  장 :  L1 =  "&amp;Z1269&amp;" km "</f>
        <v xml:space="preserve">          포  장 :  L1 =  9.4 km </v>
      </c>
      <c r="C1269" s="78"/>
      <c r="D1269" s="78"/>
      <c r="E1269" s="78"/>
      <c r="F1269" s="78"/>
      <c r="G1269" s="16" t="s">
        <v>1791</v>
      </c>
      <c r="Z1269" s="110">
        <v>9.4</v>
      </c>
      <c r="AA1269" s="20" t="s">
        <v>1326</v>
      </c>
      <c r="AB1269" s="112">
        <f>Z1269</f>
        <v>9.4</v>
      </c>
      <c r="AC1269" s="109"/>
      <c r="AD1269" s="109"/>
      <c r="AE1269" s="109"/>
      <c r="AF1269" s="109"/>
      <c r="AG1269" s="109"/>
      <c r="AH1269" s="109"/>
      <c r="AI1269" s="109"/>
      <c r="AJ1269" s="109"/>
      <c r="AK1269" s="109"/>
      <c r="AL1269" s="109"/>
      <c r="AM1269" s="109"/>
      <c r="AN1269" s="109"/>
      <c r="AO1269" s="109"/>
      <c r="AP1269" s="109"/>
      <c r="AQ1269" s="109"/>
      <c r="AR1269" s="109"/>
      <c r="AS1269" s="109"/>
    </row>
    <row r="1270" spans="1:45" ht="12.6" customHeight="1" x14ac:dyDescent="0.3">
      <c r="A1270" s="68"/>
      <c r="B1270" s="77" t="s">
        <v>1793</v>
      </c>
      <c r="C1270" s="78"/>
      <c r="D1270" s="78"/>
      <c r="E1270" s="78"/>
      <c r="F1270" s="78"/>
      <c r="G1270" s="16" t="s">
        <v>1792</v>
      </c>
      <c r="Z1270" s="109"/>
      <c r="AA1270" s="109"/>
      <c r="AB1270" s="109"/>
      <c r="AC1270" s="109"/>
      <c r="AD1270" s="109"/>
      <c r="AE1270" s="109"/>
      <c r="AF1270" s="109"/>
      <c r="AG1270" s="109"/>
      <c r="AH1270" s="109"/>
      <c r="AI1270" s="109"/>
      <c r="AJ1270" s="109"/>
      <c r="AK1270" s="109"/>
      <c r="AL1270" s="109"/>
      <c r="AM1270" s="109"/>
      <c r="AN1270" s="109"/>
      <c r="AO1270" s="109"/>
      <c r="AP1270" s="109"/>
      <c r="AQ1270" s="109"/>
      <c r="AR1270" s="109"/>
      <c r="AS1270" s="109"/>
    </row>
    <row r="1271" spans="1:45" ht="12.6" customHeight="1" x14ac:dyDescent="0.3">
      <c r="A1271" s="68"/>
      <c r="B1271" s="97" t="str">
        <f>"          비포장 :  L2 =  "&amp;Z1271&amp;" km "</f>
        <v xml:space="preserve">          비포장 :  L2 =  7 km </v>
      </c>
      <c r="C1271" s="78"/>
      <c r="D1271" s="78"/>
      <c r="E1271" s="78"/>
      <c r="F1271" s="78"/>
      <c r="G1271" s="16" t="s">
        <v>1794</v>
      </c>
      <c r="Z1271" s="111">
        <v>7</v>
      </c>
      <c r="AA1271" s="20" t="s">
        <v>1326</v>
      </c>
      <c r="AB1271" s="112">
        <f>Z1271</f>
        <v>7</v>
      </c>
      <c r="AC1271" s="109"/>
      <c r="AD1271" s="109"/>
      <c r="AE1271" s="109"/>
      <c r="AF1271" s="109"/>
      <c r="AG1271" s="109"/>
      <c r="AH1271" s="109"/>
      <c r="AI1271" s="109"/>
      <c r="AJ1271" s="109"/>
      <c r="AK1271" s="109"/>
      <c r="AL1271" s="109"/>
      <c r="AM1271" s="109"/>
      <c r="AN1271" s="109"/>
      <c r="AO1271" s="109"/>
      <c r="AP1271" s="109"/>
      <c r="AQ1271" s="109"/>
      <c r="AR1271" s="109"/>
      <c r="AS1271" s="109"/>
    </row>
    <row r="1272" spans="1:45" ht="12.6" customHeight="1" x14ac:dyDescent="0.3">
      <c r="A1272" s="78"/>
      <c r="B1272" s="78"/>
      <c r="C1272" s="78"/>
      <c r="D1272" s="78"/>
      <c r="E1272" s="78"/>
      <c r="F1272" s="78"/>
      <c r="G1272" s="16" t="s">
        <v>1317</v>
      </c>
      <c r="Z1272" s="109"/>
      <c r="AA1272" s="109"/>
      <c r="AB1272" s="109"/>
      <c r="AC1272" s="109"/>
      <c r="AD1272" s="109"/>
      <c r="AE1272" s="109"/>
      <c r="AF1272" s="109"/>
      <c r="AG1272" s="109"/>
      <c r="AH1272" s="109"/>
      <c r="AI1272" s="109"/>
      <c r="AJ1272" s="109"/>
      <c r="AK1272" s="109"/>
      <c r="AL1272" s="109"/>
      <c r="AM1272" s="109"/>
      <c r="AN1272" s="109"/>
      <c r="AO1272" s="109"/>
      <c r="AP1272" s="109"/>
      <c r="AQ1272" s="109"/>
      <c r="AR1272" s="109"/>
      <c r="AS1272" s="109"/>
    </row>
    <row r="1273" spans="1:45" ht="12.6" customHeight="1" x14ac:dyDescent="0.3">
      <c r="A1273" s="78"/>
      <c r="B1273" s="78"/>
      <c r="C1273" s="78"/>
      <c r="D1273" s="78"/>
      <c r="E1273" s="78"/>
      <c r="F1273" s="78"/>
      <c r="G1273" s="16" t="s">
        <v>1317</v>
      </c>
      <c r="Z1273" s="109"/>
      <c r="AA1273" s="109"/>
      <c r="AB1273" s="109"/>
      <c r="AC1273" s="109"/>
      <c r="AD1273" s="109"/>
      <c r="AE1273" s="109"/>
      <c r="AF1273" s="109"/>
      <c r="AG1273" s="109"/>
      <c r="AH1273" s="109"/>
      <c r="AI1273" s="109"/>
      <c r="AJ1273" s="109"/>
      <c r="AK1273" s="109"/>
      <c r="AL1273" s="109"/>
      <c r="AM1273" s="109"/>
      <c r="AN1273" s="109"/>
      <c r="AO1273" s="109"/>
      <c r="AP1273" s="109"/>
      <c r="AQ1273" s="109"/>
      <c r="AR1273" s="109"/>
      <c r="AS1273" s="109"/>
    </row>
    <row r="1274" spans="1:45" ht="12.6" customHeight="1" x14ac:dyDescent="0.3">
      <c r="A1274" s="68"/>
      <c r="B1274" s="77" t="s">
        <v>1796</v>
      </c>
      <c r="C1274" s="78"/>
      <c r="D1274" s="78"/>
      <c r="E1274" s="78"/>
      <c r="F1274" s="78"/>
      <c r="G1274" s="16" t="s">
        <v>1795</v>
      </c>
      <c r="Z1274" s="109"/>
      <c r="AA1274" s="109"/>
      <c r="AB1274" s="109"/>
      <c r="AC1274" s="109"/>
      <c r="AD1274" s="109"/>
      <c r="AE1274" s="109"/>
      <c r="AF1274" s="109"/>
      <c r="AG1274" s="109"/>
      <c r="AH1274" s="109"/>
      <c r="AI1274" s="109"/>
      <c r="AJ1274" s="109"/>
      <c r="AK1274" s="109"/>
      <c r="AL1274" s="109"/>
      <c r="AM1274" s="109"/>
      <c r="AN1274" s="109"/>
      <c r="AO1274" s="109"/>
      <c r="AP1274" s="109"/>
      <c r="AQ1274" s="109"/>
      <c r="AR1274" s="109"/>
      <c r="AS1274" s="109"/>
    </row>
    <row r="1275" spans="1:45" ht="12.6" customHeight="1" x14ac:dyDescent="0.3">
      <c r="A1275" s="78"/>
      <c r="B1275" s="78"/>
      <c r="C1275" s="78"/>
      <c r="D1275" s="78"/>
      <c r="E1275" s="78"/>
      <c r="F1275" s="78"/>
      <c r="G1275" s="16" t="s">
        <v>1317</v>
      </c>
      <c r="Z1275" s="109"/>
      <c r="AA1275" s="109"/>
      <c r="AB1275" s="109"/>
      <c r="AC1275" s="109"/>
      <c r="AD1275" s="109"/>
      <c r="AE1275" s="109"/>
      <c r="AF1275" s="109"/>
      <c r="AG1275" s="109"/>
      <c r="AH1275" s="109"/>
      <c r="AI1275" s="109"/>
      <c r="AJ1275" s="109"/>
      <c r="AK1275" s="109"/>
      <c r="AL1275" s="109"/>
      <c r="AM1275" s="109"/>
      <c r="AN1275" s="109"/>
      <c r="AO1275" s="109"/>
      <c r="AP1275" s="109"/>
      <c r="AQ1275" s="109"/>
      <c r="AR1275" s="109"/>
      <c r="AS1275" s="109"/>
    </row>
    <row r="1276" spans="1:45" ht="12.6" customHeight="1" x14ac:dyDescent="0.3">
      <c r="A1276" s="78"/>
      <c r="B1276" s="78"/>
      <c r="C1276" s="78"/>
      <c r="D1276" s="78"/>
      <c r="E1276" s="78"/>
      <c r="F1276" s="78"/>
      <c r="G1276" s="16" t="s">
        <v>1317</v>
      </c>
      <c r="Z1276" s="109"/>
      <c r="AA1276" s="109"/>
      <c r="AB1276" s="109"/>
      <c r="AC1276" s="109"/>
      <c r="AD1276" s="109"/>
      <c r="AE1276" s="109"/>
      <c r="AF1276" s="109"/>
      <c r="AG1276" s="109"/>
      <c r="AH1276" s="109"/>
      <c r="AI1276" s="109"/>
      <c r="AJ1276" s="109"/>
      <c r="AK1276" s="109"/>
      <c r="AL1276" s="109"/>
      <c r="AM1276" s="109"/>
      <c r="AN1276" s="109"/>
      <c r="AO1276" s="109"/>
      <c r="AP1276" s="109"/>
      <c r="AQ1276" s="109"/>
      <c r="AR1276" s="109"/>
      <c r="AS1276" s="109"/>
    </row>
    <row r="1277" spans="1:45" ht="12.6" customHeight="1" x14ac:dyDescent="0.3">
      <c r="A1277" s="68"/>
      <c r="B1277" s="77" t="s">
        <v>1798</v>
      </c>
      <c r="C1277" s="78"/>
      <c r="D1277" s="78"/>
      <c r="E1277" s="78"/>
      <c r="F1277" s="78"/>
      <c r="G1277" s="16" t="s">
        <v>1797</v>
      </c>
      <c r="Z1277" s="109"/>
      <c r="AA1277" s="109"/>
      <c r="AB1277" s="109"/>
      <c r="AC1277" s="109"/>
      <c r="AD1277" s="109"/>
      <c r="AE1277" s="109"/>
      <c r="AF1277" s="109"/>
      <c r="AG1277" s="109"/>
      <c r="AH1277" s="109"/>
      <c r="AI1277" s="109"/>
      <c r="AJ1277" s="109"/>
      <c r="AK1277" s="109"/>
      <c r="AL1277" s="109"/>
      <c r="AM1277" s="109"/>
      <c r="AN1277" s="109"/>
      <c r="AO1277" s="109"/>
      <c r="AP1277" s="109"/>
      <c r="AQ1277" s="109"/>
      <c r="AR1277" s="109"/>
      <c r="AS1277" s="109"/>
    </row>
    <row r="1278" spans="1:45" ht="12.6" customHeight="1" x14ac:dyDescent="0.3">
      <c r="A1278" s="78"/>
      <c r="B1278" s="78"/>
      <c r="C1278" s="78"/>
      <c r="D1278" s="78"/>
      <c r="E1278" s="78"/>
      <c r="F1278" s="78"/>
      <c r="G1278" s="16" t="s">
        <v>1317</v>
      </c>
      <c r="Z1278" s="109"/>
      <c r="AA1278" s="109"/>
      <c r="AB1278" s="109"/>
      <c r="AC1278" s="109"/>
      <c r="AD1278" s="109"/>
      <c r="AE1278" s="109"/>
      <c r="AF1278" s="109"/>
      <c r="AG1278" s="109"/>
      <c r="AH1278" s="109"/>
      <c r="AI1278" s="109"/>
      <c r="AJ1278" s="109"/>
      <c r="AK1278" s="109"/>
      <c r="AL1278" s="109"/>
      <c r="AM1278" s="109"/>
      <c r="AN1278" s="109"/>
      <c r="AO1278" s="109"/>
      <c r="AP1278" s="109"/>
      <c r="AQ1278" s="109"/>
      <c r="AR1278" s="109"/>
      <c r="AS1278" s="109"/>
    </row>
    <row r="1279" spans="1:45" ht="12.6" customHeight="1" x14ac:dyDescent="0.3">
      <c r="A1279" s="78"/>
      <c r="B1279" s="78"/>
      <c r="C1279" s="78"/>
      <c r="D1279" s="78"/>
      <c r="E1279" s="78"/>
      <c r="F1279" s="78"/>
      <c r="G1279" s="16" t="s">
        <v>1317</v>
      </c>
      <c r="Z1279" s="109"/>
      <c r="AA1279" s="109"/>
      <c r="AB1279" s="109"/>
      <c r="AC1279" s="109"/>
      <c r="AD1279" s="109"/>
      <c r="AE1279" s="109"/>
      <c r="AF1279" s="109"/>
      <c r="AG1279" s="109"/>
      <c r="AH1279" s="109"/>
      <c r="AI1279" s="109"/>
      <c r="AJ1279" s="109"/>
      <c r="AK1279" s="109"/>
      <c r="AL1279" s="109"/>
      <c r="AM1279" s="109"/>
      <c r="AN1279" s="109"/>
      <c r="AO1279" s="109"/>
      <c r="AP1279" s="109"/>
      <c r="AQ1279" s="109"/>
      <c r="AR1279" s="109"/>
      <c r="AS1279" s="109"/>
    </row>
    <row r="1280" spans="1:45" ht="12.6" customHeight="1" x14ac:dyDescent="0.3">
      <c r="A1280" s="68"/>
      <c r="B1280" s="77" t="s">
        <v>1800</v>
      </c>
      <c r="C1280" s="78"/>
      <c r="D1280" s="78"/>
      <c r="E1280" s="78"/>
      <c r="F1280" s="78"/>
      <c r="G1280" s="16" t="s">
        <v>1799</v>
      </c>
      <c r="Z1280" s="109"/>
      <c r="AA1280" s="109"/>
      <c r="AB1280" s="109"/>
      <c r="AC1280" s="109"/>
      <c r="AD1280" s="109"/>
      <c r="AE1280" s="109"/>
      <c r="AF1280" s="109"/>
      <c r="AG1280" s="109"/>
      <c r="AH1280" s="109"/>
      <c r="AI1280" s="109"/>
      <c r="AJ1280" s="109"/>
      <c r="AK1280" s="109"/>
      <c r="AL1280" s="109"/>
      <c r="AM1280" s="109"/>
      <c r="AN1280" s="109"/>
      <c r="AO1280" s="109"/>
      <c r="AP1280" s="109"/>
      <c r="AQ1280" s="109"/>
      <c r="AR1280" s="109"/>
      <c r="AS1280" s="109"/>
    </row>
    <row r="1281" spans="1:45" ht="12.6" customHeight="1" x14ac:dyDescent="0.3">
      <c r="A1281" s="78"/>
      <c r="B1281" s="78"/>
      <c r="C1281" s="78"/>
      <c r="D1281" s="78"/>
      <c r="E1281" s="78"/>
      <c r="F1281" s="78"/>
      <c r="G1281" s="16" t="s">
        <v>1317</v>
      </c>
      <c r="Z1281" s="109"/>
      <c r="AA1281" s="109"/>
      <c r="AB1281" s="109"/>
      <c r="AC1281" s="109"/>
      <c r="AD1281" s="109"/>
      <c r="AE1281" s="109"/>
      <c r="AF1281" s="109"/>
      <c r="AG1281" s="109"/>
      <c r="AH1281" s="109"/>
      <c r="AI1281" s="109"/>
      <c r="AJ1281" s="109"/>
      <c r="AK1281" s="109"/>
      <c r="AL1281" s="109"/>
      <c r="AM1281" s="109"/>
      <c r="AN1281" s="109"/>
      <c r="AO1281" s="109"/>
      <c r="AP1281" s="109"/>
      <c r="AQ1281" s="109"/>
      <c r="AR1281" s="109"/>
      <c r="AS1281" s="109"/>
    </row>
    <row r="1282" spans="1:45" ht="12.6" customHeight="1" x14ac:dyDescent="0.3">
      <c r="A1282" s="68"/>
      <c r="B1282" s="97" t="str">
        <f>" f (체적환산계수) ="&amp;Z1282&amp;"/"&amp;AB1282&amp;" , E (작업효율) ="&amp;AF1282&amp;" , k (버킷계수) ="&amp;AJ1282&amp;""</f>
        <v xml:space="preserve"> f (체적환산계수) =1/1.15 , E (작업효율) =0.9 , k (버킷계수) =1.2</v>
      </c>
      <c r="C1282" s="78"/>
      <c r="D1282" s="78"/>
      <c r="E1282" s="78"/>
      <c r="F1282" s="78"/>
      <c r="G1282" s="16" t="s">
        <v>1801</v>
      </c>
      <c r="Z1282" s="111">
        <v>1</v>
      </c>
      <c r="AA1282" s="20" t="s">
        <v>1387</v>
      </c>
      <c r="AB1282" s="110">
        <v>1.1499999999999999</v>
      </c>
      <c r="AC1282" s="20" t="s">
        <v>1326</v>
      </c>
      <c r="AD1282" s="112">
        <f>ROUND(Z1282/AB1282,13)</f>
        <v>0.86956521739129999</v>
      </c>
      <c r="AE1282" s="20" t="s">
        <v>1385</v>
      </c>
      <c r="AF1282" s="110">
        <v>0.9</v>
      </c>
      <c r="AG1282" s="20" t="s">
        <v>1326</v>
      </c>
      <c r="AH1282" s="112">
        <f>AF1282</f>
        <v>0.9</v>
      </c>
      <c r="AI1282" s="20" t="s">
        <v>1385</v>
      </c>
      <c r="AJ1282" s="110">
        <v>1.2</v>
      </c>
      <c r="AK1282" s="20" t="s">
        <v>1326</v>
      </c>
      <c r="AL1282" s="112">
        <f>AJ1282</f>
        <v>1.2</v>
      </c>
      <c r="AM1282" s="20" t="s">
        <v>1385</v>
      </c>
      <c r="AN1282" s="109"/>
      <c r="AO1282" s="109"/>
      <c r="AP1282" s="109"/>
      <c r="AQ1282" s="109"/>
      <c r="AR1282" s="109"/>
      <c r="AS1282" s="109"/>
    </row>
    <row r="1283" spans="1:45" ht="12.6" customHeight="1" x14ac:dyDescent="0.3">
      <c r="A1283" s="78"/>
      <c r="B1283" s="78"/>
      <c r="C1283" s="78"/>
      <c r="D1283" s="78"/>
      <c r="E1283" s="78"/>
      <c r="F1283" s="78"/>
      <c r="G1283" s="16" t="s">
        <v>1317</v>
      </c>
      <c r="Z1283" s="109"/>
      <c r="AA1283" s="109"/>
      <c r="AB1283" s="109"/>
      <c r="AC1283" s="109"/>
      <c r="AD1283" s="109"/>
      <c r="AE1283" s="109"/>
      <c r="AF1283" s="109"/>
      <c r="AG1283" s="109"/>
      <c r="AH1283" s="109"/>
      <c r="AI1283" s="109"/>
      <c r="AJ1283" s="109"/>
      <c r="AK1283" s="109"/>
      <c r="AL1283" s="109"/>
      <c r="AM1283" s="109"/>
      <c r="AN1283" s="109"/>
      <c r="AO1283" s="109"/>
      <c r="AP1283" s="109"/>
      <c r="AQ1283" s="109"/>
      <c r="AR1283" s="109"/>
      <c r="AS1283" s="109"/>
    </row>
    <row r="1284" spans="1:45" ht="12.6" customHeight="1" x14ac:dyDescent="0.3">
      <c r="A1284" s="68"/>
      <c r="B1284" s="97" t="str">
        <f>" V1="&amp;Z1284&amp;" , V2="&amp;AD1284&amp;" , V3="&amp;AH1284&amp;" , V4="&amp;AL1284&amp;""</f>
        <v xml:space="preserve"> V1=30 , V2=35 , V3=10 , V4=15</v>
      </c>
      <c r="C1284" s="78"/>
      <c r="D1284" s="78"/>
      <c r="E1284" s="78"/>
      <c r="F1284" s="78"/>
      <c r="G1284" s="16" t="s">
        <v>1696</v>
      </c>
      <c r="Z1284" s="111">
        <v>30</v>
      </c>
      <c r="AA1284" s="20" t="s">
        <v>1326</v>
      </c>
      <c r="AB1284" s="112">
        <f>Z1284</f>
        <v>30</v>
      </c>
      <c r="AC1284" s="20" t="s">
        <v>1385</v>
      </c>
      <c r="AD1284" s="111">
        <v>35</v>
      </c>
      <c r="AE1284" s="20" t="s">
        <v>1326</v>
      </c>
      <c r="AF1284" s="112">
        <f>AD1284</f>
        <v>35</v>
      </c>
      <c r="AG1284" s="20" t="s">
        <v>1385</v>
      </c>
      <c r="AH1284" s="111">
        <v>10</v>
      </c>
      <c r="AI1284" s="20" t="s">
        <v>1326</v>
      </c>
      <c r="AJ1284" s="112">
        <f>AH1284</f>
        <v>10</v>
      </c>
      <c r="AK1284" s="20" t="s">
        <v>1385</v>
      </c>
      <c r="AL1284" s="111">
        <v>15</v>
      </c>
      <c r="AM1284" s="20" t="s">
        <v>1326</v>
      </c>
      <c r="AN1284" s="112">
        <f>AL1284</f>
        <v>15</v>
      </c>
      <c r="AO1284" s="20" t="s">
        <v>1385</v>
      </c>
      <c r="AP1284" s="109"/>
      <c r="AQ1284" s="109"/>
      <c r="AR1284" s="109"/>
      <c r="AS1284" s="109"/>
    </row>
    <row r="1285" spans="1:45" ht="12.6" customHeight="1" x14ac:dyDescent="0.3">
      <c r="A1285" s="78"/>
      <c r="B1285" s="78"/>
      <c r="C1285" s="78"/>
      <c r="D1285" s="78"/>
      <c r="E1285" s="78"/>
      <c r="F1285" s="78"/>
      <c r="G1285" s="16" t="s">
        <v>1317</v>
      </c>
      <c r="Z1285" s="109"/>
      <c r="AA1285" s="109"/>
      <c r="AB1285" s="109"/>
      <c r="AC1285" s="109"/>
      <c r="AD1285" s="109"/>
      <c r="AE1285" s="109"/>
      <c r="AF1285" s="109"/>
      <c r="AG1285" s="109"/>
      <c r="AH1285" s="109"/>
      <c r="AI1285" s="109"/>
      <c r="AJ1285" s="109"/>
      <c r="AK1285" s="109"/>
      <c r="AL1285" s="109"/>
      <c r="AM1285" s="109"/>
      <c r="AN1285" s="109"/>
      <c r="AO1285" s="109"/>
      <c r="AP1285" s="109"/>
      <c r="AQ1285" s="109"/>
      <c r="AR1285" s="109"/>
      <c r="AS1285" s="109"/>
    </row>
    <row r="1286" spans="1:45" ht="12.6" customHeight="1" x14ac:dyDescent="0.3">
      <c r="A1286" s="68"/>
      <c r="B1286" s="97" t="str">
        <f>" q1 (흐트러진상태의 덤프트럭 1회 적재량)  = ("&amp;AA1286&amp;"/"&amp;AC1286&amp;") * "&amp;AE1286&amp;" = "&amp;AG1286&amp;""</f>
        <v xml:space="preserve"> q1 (흐트러진상태의 덤프트럭 1회 적재량)  = (15/1.6) * 1.15 = 10.78</v>
      </c>
      <c r="C1286" s="78"/>
      <c r="D1286" s="78"/>
      <c r="E1286" s="78"/>
      <c r="F1286" s="78"/>
      <c r="G1286" s="16" t="s">
        <v>1802</v>
      </c>
      <c r="Z1286" s="20" t="s">
        <v>1526</v>
      </c>
      <c r="AA1286" s="111">
        <v>15</v>
      </c>
      <c r="AB1286" s="20" t="s">
        <v>1387</v>
      </c>
      <c r="AC1286" s="110">
        <v>1.6</v>
      </c>
      <c r="AD1286" s="20" t="s">
        <v>1527</v>
      </c>
      <c r="AE1286" s="110">
        <v>1.1499999999999999</v>
      </c>
      <c r="AF1286" s="20" t="s">
        <v>1326</v>
      </c>
      <c r="AG1286" s="112" t="str">
        <f>TEXT(ROUND((AA1286/AC1286)*AE1286,2),"0.00")</f>
        <v>10.78</v>
      </c>
      <c r="AH1286" s="109"/>
      <c r="AI1286" s="109"/>
      <c r="AJ1286" s="109"/>
      <c r="AK1286" s="109"/>
      <c r="AL1286" s="109"/>
      <c r="AM1286" s="109"/>
      <c r="AN1286" s="109"/>
      <c r="AO1286" s="109"/>
      <c r="AP1286" s="109"/>
      <c r="AQ1286" s="109"/>
      <c r="AR1286" s="109"/>
      <c r="AS1286" s="109"/>
    </row>
    <row r="1287" spans="1:45" ht="12.6" customHeight="1" x14ac:dyDescent="0.3">
      <c r="A1287" s="78"/>
      <c r="B1287" s="78"/>
      <c r="C1287" s="78"/>
      <c r="D1287" s="78"/>
      <c r="E1287" s="78"/>
      <c r="F1287" s="78"/>
      <c r="G1287" s="16" t="s">
        <v>1317</v>
      </c>
      <c r="Z1287" s="109"/>
      <c r="AA1287" s="109"/>
      <c r="AB1287" s="109"/>
      <c r="AC1287" s="109"/>
      <c r="AD1287" s="109"/>
      <c r="AE1287" s="109"/>
      <c r="AF1287" s="109"/>
      <c r="AG1287" s="109"/>
      <c r="AH1287" s="109"/>
      <c r="AI1287" s="109"/>
      <c r="AJ1287" s="109"/>
      <c r="AK1287" s="109"/>
      <c r="AL1287" s="109"/>
      <c r="AM1287" s="109"/>
      <c r="AN1287" s="109"/>
      <c r="AO1287" s="109"/>
      <c r="AP1287" s="109"/>
      <c r="AQ1287" s="109"/>
      <c r="AR1287" s="109"/>
      <c r="AS1287" s="109"/>
    </row>
    <row r="1288" spans="1:45" ht="12.6" customHeight="1" x14ac:dyDescent="0.3">
      <c r="A1288" s="68"/>
      <c r="B1288" s="77" t="s">
        <v>1528</v>
      </c>
      <c r="C1288" s="78"/>
      <c r="D1288" s="78"/>
      <c r="E1288" s="78"/>
      <c r="F1288" s="78"/>
      <c r="G1288" s="16" t="s">
        <v>1803</v>
      </c>
      <c r="Z1288" s="109"/>
      <c r="AA1288" s="109"/>
      <c r="AB1288" s="109"/>
      <c r="AC1288" s="109"/>
      <c r="AD1288" s="109"/>
      <c r="AE1288" s="109"/>
      <c r="AF1288" s="109"/>
      <c r="AG1288" s="109"/>
      <c r="AH1288" s="109"/>
      <c r="AI1288" s="109"/>
      <c r="AJ1288" s="109"/>
      <c r="AK1288" s="109"/>
      <c r="AL1288" s="109"/>
      <c r="AM1288" s="109"/>
      <c r="AN1288" s="109"/>
      <c r="AO1288" s="109"/>
      <c r="AP1288" s="109"/>
      <c r="AQ1288" s="109"/>
      <c r="AR1288" s="109"/>
      <c r="AS1288" s="109"/>
    </row>
    <row r="1289" spans="1:45" ht="12.6" customHeight="1" x14ac:dyDescent="0.3">
      <c r="A1289" s="78"/>
      <c r="B1289" s="78"/>
      <c r="C1289" s="78"/>
      <c r="D1289" s="78"/>
      <c r="E1289" s="78"/>
      <c r="F1289" s="78"/>
      <c r="G1289" s="16" t="s">
        <v>1317</v>
      </c>
      <c r="Z1289" s="109"/>
      <c r="AA1289" s="109"/>
      <c r="AB1289" s="109"/>
      <c r="AC1289" s="109"/>
      <c r="AD1289" s="109"/>
      <c r="AE1289" s="109"/>
      <c r="AF1289" s="109"/>
      <c r="AG1289" s="109"/>
      <c r="AH1289" s="109"/>
      <c r="AI1289" s="109"/>
      <c r="AJ1289" s="109"/>
      <c r="AK1289" s="109"/>
      <c r="AL1289" s="109"/>
      <c r="AM1289" s="109"/>
      <c r="AN1289" s="109"/>
      <c r="AO1289" s="109"/>
      <c r="AP1289" s="109"/>
      <c r="AQ1289" s="109"/>
      <c r="AR1289" s="109"/>
      <c r="AS1289" s="109"/>
    </row>
    <row r="1290" spans="1:45" ht="12.6" customHeight="1" x14ac:dyDescent="0.3">
      <c r="A1290" s="68"/>
      <c r="B1290" s="97" t="str">
        <f>" n =q1 / ("&amp;AB1290&amp;" * k) = "&amp;AG1290&amp;"  회 "</f>
        <v xml:space="preserve"> n =q1 / (1.34 * k) = 6.70  회 </v>
      </c>
      <c r="C1290" s="78"/>
      <c r="D1290" s="78"/>
      <c r="E1290" s="78"/>
      <c r="F1290" s="78"/>
      <c r="G1290" s="16" t="s">
        <v>1804</v>
      </c>
      <c r="Z1290" s="112" t="str">
        <f>AG1286</f>
        <v>10.78</v>
      </c>
      <c r="AA1290" s="20" t="s">
        <v>1531</v>
      </c>
      <c r="AB1290" s="110">
        <v>1.34</v>
      </c>
      <c r="AC1290" s="20" t="s">
        <v>1390</v>
      </c>
      <c r="AD1290" s="112">
        <f>AL1282</f>
        <v>1.2</v>
      </c>
      <c r="AE1290" s="20" t="s">
        <v>1532</v>
      </c>
      <c r="AF1290" s="20" t="s">
        <v>1326</v>
      </c>
      <c r="AG1290" s="112" t="str">
        <f>TEXT(ROUND(AG1286/(AB1290*AL1282),2),"0.00")</f>
        <v>6.70</v>
      </c>
      <c r="AH1290" s="109"/>
      <c r="AI1290" s="109"/>
      <c r="AJ1290" s="109"/>
      <c r="AK1290" s="109"/>
      <c r="AL1290" s="109"/>
      <c r="AM1290" s="109"/>
      <c r="AN1290" s="109"/>
      <c r="AO1290" s="109"/>
      <c r="AP1290" s="109"/>
      <c r="AQ1290" s="109"/>
      <c r="AR1290" s="109"/>
      <c r="AS1290" s="109"/>
    </row>
    <row r="1291" spans="1:45" ht="12.6" customHeight="1" x14ac:dyDescent="0.3">
      <c r="A1291" s="78"/>
      <c r="B1291" s="78"/>
      <c r="C1291" s="78"/>
      <c r="D1291" s="78"/>
      <c r="E1291" s="78"/>
      <c r="F1291" s="78"/>
      <c r="G1291" s="16" t="s">
        <v>1317</v>
      </c>
      <c r="Z1291" s="109"/>
      <c r="AA1291" s="109"/>
      <c r="AB1291" s="109"/>
      <c r="AC1291" s="109"/>
      <c r="AD1291" s="109"/>
      <c r="AE1291" s="109"/>
      <c r="AF1291" s="109"/>
      <c r="AG1291" s="109"/>
      <c r="AH1291" s="109"/>
      <c r="AI1291" s="109"/>
      <c r="AJ1291" s="109"/>
      <c r="AK1291" s="109"/>
      <c r="AL1291" s="109"/>
      <c r="AM1291" s="109"/>
      <c r="AN1291" s="109"/>
      <c r="AO1291" s="109"/>
      <c r="AP1291" s="109"/>
      <c r="AQ1291" s="109"/>
      <c r="AR1291" s="109"/>
      <c r="AS1291" s="109"/>
    </row>
    <row r="1292" spans="1:45" ht="12.6" customHeight="1" x14ac:dyDescent="0.3">
      <c r="A1292" s="68"/>
      <c r="B1292" s="97" t="str">
        <f>" Cms (적재기계의 1회사이클시간(초)) ="&amp;Z1292&amp;"*"&amp;AB1292&amp;"+"&amp;AD1292&amp;"+"&amp;AF1292&amp;"= "&amp;AH1292&amp;" 초 "</f>
        <v xml:space="preserve"> Cms (적재기계의 1회사이클시간(초)) =1.8*8+6+14= 34.40 초 </v>
      </c>
      <c r="C1292" s="78"/>
      <c r="D1292" s="78"/>
      <c r="E1292" s="78"/>
      <c r="F1292" s="78"/>
      <c r="G1292" s="16" t="s">
        <v>1805</v>
      </c>
      <c r="Z1292" s="110">
        <v>1.8</v>
      </c>
      <c r="AA1292" s="20" t="s">
        <v>1390</v>
      </c>
      <c r="AB1292" s="111">
        <v>8</v>
      </c>
      <c r="AC1292" s="20" t="s">
        <v>1535</v>
      </c>
      <c r="AD1292" s="111">
        <v>6</v>
      </c>
      <c r="AE1292" s="20" t="s">
        <v>1535</v>
      </c>
      <c r="AF1292" s="111">
        <v>14</v>
      </c>
      <c r="AG1292" s="20" t="s">
        <v>1326</v>
      </c>
      <c r="AH1292" s="112" t="str">
        <f>TEXT(ROUND(Z1292*AB1292+AD1292+AF1292,2),"0.00")</f>
        <v>34.40</v>
      </c>
      <c r="AI1292" s="109"/>
      <c r="AJ1292" s="109"/>
      <c r="AK1292" s="109"/>
      <c r="AL1292" s="109"/>
      <c r="AM1292" s="109"/>
      <c r="AN1292" s="109"/>
      <c r="AO1292" s="109"/>
      <c r="AP1292" s="109"/>
      <c r="AQ1292" s="109"/>
      <c r="AR1292" s="109"/>
      <c r="AS1292" s="109"/>
    </row>
    <row r="1293" spans="1:45" ht="12.6" customHeight="1" x14ac:dyDescent="0.3">
      <c r="A1293" s="78"/>
      <c r="B1293" s="78"/>
      <c r="C1293" s="78"/>
      <c r="D1293" s="78"/>
      <c r="E1293" s="78"/>
      <c r="F1293" s="78"/>
      <c r="G1293" s="16" t="s">
        <v>1317</v>
      </c>
      <c r="Z1293" s="109"/>
      <c r="AA1293" s="109"/>
      <c r="AB1293" s="109"/>
      <c r="AC1293" s="109"/>
      <c r="AD1293" s="109"/>
      <c r="AE1293" s="109"/>
      <c r="AF1293" s="109"/>
      <c r="AG1293" s="109"/>
      <c r="AH1293" s="109"/>
      <c r="AI1293" s="109"/>
      <c r="AJ1293" s="109"/>
      <c r="AK1293" s="109"/>
      <c r="AL1293" s="109"/>
      <c r="AM1293" s="109"/>
      <c r="AN1293" s="109"/>
      <c r="AO1293" s="109"/>
      <c r="AP1293" s="109"/>
      <c r="AQ1293" s="109"/>
      <c r="AR1293" s="109"/>
      <c r="AS1293" s="109"/>
    </row>
    <row r="1294" spans="1:45" ht="12.6" customHeight="1" x14ac:dyDescent="0.3">
      <c r="A1294" s="68"/>
      <c r="B1294" s="97" t="str">
        <f>" t1 (적재시간) =Cms * n / ("&amp;AD1294&amp;" * "&amp;AF1294&amp;") = "&amp;AI1294&amp;" 분 "</f>
        <v xml:space="preserve"> t1 (적재시간) =Cms * n / (60 * 0.75) = 5.12 분 </v>
      </c>
      <c r="C1294" s="78"/>
      <c r="D1294" s="78"/>
      <c r="E1294" s="78"/>
      <c r="F1294" s="78"/>
      <c r="G1294" s="16" t="s">
        <v>1806</v>
      </c>
      <c r="Z1294" s="112" t="str">
        <f>AH1292</f>
        <v>34.40</v>
      </c>
      <c r="AA1294" s="20" t="s">
        <v>1390</v>
      </c>
      <c r="AB1294" s="112" t="str">
        <f>AG1290</f>
        <v>6.70</v>
      </c>
      <c r="AC1294" s="20" t="s">
        <v>1531</v>
      </c>
      <c r="AD1294" s="111">
        <v>60</v>
      </c>
      <c r="AE1294" s="20" t="s">
        <v>1390</v>
      </c>
      <c r="AF1294" s="110">
        <v>0.75</v>
      </c>
      <c r="AG1294" s="20" t="s">
        <v>1532</v>
      </c>
      <c r="AH1294" s="20" t="s">
        <v>1326</v>
      </c>
      <c r="AI1294" s="112" t="str">
        <f>TEXT(ROUND(AH1292*AG1290/(AD1294*AF1294),2),"0.00")</f>
        <v>5.12</v>
      </c>
      <c r="AJ1294" s="109"/>
      <c r="AK1294" s="109"/>
      <c r="AL1294" s="109"/>
      <c r="AM1294" s="109"/>
      <c r="AN1294" s="109"/>
      <c r="AO1294" s="109"/>
      <c r="AP1294" s="109"/>
      <c r="AQ1294" s="109"/>
      <c r="AR1294" s="109"/>
      <c r="AS1294" s="109"/>
    </row>
    <row r="1295" spans="1:45" ht="12.6" customHeight="1" x14ac:dyDescent="0.3">
      <c r="A1295" s="78"/>
      <c r="B1295" s="78"/>
      <c r="C1295" s="78"/>
      <c r="D1295" s="78"/>
      <c r="E1295" s="78"/>
      <c r="F1295" s="78"/>
      <c r="G1295" s="16" t="s">
        <v>1317</v>
      </c>
      <c r="Z1295" s="109"/>
      <c r="AA1295" s="109"/>
      <c r="AB1295" s="109"/>
      <c r="AC1295" s="109"/>
      <c r="AD1295" s="109"/>
      <c r="AE1295" s="109"/>
      <c r="AF1295" s="109"/>
      <c r="AG1295" s="109"/>
      <c r="AH1295" s="109"/>
      <c r="AI1295" s="109"/>
      <c r="AJ1295" s="109"/>
      <c r="AK1295" s="109"/>
      <c r="AL1295" s="109"/>
      <c r="AM1295" s="109"/>
      <c r="AN1295" s="109"/>
      <c r="AO1295" s="109"/>
      <c r="AP1295" s="109"/>
      <c r="AQ1295" s="109"/>
      <c r="AR1295" s="109"/>
      <c r="AS1295" s="109"/>
    </row>
    <row r="1296" spans="1:45" ht="12.6" customHeight="1" x14ac:dyDescent="0.3">
      <c r="A1296" s="68"/>
      <c r="B1296" s="97" t="str">
        <f>" t2 (왕복시간) =(L1/V1+L1/V2+L2/V3+L2/V4 ) * "&amp;AQ1296&amp;" = "&amp;AS1296&amp;" 분 "</f>
        <v xml:space="preserve"> t2 (왕복시간) =(L1/V1+L1/V2+L2/V3+L2/V4 ) * 60 = 104.91 분 </v>
      </c>
      <c r="C1296" s="78"/>
      <c r="D1296" s="78"/>
      <c r="E1296" s="78"/>
      <c r="F1296" s="78"/>
      <c r="G1296" s="16" t="s">
        <v>1702</v>
      </c>
      <c r="Z1296" s="20" t="s">
        <v>1526</v>
      </c>
      <c r="AA1296" s="112">
        <f>AB1269</f>
        <v>9.4</v>
      </c>
      <c r="AB1296" s="20" t="s">
        <v>1387</v>
      </c>
      <c r="AC1296" s="112">
        <f>AB1284</f>
        <v>30</v>
      </c>
      <c r="AD1296" s="20" t="s">
        <v>1535</v>
      </c>
      <c r="AE1296" s="112">
        <f>AB1269</f>
        <v>9.4</v>
      </c>
      <c r="AF1296" s="20" t="s">
        <v>1387</v>
      </c>
      <c r="AG1296" s="112">
        <f>AF1284</f>
        <v>35</v>
      </c>
      <c r="AH1296" s="20" t="s">
        <v>1535</v>
      </c>
      <c r="AI1296" s="112">
        <f>AB1271</f>
        <v>7</v>
      </c>
      <c r="AJ1296" s="20" t="s">
        <v>1387</v>
      </c>
      <c r="AK1296" s="112">
        <f>AJ1284</f>
        <v>10</v>
      </c>
      <c r="AL1296" s="20" t="s">
        <v>1535</v>
      </c>
      <c r="AM1296" s="112">
        <f>AB1271</f>
        <v>7</v>
      </c>
      <c r="AN1296" s="20" t="s">
        <v>1387</v>
      </c>
      <c r="AO1296" s="112">
        <f>AN1284</f>
        <v>15</v>
      </c>
      <c r="AP1296" s="20" t="s">
        <v>1527</v>
      </c>
      <c r="AQ1296" s="111">
        <v>60</v>
      </c>
      <c r="AR1296" s="20" t="s">
        <v>1326</v>
      </c>
      <c r="AS1296" s="112" t="str">
        <f>TEXT(ROUND((AB1269/AB1284+AB1269/AF1284+AB1271/AJ1284+AB1271/AN1284)*AQ1296,2),"0.00")</f>
        <v>104.91</v>
      </c>
    </row>
    <row r="1297" spans="1:45" ht="12.6" customHeight="1" x14ac:dyDescent="0.3">
      <c r="A1297" s="78"/>
      <c r="B1297" s="78"/>
      <c r="C1297" s="78"/>
      <c r="D1297" s="78"/>
      <c r="E1297" s="78"/>
      <c r="F1297" s="78"/>
      <c r="G1297" s="16" t="s">
        <v>1317</v>
      </c>
      <c r="Z1297" s="109"/>
      <c r="AA1297" s="109"/>
      <c r="AB1297" s="109"/>
      <c r="AC1297" s="109"/>
      <c r="AD1297" s="109"/>
      <c r="AE1297" s="109"/>
      <c r="AF1297" s="109"/>
      <c r="AG1297" s="109"/>
      <c r="AH1297" s="109"/>
      <c r="AI1297" s="109"/>
      <c r="AJ1297" s="109"/>
      <c r="AK1297" s="109"/>
      <c r="AL1297" s="109"/>
      <c r="AM1297" s="109"/>
      <c r="AN1297" s="109"/>
      <c r="AO1297" s="109"/>
      <c r="AP1297" s="109"/>
      <c r="AQ1297" s="109"/>
      <c r="AR1297" s="109"/>
      <c r="AS1297" s="109"/>
    </row>
    <row r="1298" spans="1:45" ht="12.6" customHeight="1" x14ac:dyDescent="0.3">
      <c r="A1298" s="68"/>
      <c r="B1298" s="97" t="str">
        <f>" t3 (적하시간) ="&amp;Z1298&amp;" 분 "</f>
        <v xml:space="preserve"> t3 (적하시간) =0.8 분 </v>
      </c>
      <c r="C1298" s="78"/>
      <c r="D1298" s="78"/>
      <c r="E1298" s="78"/>
      <c r="F1298" s="78"/>
      <c r="G1298" s="16" t="s">
        <v>1807</v>
      </c>
      <c r="Z1298" s="110">
        <v>0.8</v>
      </c>
      <c r="AA1298" s="20" t="s">
        <v>1326</v>
      </c>
      <c r="AB1298" s="112">
        <f>Z1298</f>
        <v>0.8</v>
      </c>
      <c r="AC1298" s="109"/>
      <c r="AD1298" s="109"/>
      <c r="AE1298" s="109"/>
      <c r="AF1298" s="109"/>
      <c r="AG1298" s="109"/>
      <c r="AH1298" s="109"/>
      <c r="AI1298" s="109"/>
      <c r="AJ1298" s="109"/>
      <c r="AK1298" s="109"/>
      <c r="AL1298" s="109"/>
      <c r="AM1298" s="109"/>
      <c r="AN1298" s="109"/>
      <c r="AO1298" s="109"/>
      <c r="AP1298" s="109"/>
      <c r="AQ1298" s="109"/>
      <c r="AR1298" s="109"/>
      <c r="AS1298" s="109"/>
    </row>
    <row r="1299" spans="1:45" ht="12.6" customHeight="1" x14ac:dyDescent="0.3">
      <c r="A1299" s="78"/>
      <c r="B1299" s="78"/>
      <c r="C1299" s="78"/>
      <c r="D1299" s="78"/>
      <c r="E1299" s="78"/>
      <c r="F1299" s="78"/>
      <c r="G1299" s="16" t="s">
        <v>1317</v>
      </c>
      <c r="Z1299" s="109"/>
      <c r="AA1299" s="109"/>
      <c r="AB1299" s="109"/>
      <c r="AC1299" s="109"/>
      <c r="AD1299" s="109"/>
      <c r="AE1299" s="109"/>
      <c r="AF1299" s="109"/>
      <c r="AG1299" s="109"/>
      <c r="AH1299" s="109"/>
      <c r="AI1299" s="109"/>
      <c r="AJ1299" s="109"/>
      <c r="AK1299" s="109"/>
      <c r="AL1299" s="109"/>
      <c r="AM1299" s="109"/>
      <c r="AN1299" s="109"/>
      <c r="AO1299" s="109"/>
      <c r="AP1299" s="109"/>
      <c r="AQ1299" s="109"/>
      <c r="AR1299" s="109"/>
      <c r="AS1299" s="109"/>
    </row>
    <row r="1300" spans="1:45" ht="12.6" customHeight="1" x14ac:dyDescent="0.3">
      <c r="A1300" s="68"/>
      <c r="B1300" s="97" t="str">
        <f>" t4 (적재장소 도착한 때로부터 적재작업이 시작될 때까지의 시간) ="&amp;Z1300&amp;" 분 "</f>
        <v xml:space="preserve"> t4 (적재장소 도착한 때로부터 적재작업이 시작될 때까지의 시간) =0.42 분 </v>
      </c>
      <c r="C1300" s="78"/>
      <c r="D1300" s="78"/>
      <c r="E1300" s="78"/>
      <c r="F1300" s="78"/>
      <c r="G1300" s="16" t="s">
        <v>1808</v>
      </c>
      <c r="Z1300" s="110">
        <v>0.42</v>
      </c>
      <c r="AA1300" s="20" t="s">
        <v>1326</v>
      </c>
      <c r="AB1300" s="112">
        <f>Z1300</f>
        <v>0.42</v>
      </c>
      <c r="AC1300" s="109"/>
      <c r="AD1300" s="109"/>
      <c r="AE1300" s="109"/>
      <c r="AF1300" s="109"/>
      <c r="AG1300" s="109"/>
      <c r="AH1300" s="109"/>
      <c r="AI1300" s="109"/>
      <c r="AJ1300" s="109"/>
      <c r="AK1300" s="109"/>
      <c r="AL1300" s="109"/>
      <c r="AM1300" s="109"/>
      <c r="AN1300" s="109"/>
      <c r="AO1300" s="109"/>
      <c r="AP1300" s="109"/>
      <c r="AQ1300" s="109"/>
      <c r="AR1300" s="109"/>
      <c r="AS1300" s="109"/>
    </row>
    <row r="1301" spans="1:45" ht="12.6" customHeight="1" x14ac:dyDescent="0.3">
      <c r="A1301" s="78"/>
      <c r="B1301" s="78"/>
      <c r="C1301" s="78"/>
      <c r="D1301" s="78"/>
      <c r="E1301" s="78"/>
      <c r="F1301" s="78"/>
      <c r="G1301" s="16" t="s">
        <v>1317</v>
      </c>
      <c r="Z1301" s="109"/>
      <c r="AA1301" s="109"/>
      <c r="AB1301" s="109"/>
      <c r="AC1301" s="109"/>
      <c r="AD1301" s="109"/>
      <c r="AE1301" s="109"/>
      <c r="AF1301" s="109"/>
      <c r="AG1301" s="109"/>
      <c r="AH1301" s="109"/>
      <c r="AI1301" s="109"/>
      <c r="AJ1301" s="109"/>
      <c r="AK1301" s="109"/>
      <c r="AL1301" s="109"/>
      <c r="AM1301" s="109"/>
      <c r="AN1301" s="109"/>
      <c r="AO1301" s="109"/>
      <c r="AP1301" s="109"/>
      <c r="AQ1301" s="109"/>
      <c r="AR1301" s="109"/>
      <c r="AS1301" s="109"/>
    </row>
    <row r="1302" spans="1:45" ht="12.6" customHeight="1" x14ac:dyDescent="0.3">
      <c r="A1302" s="68"/>
      <c r="B1302" s="97" t="str">
        <f>" t5 (적재함 덮개 설치 및 해체시간) ="&amp;Z1302&amp;" 분 "</f>
        <v xml:space="preserve"> t5 (적재함 덮개 설치 및 해체시간) =0.5 분 </v>
      </c>
      <c r="C1302" s="78"/>
      <c r="D1302" s="78"/>
      <c r="E1302" s="78"/>
      <c r="F1302" s="78"/>
      <c r="G1302" s="16" t="s">
        <v>1809</v>
      </c>
      <c r="Z1302" s="110">
        <v>0.5</v>
      </c>
      <c r="AA1302" s="20" t="s">
        <v>1326</v>
      </c>
      <c r="AB1302" s="112">
        <f>Z1302</f>
        <v>0.5</v>
      </c>
      <c r="AC1302" s="109"/>
      <c r="AD1302" s="109"/>
      <c r="AE1302" s="109"/>
      <c r="AF1302" s="109"/>
      <c r="AG1302" s="109"/>
      <c r="AH1302" s="109"/>
      <c r="AI1302" s="109"/>
      <c r="AJ1302" s="109"/>
      <c r="AK1302" s="109"/>
      <c r="AL1302" s="109"/>
      <c r="AM1302" s="109"/>
      <c r="AN1302" s="109"/>
      <c r="AO1302" s="109"/>
      <c r="AP1302" s="109"/>
      <c r="AQ1302" s="109"/>
      <c r="AR1302" s="109"/>
      <c r="AS1302" s="109"/>
    </row>
    <row r="1303" spans="1:45" ht="12.6" customHeight="1" x14ac:dyDescent="0.3">
      <c r="A1303" s="78"/>
      <c r="B1303" s="78"/>
      <c r="C1303" s="78"/>
      <c r="D1303" s="78"/>
      <c r="E1303" s="78"/>
      <c r="F1303" s="78"/>
      <c r="G1303" s="16" t="s">
        <v>1433</v>
      </c>
      <c r="Z1303" s="109"/>
      <c r="AA1303" s="109"/>
      <c r="AB1303" s="109"/>
      <c r="AC1303" s="109"/>
      <c r="AD1303" s="109"/>
      <c r="AE1303" s="109"/>
      <c r="AF1303" s="109"/>
      <c r="AG1303" s="109"/>
      <c r="AH1303" s="109"/>
      <c r="AI1303" s="109"/>
      <c r="AJ1303" s="109"/>
      <c r="AK1303" s="109"/>
      <c r="AL1303" s="109"/>
      <c r="AM1303" s="109"/>
      <c r="AN1303" s="109"/>
      <c r="AO1303" s="109"/>
      <c r="AP1303" s="109"/>
      <c r="AQ1303" s="109"/>
      <c r="AR1303" s="109"/>
      <c r="AS1303" s="109"/>
    </row>
    <row r="1304" spans="1:45" ht="12.6" customHeight="1" x14ac:dyDescent="0.3">
      <c r="A1304" s="68"/>
      <c r="B1304" s="97" t="str">
        <f>" t6 (세륜기통과시간) ="&amp;Z1304&amp;" 분 "</f>
        <v xml:space="preserve"> t6 (세륜기통과시간) =1.5 분 </v>
      </c>
      <c r="C1304" s="78"/>
      <c r="D1304" s="78"/>
      <c r="E1304" s="78"/>
      <c r="F1304" s="78"/>
      <c r="G1304" s="16" t="s">
        <v>1706</v>
      </c>
      <c r="Z1304" s="110">
        <v>1.5</v>
      </c>
      <c r="AA1304" s="20" t="s">
        <v>1326</v>
      </c>
      <c r="AB1304" s="112">
        <f>Z1304</f>
        <v>1.5</v>
      </c>
      <c r="AC1304" s="109"/>
      <c r="AD1304" s="109"/>
      <c r="AE1304" s="109"/>
      <c r="AF1304" s="109"/>
      <c r="AG1304" s="109"/>
      <c r="AH1304" s="109"/>
      <c r="AI1304" s="109"/>
      <c r="AJ1304" s="109"/>
      <c r="AK1304" s="109"/>
      <c r="AL1304" s="109"/>
      <c r="AM1304" s="109"/>
      <c r="AN1304" s="109"/>
      <c r="AO1304" s="109"/>
      <c r="AP1304" s="109"/>
      <c r="AQ1304" s="109"/>
      <c r="AR1304" s="109"/>
      <c r="AS1304" s="109"/>
    </row>
    <row r="1305" spans="1:45" ht="12.6" customHeight="1" x14ac:dyDescent="0.3">
      <c r="A1305" s="78"/>
      <c r="B1305" s="78"/>
      <c r="C1305" s="78"/>
      <c r="D1305" s="78"/>
      <c r="E1305" s="78"/>
      <c r="F1305" s="78"/>
      <c r="G1305" s="16" t="s">
        <v>1317</v>
      </c>
      <c r="Z1305" s="109"/>
      <c r="AA1305" s="109"/>
      <c r="AB1305" s="109"/>
      <c r="AC1305" s="109"/>
      <c r="AD1305" s="109"/>
      <c r="AE1305" s="109"/>
      <c r="AF1305" s="109"/>
      <c r="AG1305" s="109"/>
      <c r="AH1305" s="109"/>
      <c r="AI1305" s="109"/>
      <c r="AJ1305" s="109"/>
      <c r="AK1305" s="109"/>
      <c r="AL1305" s="109"/>
      <c r="AM1305" s="109"/>
      <c r="AN1305" s="109"/>
      <c r="AO1305" s="109"/>
      <c r="AP1305" s="109"/>
      <c r="AQ1305" s="109"/>
      <c r="AR1305" s="109"/>
      <c r="AS1305" s="109"/>
    </row>
    <row r="1306" spans="1:45" ht="12.6" customHeight="1" x14ac:dyDescent="0.3">
      <c r="A1306" s="68"/>
      <c r="B1306" s="97" t="str">
        <f>" Cm (1회 사이클 시간(분))  = t1 + t2 + t3 + t4 + t5 +t6 = "&amp;AL1306&amp;" 분 "</f>
        <v xml:space="preserve"> Cm (1회 사이클 시간(분))  = t1 + t2 + t3 + t4 + t5 +t6 = 113.25 분 </v>
      </c>
      <c r="C1306" s="78"/>
      <c r="D1306" s="78"/>
      <c r="E1306" s="78"/>
      <c r="F1306" s="78"/>
      <c r="G1306" s="16" t="s">
        <v>1707</v>
      </c>
      <c r="Z1306" s="112" t="str">
        <f>AI1294</f>
        <v>5.12</v>
      </c>
      <c r="AA1306" s="20" t="s">
        <v>1535</v>
      </c>
      <c r="AB1306" s="112" t="str">
        <f>AS1296</f>
        <v>104.91</v>
      </c>
      <c r="AC1306" s="20" t="s">
        <v>1535</v>
      </c>
      <c r="AD1306" s="112">
        <f>AB1298</f>
        <v>0.8</v>
      </c>
      <c r="AE1306" s="20" t="s">
        <v>1535</v>
      </c>
      <c r="AF1306" s="112">
        <f>AB1300</f>
        <v>0.42</v>
      </c>
      <c r="AG1306" s="20" t="s">
        <v>1535</v>
      </c>
      <c r="AH1306" s="112">
        <f>AB1302</f>
        <v>0.5</v>
      </c>
      <c r="AI1306" s="20" t="s">
        <v>1535</v>
      </c>
      <c r="AJ1306" s="112">
        <f>AB1304</f>
        <v>1.5</v>
      </c>
      <c r="AK1306" s="20" t="s">
        <v>1326</v>
      </c>
      <c r="AL1306" s="112" t="str">
        <f>TEXT(ROUND(AI1294+AS1296+AB1298+AB1300+AB1302+AB1304,2),"0.00")</f>
        <v>113.25</v>
      </c>
      <c r="AM1306" s="109"/>
      <c r="AN1306" s="109"/>
      <c r="AO1306" s="109"/>
      <c r="AP1306" s="109"/>
      <c r="AQ1306" s="109"/>
      <c r="AR1306" s="109"/>
      <c r="AS1306" s="109"/>
    </row>
    <row r="1307" spans="1:45" ht="12.6" customHeight="1" x14ac:dyDescent="0.3">
      <c r="A1307" s="78"/>
      <c r="B1307" s="78"/>
      <c r="C1307" s="78"/>
      <c r="D1307" s="78"/>
      <c r="E1307" s="78"/>
      <c r="F1307" s="78"/>
      <c r="G1307" s="16" t="s">
        <v>1317</v>
      </c>
      <c r="Z1307" s="109"/>
      <c r="AA1307" s="109"/>
      <c r="AB1307" s="109"/>
      <c r="AC1307" s="109"/>
      <c r="AD1307" s="109"/>
      <c r="AE1307" s="109"/>
      <c r="AF1307" s="109"/>
      <c r="AG1307" s="109"/>
      <c r="AH1307" s="109"/>
      <c r="AI1307" s="109"/>
      <c r="AJ1307" s="109"/>
      <c r="AK1307" s="109"/>
      <c r="AL1307" s="109"/>
      <c r="AM1307" s="109"/>
      <c r="AN1307" s="109"/>
      <c r="AO1307" s="109"/>
      <c r="AP1307" s="109"/>
      <c r="AQ1307" s="109"/>
      <c r="AR1307" s="109"/>
      <c r="AS1307" s="109"/>
    </row>
    <row r="1308" spans="1:45" ht="12.6" customHeight="1" x14ac:dyDescent="0.3">
      <c r="A1308" s="68"/>
      <c r="B1308" s="97" t="str">
        <f>" Q (시간당 작업량)  = "&amp;Z1308&amp;" * q1 * F * E / Cm = "&amp;AJ1308&amp;" m3/hr "</f>
        <v xml:space="preserve"> Q (시간당 작업량)  = 60 * q1 * F * E / Cm = 4.47 m3/hr </v>
      </c>
      <c r="C1308" s="78"/>
      <c r="D1308" s="78"/>
      <c r="E1308" s="78"/>
      <c r="F1308" s="78"/>
      <c r="G1308" s="16" t="s">
        <v>1810</v>
      </c>
      <c r="Z1308" s="111">
        <v>60</v>
      </c>
      <c r="AA1308" s="20" t="s">
        <v>1390</v>
      </c>
      <c r="AB1308" s="112" t="str">
        <f>AG1286</f>
        <v>10.78</v>
      </c>
      <c r="AC1308" s="20" t="s">
        <v>1390</v>
      </c>
      <c r="AD1308" s="112">
        <f>AD1282</f>
        <v>0.86956521739129999</v>
      </c>
      <c r="AE1308" s="20" t="s">
        <v>1390</v>
      </c>
      <c r="AF1308" s="112">
        <f>AH1282</f>
        <v>0.9</v>
      </c>
      <c r="AG1308" s="20" t="s">
        <v>1387</v>
      </c>
      <c r="AH1308" s="112" t="str">
        <f>AL1306</f>
        <v>113.25</v>
      </c>
      <c r="AI1308" s="20" t="s">
        <v>1326</v>
      </c>
      <c r="AJ1308" s="112" t="str">
        <f>TEXT(ROUND(Z1308*AG1286*AD1282*AH1282/AL1306,2),"0.00")</f>
        <v>4.47</v>
      </c>
      <c r="AK1308" s="109"/>
      <c r="AL1308" s="109"/>
      <c r="AM1308" s="109"/>
      <c r="AN1308" s="109"/>
      <c r="AO1308" s="109"/>
      <c r="AP1308" s="109"/>
      <c r="AQ1308" s="109"/>
      <c r="AR1308" s="109"/>
      <c r="AS1308" s="109"/>
    </row>
    <row r="1309" spans="1:45" ht="12.6" customHeight="1" x14ac:dyDescent="0.3">
      <c r="A1309" s="78"/>
      <c r="B1309" s="78"/>
      <c r="C1309" s="78"/>
      <c r="D1309" s="78"/>
      <c r="E1309" s="78"/>
      <c r="F1309" s="78"/>
      <c r="G1309" s="16" t="s">
        <v>1317</v>
      </c>
      <c r="Z1309" s="109"/>
      <c r="AA1309" s="109"/>
      <c r="AB1309" s="109"/>
      <c r="AC1309" s="109"/>
      <c r="AD1309" s="109"/>
      <c r="AE1309" s="109"/>
      <c r="AF1309" s="109"/>
      <c r="AG1309" s="109"/>
      <c r="AH1309" s="109"/>
      <c r="AI1309" s="109"/>
      <c r="AJ1309" s="109"/>
      <c r="AK1309" s="109"/>
      <c r="AL1309" s="109"/>
      <c r="AM1309" s="109"/>
      <c r="AN1309" s="109"/>
      <c r="AO1309" s="109"/>
      <c r="AP1309" s="109"/>
      <c r="AQ1309" s="109"/>
      <c r="AR1309" s="109"/>
      <c r="AS1309" s="109"/>
    </row>
    <row r="1310" spans="1:45" ht="12.6" customHeight="1" x14ac:dyDescent="0.3">
      <c r="A1310" s="68" t="s">
        <v>1812</v>
      </c>
      <c r="B1310" s="97" t="str">
        <f>"  노 무 비  :   "&amp;TEXT(I1310,"#,##0"&amp;IF(I1310&lt;&gt;INT(I1310),".###",""))&amp;" / Q = "&amp;TEXT(C1310,"#,##0.0")&amp;""</f>
        <v xml:space="preserve">  노 무 비  :   55,700 / Q = 12,460.8</v>
      </c>
      <c r="C1310" s="99">
        <f>E1310+D1310+F1310</f>
        <v>12460.8</v>
      </c>
      <c r="D1310" s="99">
        <f>IF(H1310=0,0,ROUNDDOWN(J1310*H1310,1))</f>
        <v>12460.8</v>
      </c>
      <c r="E1310" s="99">
        <f>IF(H1310=0,0,ROUNDDOWN(K1310*H1310,1))</f>
        <v>0</v>
      </c>
      <c r="F1310" s="99">
        <f>IF(H1310=0,0,ROUNDDOWN(L1310*H1310,1))</f>
        <v>0</v>
      </c>
      <c r="G1310" s="16" t="s">
        <v>1811</v>
      </c>
      <c r="H1310" s="105">
        <f>AC1310</f>
        <v>0.2237136465324385</v>
      </c>
      <c r="I1310" s="106">
        <f>K1310+J1310+L1310</f>
        <v>55700</v>
      </c>
      <c r="J1310" s="39">
        <f>중기목록표!F11</f>
        <v>55700</v>
      </c>
      <c r="M1310" s="20" t="s">
        <v>1813</v>
      </c>
      <c r="N1310" s="20" t="s">
        <v>1721</v>
      </c>
      <c r="X1310" s="108" t="str">
        <f>중기목록표!B11&amp;" / "&amp;중기목록표!C11</f>
        <v xml:space="preserve">덤프트럭15ton(토사) / </v>
      </c>
      <c r="Y1310" s="19" t="str">
        <f ca="1">HYPERLINK("#"&amp;중기목록표!J2&amp;"!A"&amp;ROW(중기목록표!A11),"중기    8 →")</f>
        <v>중기    8 →</v>
      </c>
      <c r="Z1310" s="20" t="s">
        <v>1393</v>
      </c>
      <c r="AA1310" s="112" t="str">
        <f>AJ1308</f>
        <v>4.47</v>
      </c>
      <c r="AB1310" s="20" t="s">
        <v>1326</v>
      </c>
      <c r="AC1310" s="113">
        <f>1/AJ1308</f>
        <v>0.2237136465324385</v>
      </c>
      <c r="AD1310" s="109"/>
      <c r="AE1310" s="109"/>
      <c r="AF1310" s="109"/>
      <c r="AG1310" s="109"/>
      <c r="AH1310" s="109"/>
      <c r="AI1310" s="109"/>
      <c r="AJ1310" s="109"/>
      <c r="AK1310" s="109"/>
      <c r="AL1310" s="109"/>
      <c r="AM1310" s="109"/>
      <c r="AN1310" s="109"/>
      <c r="AO1310" s="109"/>
      <c r="AP1310" s="109"/>
      <c r="AQ1310" s="109"/>
      <c r="AR1310" s="109"/>
      <c r="AS1310" s="109"/>
    </row>
    <row r="1311" spans="1:45" ht="12.6" customHeight="1" x14ac:dyDescent="0.3">
      <c r="A1311" s="78"/>
      <c r="B1311" s="78"/>
      <c r="C1311" s="78"/>
      <c r="D1311" s="78"/>
      <c r="E1311" s="78"/>
      <c r="F1311" s="78"/>
      <c r="G1311" s="16" t="s">
        <v>1317</v>
      </c>
      <c r="Z1311" s="109"/>
      <c r="AA1311" s="109"/>
      <c r="AB1311" s="109"/>
      <c r="AC1311" s="109"/>
      <c r="AD1311" s="109"/>
      <c r="AE1311" s="109"/>
      <c r="AF1311" s="109"/>
      <c r="AG1311" s="109"/>
      <c r="AH1311" s="109"/>
      <c r="AI1311" s="109"/>
      <c r="AJ1311" s="109"/>
      <c r="AK1311" s="109"/>
      <c r="AL1311" s="109"/>
      <c r="AM1311" s="109"/>
      <c r="AN1311" s="109"/>
      <c r="AO1311" s="109"/>
      <c r="AP1311" s="109"/>
      <c r="AQ1311" s="109"/>
      <c r="AR1311" s="109"/>
      <c r="AS1311" s="109"/>
    </row>
    <row r="1312" spans="1:45" ht="12.6" customHeight="1" x14ac:dyDescent="0.3">
      <c r="A1312" s="68" t="s">
        <v>1815</v>
      </c>
      <c r="B1312" s="97" t="str">
        <f>"  재 료 비  :   "&amp;TEXT(I1312,"#,##0"&amp;IF(I1312&lt;&gt;INT(I1312),".###",""))&amp;" / Q = "&amp;TEXT(C1312,"#,##0.0")&amp;""</f>
        <v xml:space="preserve">  재 료 비  :   27,910 / Q = 6,243.8</v>
      </c>
      <c r="C1312" s="99">
        <f>E1312+D1312+F1312</f>
        <v>6243.8</v>
      </c>
      <c r="D1312" s="99">
        <f>IF(H1312=0,0,ROUNDDOWN(J1312*H1312,1))</f>
        <v>0</v>
      </c>
      <c r="E1312" s="99">
        <f>IF(H1312=0,0,ROUNDDOWN(K1312*H1312,1))</f>
        <v>6243.8</v>
      </c>
      <c r="F1312" s="99">
        <f>IF(H1312=0,0,ROUNDDOWN(L1312*H1312,1))</f>
        <v>0</v>
      </c>
      <c r="G1312" s="16" t="s">
        <v>1814</v>
      </c>
      <c r="H1312" s="105">
        <f>AC1312</f>
        <v>0.2237136465324385</v>
      </c>
      <c r="I1312" s="106">
        <f>K1312+J1312+L1312</f>
        <v>27910</v>
      </c>
      <c r="K1312" s="39">
        <f>중기목록표!G11</f>
        <v>27910</v>
      </c>
      <c r="M1312" s="20" t="s">
        <v>1813</v>
      </c>
      <c r="N1312" s="20" t="s">
        <v>1721</v>
      </c>
      <c r="X1312" s="108" t="str">
        <f>중기목록표!B11&amp;" / "&amp;중기목록표!C11</f>
        <v xml:space="preserve">덤프트럭15ton(토사) / </v>
      </c>
      <c r="Y1312" s="19" t="str">
        <f ca="1">HYPERLINK("#"&amp;중기목록표!J2&amp;"!A"&amp;ROW(중기목록표!A11),"중기    8 →")</f>
        <v>중기    8 →</v>
      </c>
      <c r="Z1312" s="20" t="s">
        <v>1393</v>
      </c>
      <c r="AA1312" s="112" t="str">
        <f>AJ1308</f>
        <v>4.47</v>
      </c>
      <c r="AB1312" s="20" t="s">
        <v>1326</v>
      </c>
      <c r="AC1312" s="113">
        <f>1/AJ1308</f>
        <v>0.2237136465324385</v>
      </c>
      <c r="AD1312" s="109"/>
      <c r="AE1312" s="109"/>
      <c r="AF1312" s="109"/>
      <c r="AG1312" s="109"/>
      <c r="AH1312" s="109"/>
      <c r="AI1312" s="109"/>
      <c r="AJ1312" s="109"/>
      <c r="AK1312" s="109"/>
      <c r="AL1312" s="109"/>
      <c r="AM1312" s="109"/>
      <c r="AN1312" s="109"/>
      <c r="AO1312" s="109"/>
      <c r="AP1312" s="109"/>
      <c r="AQ1312" s="109"/>
      <c r="AR1312" s="109"/>
      <c r="AS1312" s="109"/>
    </row>
    <row r="1313" spans="1:45" ht="12.6" customHeight="1" x14ac:dyDescent="0.3">
      <c r="A1313" s="78"/>
      <c r="B1313" s="78"/>
      <c r="C1313" s="78"/>
      <c r="D1313" s="78"/>
      <c r="E1313" s="78"/>
      <c r="F1313" s="78"/>
      <c r="G1313" s="16" t="s">
        <v>1317</v>
      </c>
      <c r="Z1313" s="109"/>
      <c r="AA1313" s="109"/>
      <c r="AB1313" s="109"/>
      <c r="AC1313" s="109"/>
      <c r="AD1313" s="109"/>
      <c r="AE1313" s="109"/>
      <c r="AF1313" s="109"/>
      <c r="AG1313" s="109"/>
      <c r="AH1313" s="109"/>
      <c r="AI1313" s="109"/>
      <c r="AJ1313" s="109"/>
      <c r="AK1313" s="109"/>
      <c r="AL1313" s="109"/>
      <c r="AM1313" s="109"/>
      <c r="AN1313" s="109"/>
      <c r="AO1313" s="109"/>
      <c r="AP1313" s="109"/>
      <c r="AQ1313" s="109"/>
      <c r="AR1313" s="109"/>
      <c r="AS1313" s="109"/>
    </row>
    <row r="1314" spans="1:45" ht="12.6" customHeight="1" x14ac:dyDescent="0.3">
      <c r="A1314" s="68" t="s">
        <v>1817</v>
      </c>
      <c r="B1314" s="97" t="str">
        <f>"  경    비  :   "&amp;TEXT(I1314,"#,##0"&amp;IF(I1314&lt;&gt;INT(I1314),".###",""))&amp;" / Q = "&amp;TEXT(C1314,"#,##0.0")&amp;""</f>
        <v xml:space="preserve">  경    비  :   19,631 / Q = 4,391.7</v>
      </c>
      <c r="C1314" s="99">
        <f>E1314+D1314+F1314</f>
        <v>4391.7</v>
      </c>
      <c r="D1314" s="99">
        <f>IF(H1314=0,0,ROUNDDOWN(J1314*H1314,1))</f>
        <v>0</v>
      </c>
      <c r="E1314" s="99">
        <f>IF(H1314=0,0,ROUNDDOWN(K1314*H1314,1))</f>
        <v>0</v>
      </c>
      <c r="F1314" s="99">
        <f>IF(H1314=0,0,ROUNDDOWN(L1314*H1314,1))</f>
        <v>4391.7</v>
      </c>
      <c r="G1314" s="16" t="s">
        <v>1816</v>
      </c>
      <c r="H1314" s="105">
        <f>AC1314</f>
        <v>0.2237136465324385</v>
      </c>
      <c r="I1314" s="106">
        <f>K1314+J1314+L1314</f>
        <v>19631</v>
      </c>
      <c r="L1314" s="39">
        <f>중기목록표!H11</f>
        <v>19631</v>
      </c>
      <c r="M1314" s="20" t="s">
        <v>1813</v>
      </c>
      <c r="N1314" s="20" t="s">
        <v>1721</v>
      </c>
      <c r="X1314" s="108" t="str">
        <f>중기목록표!B11&amp;" / "&amp;중기목록표!C11</f>
        <v xml:space="preserve">덤프트럭15ton(토사) / </v>
      </c>
      <c r="Y1314" s="19" t="str">
        <f ca="1">HYPERLINK("#"&amp;중기목록표!J2&amp;"!A"&amp;ROW(중기목록표!A11),"중기    8 →")</f>
        <v>중기    8 →</v>
      </c>
      <c r="Z1314" s="20" t="s">
        <v>1393</v>
      </c>
      <c r="AA1314" s="112" t="str">
        <f>AJ1308</f>
        <v>4.47</v>
      </c>
      <c r="AB1314" s="20" t="s">
        <v>1326</v>
      </c>
      <c r="AC1314" s="113">
        <f>1/AJ1308</f>
        <v>0.2237136465324385</v>
      </c>
      <c r="AD1314" s="109"/>
      <c r="AE1314" s="109"/>
      <c r="AF1314" s="109"/>
      <c r="AG1314" s="109"/>
      <c r="AH1314" s="109"/>
      <c r="AI1314" s="109"/>
      <c r="AJ1314" s="109"/>
      <c r="AK1314" s="109"/>
      <c r="AL1314" s="109"/>
      <c r="AM1314" s="109"/>
      <c r="AN1314" s="109"/>
      <c r="AO1314" s="109"/>
      <c r="AP1314" s="109"/>
      <c r="AQ1314" s="109"/>
      <c r="AR1314" s="109"/>
      <c r="AS1314" s="109"/>
    </row>
    <row r="1315" spans="1:45" ht="12.6" customHeight="1" x14ac:dyDescent="0.3">
      <c r="A1315" s="78"/>
      <c r="B1315" s="78"/>
      <c r="C1315" s="78"/>
      <c r="D1315" s="78"/>
      <c r="E1315" s="78"/>
      <c r="F1315" s="78"/>
      <c r="G1315" s="16" t="s">
        <v>1317</v>
      </c>
      <c r="Z1315" s="109"/>
      <c r="AA1315" s="109"/>
      <c r="AB1315" s="109"/>
      <c r="AC1315" s="109"/>
      <c r="AD1315" s="109"/>
      <c r="AE1315" s="109"/>
      <c r="AF1315" s="109"/>
      <c r="AG1315" s="109"/>
      <c r="AH1315" s="109"/>
      <c r="AI1315" s="109"/>
      <c r="AJ1315" s="109"/>
      <c r="AK1315" s="109"/>
      <c r="AL1315" s="109"/>
      <c r="AM1315" s="109"/>
      <c r="AN1315" s="109"/>
      <c r="AO1315" s="109"/>
      <c r="AP1315" s="109"/>
      <c r="AQ1315" s="109"/>
      <c r="AR1315" s="109"/>
      <c r="AS1315" s="109"/>
    </row>
    <row r="1316" spans="1:45" ht="12.6" customHeight="1" x14ac:dyDescent="0.3">
      <c r="A1316" s="68" t="s">
        <v>1717</v>
      </c>
      <c r="B1316" s="97" t="str">
        <f>"                "&amp;TEXT(I1316,"#,##0"&amp;IF(I1316&lt;&gt;INT(I1316),".###",""))&amp;" / Q = "&amp;TEXT(C1316,"#,##0.0")&amp;""</f>
        <v xml:space="preserve">                414 / Q = 92.6</v>
      </c>
      <c r="C1316" s="99">
        <f>E1316+D1316+F1316</f>
        <v>92.6</v>
      </c>
      <c r="D1316" s="99">
        <f>IF(H1316=0,0,ROUNDDOWN(J1316*H1316,1))</f>
        <v>0</v>
      </c>
      <c r="E1316" s="99">
        <f>IF(H1316=0,0,ROUNDDOWN(K1316*H1316,1))</f>
        <v>0</v>
      </c>
      <c r="F1316" s="99">
        <f>IF(H1316=0,0,ROUNDDOWN(L1316*H1316,1))</f>
        <v>92.6</v>
      </c>
      <c r="G1316" s="16" t="s">
        <v>1716</v>
      </c>
      <c r="H1316" s="105">
        <f>AC1316</f>
        <v>0.2237136465324385</v>
      </c>
      <c r="I1316" s="106">
        <f>K1316+J1316+L1316</f>
        <v>414</v>
      </c>
      <c r="L1316" s="39">
        <f>중기목록표!H14</f>
        <v>414</v>
      </c>
      <c r="M1316" s="20" t="s">
        <v>1718</v>
      </c>
      <c r="N1316" s="20" t="s">
        <v>1721</v>
      </c>
      <c r="X1316" s="108" t="str">
        <f>중기목록표!B14&amp;" / "&amp;중기목록표!C14</f>
        <v>덤프자동덮개 / 15톤</v>
      </c>
      <c r="Y1316" s="19" t="str">
        <f ca="1">HYPERLINK("#"&amp;중기목록표!J2&amp;"!A"&amp;ROW(중기목록표!A14),"중기   11 →")</f>
        <v>중기   11 →</v>
      </c>
      <c r="Z1316" s="20" t="s">
        <v>1393</v>
      </c>
      <c r="AA1316" s="112" t="str">
        <f>AJ1308</f>
        <v>4.47</v>
      </c>
      <c r="AB1316" s="20" t="s">
        <v>1326</v>
      </c>
      <c r="AC1316" s="113">
        <f>1/AJ1308</f>
        <v>0.2237136465324385</v>
      </c>
      <c r="AD1316" s="109"/>
      <c r="AE1316" s="109"/>
      <c r="AF1316" s="109"/>
      <c r="AG1316" s="109"/>
      <c r="AH1316" s="109"/>
      <c r="AI1316" s="109"/>
      <c r="AJ1316" s="109"/>
      <c r="AK1316" s="109"/>
      <c r="AL1316" s="109"/>
      <c r="AM1316" s="109"/>
      <c r="AN1316" s="109"/>
      <c r="AO1316" s="109"/>
      <c r="AP1316" s="109"/>
      <c r="AQ1316" s="109"/>
      <c r="AR1316" s="109"/>
      <c r="AS1316" s="109"/>
    </row>
    <row r="1317" spans="1:45" ht="12.6" customHeight="1" x14ac:dyDescent="0.3">
      <c r="A1317" s="78"/>
      <c r="B1317" s="78"/>
      <c r="C1317" s="78"/>
      <c r="D1317" s="78"/>
      <c r="E1317" s="78"/>
      <c r="F1317" s="78"/>
      <c r="G1317" s="16" t="s">
        <v>1317</v>
      </c>
      <c r="Z1317" s="109"/>
      <c r="AA1317" s="109"/>
      <c r="AB1317" s="109"/>
      <c r="AC1317" s="109"/>
      <c r="AD1317" s="109"/>
      <c r="AE1317" s="109"/>
      <c r="AF1317" s="109"/>
      <c r="AG1317" s="109"/>
      <c r="AH1317" s="109"/>
      <c r="AI1317" s="109"/>
      <c r="AJ1317" s="109"/>
      <c r="AK1317" s="109"/>
      <c r="AL1317" s="109"/>
      <c r="AM1317" s="109"/>
      <c r="AN1317" s="109"/>
      <c r="AO1317" s="109"/>
      <c r="AP1317" s="109"/>
      <c r="AQ1317" s="109"/>
      <c r="AR1317" s="109"/>
      <c r="AS1317" s="109"/>
    </row>
    <row r="1318" spans="1:45" ht="12.6" customHeight="1" x14ac:dyDescent="0.3">
      <c r="A1318" s="68"/>
      <c r="B1318" s="77" t="s">
        <v>1720</v>
      </c>
      <c r="C1318" s="103">
        <f>E1318+D1318+F1318</f>
        <v>23188.899999999998</v>
      </c>
      <c r="D1318" s="103">
        <f>SUMIF(N1267:N1317,M1318,D1267:D1317)</f>
        <v>12460.8</v>
      </c>
      <c r="E1318" s="103">
        <f>SUMIF(N1267:N1317,M1318,E1267:E1317)</f>
        <v>6243.8</v>
      </c>
      <c r="F1318" s="103">
        <f>SUMIF(N1267:N1317,M1318,F1267:F1317)</f>
        <v>4484.3</v>
      </c>
      <c r="G1318" s="16" t="s">
        <v>1719</v>
      </c>
      <c r="M1318" s="20" t="s">
        <v>1721</v>
      </c>
      <c r="Z1318" s="109"/>
      <c r="AA1318" s="109"/>
      <c r="AB1318" s="109"/>
      <c r="AC1318" s="109"/>
      <c r="AD1318" s="109"/>
      <c r="AE1318" s="109"/>
      <c r="AF1318" s="109"/>
      <c r="AG1318" s="109"/>
      <c r="AH1318" s="109"/>
      <c r="AI1318" s="109"/>
      <c r="AJ1318" s="109"/>
      <c r="AK1318" s="109"/>
      <c r="AL1318" s="109"/>
      <c r="AM1318" s="109"/>
      <c r="AN1318" s="109"/>
      <c r="AO1318" s="109"/>
      <c r="AP1318" s="109"/>
      <c r="AQ1318" s="109"/>
      <c r="AR1318" s="109"/>
      <c r="AS1318" s="109"/>
    </row>
    <row r="1319" spans="1:45" ht="12.6" customHeight="1" x14ac:dyDescent="0.3">
      <c r="A1319" s="78"/>
      <c r="B1319" s="78"/>
      <c r="C1319" s="104"/>
      <c r="D1319" s="104"/>
      <c r="E1319" s="104"/>
      <c r="F1319" s="104"/>
      <c r="G1319" s="16" t="s">
        <v>1317</v>
      </c>
      <c r="Z1319" s="109"/>
      <c r="AA1319" s="109"/>
      <c r="AB1319" s="109"/>
      <c r="AC1319" s="109"/>
      <c r="AD1319" s="109"/>
      <c r="AE1319" s="109"/>
      <c r="AF1319" s="109"/>
      <c r="AG1319" s="109"/>
      <c r="AH1319" s="109"/>
      <c r="AI1319" s="109"/>
      <c r="AJ1319" s="109"/>
      <c r="AK1319" s="109"/>
      <c r="AL1319" s="109"/>
      <c r="AM1319" s="109"/>
      <c r="AN1319" s="109"/>
      <c r="AO1319" s="109"/>
      <c r="AP1319" s="109"/>
      <c r="AQ1319" s="109"/>
      <c r="AR1319" s="109"/>
      <c r="AS1319" s="109"/>
    </row>
    <row r="1320" spans="1:45" ht="12.6" customHeight="1" x14ac:dyDescent="0.3">
      <c r="A1320" s="68"/>
      <c r="B1320" s="77" t="s">
        <v>1819</v>
      </c>
      <c r="C1320" s="78"/>
      <c r="D1320" s="78"/>
      <c r="E1320" s="78"/>
      <c r="F1320" s="78"/>
      <c r="G1320" s="16" t="s">
        <v>1818</v>
      </c>
      <c r="Z1320" s="109"/>
      <c r="AA1320" s="109"/>
      <c r="AB1320" s="109"/>
      <c r="AC1320" s="109"/>
      <c r="AD1320" s="109"/>
      <c r="AE1320" s="109"/>
      <c r="AF1320" s="109"/>
      <c r="AG1320" s="109"/>
      <c r="AH1320" s="109"/>
      <c r="AI1320" s="109"/>
      <c r="AJ1320" s="109"/>
      <c r="AK1320" s="109"/>
      <c r="AL1320" s="109"/>
      <c r="AM1320" s="109"/>
      <c r="AN1320" s="109"/>
      <c r="AO1320" s="109"/>
      <c r="AP1320" s="109"/>
      <c r="AQ1320" s="109"/>
      <c r="AR1320" s="109"/>
      <c r="AS1320" s="109"/>
    </row>
    <row r="1321" spans="1:45" ht="12.6" customHeight="1" x14ac:dyDescent="0.3">
      <c r="A1321" s="78"/>
      <c r="B1321" s="78"/>
      <c r="C1321" s="78"/>
      <c r="D1321" s="78"/>
      <c r="E1321" s="78"/>
      <c r="F1321" s="78"/>
      <c r="G1321" s="16" t="s">
        <v>1317</v>
      </c>
      <c r="Z1321" s="109"/>
      <c r="AA1321" s="109"/>
      <c r="AB1321" s="109"/>
      <c r="AC1321" s="109"/>
      <c r="AD1321" s="109"/>
      <c r="AE1321" s="109"/>
      <c r="AF1321" s="109"/>
      <c r="AG1321" s="109"/>
      <c r="AH1321" s="109"/>
      <c r="AI1321" s="109"/>
      <c r="AJ1321" s="109"/>
      <c r="AK1321" s="109"/>
      <c r="AL1321" s="109"/>
      <c r="AM1321" s="109"/>
      <c r="AN1321" s="109"/>
      <c r="AO1321" s="109"/>
      <c r="AP1321" s="109"/>
      <c r="AQ1321" s="109"/>
      <c r="AR1321" s="109"/>
      <c r="AS1321" s="109"/>
    </row>
    <row r="1322" spans="1:45" ht="12.6" customHeight="1" x14ac:dyDescent="0.3">
      <c r="A1322" s="68"/>
      <c r="B1322" s="97" t="str">
        <f>" f (체적환산계수) ="&amp;Z1322&amp;"/"&amp;AB1322&amp;" , E (작업효율) ="&amp;AF1322&amp;" , k (버킷계수) ="&amp;AJ1322&amp;""</f>
        <v xml:space="preserve"> f (체적환산계수) =1/1.15 , E (작업효율) =0.9 , k (버킷계수) =1.2</v>
      </c>
      <c r="C1322" s="78"/>
      <c r="D1322" s="78"/>
      <c r="E1322" s="78"/>
      <c r="F1322" s="78"/>
      <c r="G1322" s="16" t="s">
        <v>1801</v>
      </c>
      <c r="Z1322" s="111">
        <v>1</v>
      </c>
      <c r="AA1322" s="20" t="s">
        <v>1387</v>
      </c>
      <c r="AB1322" s="110">
        <v>1.1499999999999999</v>
      </c>
      <c r="AC1322" s="20" t="s">
        <v>1326</v>
      </c>
      <c r="AD1322" s="112">
        <f>ROUND(Z1322/AB1322,13)</f>
        <v>0.86956521739129999</v>
      </c>
      <c r="AE1322" s="20" t="s">
        <v>1385</v>
      </c>
      <c r="AF1322" s="110">
        <v>0.9</v>
      </c>
      <c r="AG1322" s="20" t="s">
        <v>1326</v>
      </c>
      <c r="AH1322" s="112">
        <f>AF1322</f>
        <v>0.9</v>
      </c>
      <c r="AI1322" s="20" t="s">
        <v>1385</v>
      </c>
      <c r="AJ1322" s="110">
        <v>1.2</v>
      </c>
      <c r="AK1322" s="20" t="s">
        <v>1326</v>
      </c>
      <c r="AL1322" s="112">
        <f>AJ1322</f>
        <v>1.2</v>
      </c>
      <c r="AM1322" s="20" t="s">
        <v>1385</v>
      </c>
      <c r="AN1322" s="109"/>
      <c r="AO1322" s="109"/>
      <c r="AP1322" s="109"/>
      <c r="AQ1322" s="109"/>
      <c r="AR1322" s="109"/>
      <c r="AS1322" s="109"/>
    </row>
    <row r="1323" spans="1:45" ht="12.6" customHeight="1" x14ac:dyDescent="0.3">
      <c r="A1323" s="78"/>
      <c r="B1323" s="78"/>
      <c r="C1323" s="78"/>
      <c r="D1323" s="78"/>
      <c r="E1323" s="78"/>
      <c r="F1323" s="78"/>
      <c r="G1323" s="16" t="s">
        <v>1317</v>
      </c>
      <c r="Z1323" s="109"/>
      <c r="AA1323" s="109"/>
      <c r="AB1323" s="109"/>
      <c r="AC1323" s="109"/>
      <c r="AD1323" s="109"/>
      <c r="AE1323" s="109"/>
      <c r="AF1323" s="109"/>
      <c r="AG1323" s="109"/>
      <c r="AH1323" s="109"/>
      <c r="AI1323" s="109"/>
      <c r="AJ1323" s="109"/>
      <c r="AK1323" s="109"/>
      <c r="AL1323" s="109"/>
      <c r="AM1323" s="109"/>
      <c r="AN1323" s="109"/>
      <c r="AO1323" s="109"/>
      <c r="AP1323" s="109"/>
      <c r="AQ1323" s="109"/>
      <c r="AR1323" s="109"/>
      <c r="AS1323" s="109"/>
    </row>
    <row r="1324" spans="1:45" ht="12.6" customHeight="1" x14ac:dyDescent="0.3">
      <c r="A1324" s="68"/>
      <c r="B1324" s="97" t="str">
        <f>" V1="&amp;Z1324&amp;" , V2="&amp;AD1324&amp;" , V3="&amp;AH1324&amp;" , V4="&amp;AL1324&amp;""</f>
        <v xml:space="preserve"> V1=30 , V2=35 , V3=10 , V4=15</v>
      </c>
      <c r="C1324" s="78"/>
      <c r="D1324" s="78"/>
      <c r="E1324" s="78"/>
      <c r="F1324" s="78"/>
      <c r="G1324" s="16" t="s">
        <v>1696</v>
      </c>
      <c r="Z1324" s="111">
        <v>30</v>
      </c>
      <c r="AA1324" s="20" t="s">
        <v>1326</v>
      </c>
      <c r="AB1324" s="112">
        <f>Z1324</f>
        <v>30</v>
      </c>
      <c r="AC1324" s="20" t="s">
        <v>1385</v>
      </c>
      <c r="AD1324" s="111">
        <v>35</v>
      </c>
      <c r="AE1324" s="20" t="s">
        <v>1326</v>
      </c>
      <c r="AF1324" s="112">
        <f>AD1324</f>
        <v>35</v>
      </c>
      <c r="AG1324" s="20" t="s">
        <v>1385</v>
      </c>
      <c r="AH1324" s="111">
        <v>10</v>
      </c>
      <c r="AI1324" s="20" t="s">
        <v>1326</v>
      </c>
      <c r="AJ1324" s="112">
        <f>AH1324</f>
        <v>10</v>
      </c>
      <c r="AK1324" s="20" t="s">
        <v>1385</v>
      </c>
      <c r="AL1324" s="111">
        <v>15</v>
      </c>
      <c r="AM1324" s="20" t="s">
        <v>1326</v>
      </c>
      <c r="AN1324" s="112">
        <f>AL1324</f>
        <v>15</v>
      </c>
      <c r="AO1324" s="20" t="s">
        <v>1385</v>
      </c>
      <c r="AP1324" s="109"/>
      <c r="AQ1324" s="109"/>
      <c r="AR1324" s="109"/>
      <c r="AS1324" s="109"/>
    </row>
    <row r="1325" spans="1:45" ht="12.6" customHeight="1" x14ac:dyDescent="0.3">
      <c r="A1325" s="78"/>
      <c r="B1325" s="78"/>
      <c r="C1325" s="78"/>
      <c r="D1325" s="78"/>
      <c r="E1325" s="78"/>
      <c r="F1325" s="78"/>
      <c r="G1325" s="16" t="s">
        <v>1317</v>
      </c>
      <c r="Z1325" s="109"/>
      <c r="AA1325" s="109"/>
      <c r="AB1325" s="109"/>
      <c r="AC1325" s="109"/>
      <c r="AD1325" s="109"/>
      <c r="AE1325" s="109"/>
      <c r="AF1325" s="109"/>
      <c r="AG1325" s="109"/>
      <c r="AH1325" s="109"/>
      <c r="AI1325" s="109"/>
      <c r="AJ1325" s="109"/>
      <c r="AK1325" s="109"/>
      <c r="AL1325" s="109"/>
      <c r="AM1325" s="109"/>
      <c r="AN1325" s="109"/>
      <c r="AO1325" s="109"/>
      <c r="AP1325" s="109"/>
      <c r="AQ1325" s="109"/>
      <c r="AR1325" s="109"/>
      <c r="AS1325" s="109"/>
    </row>
    <row r="1326" spans="1:45" ht="12.6" customHeight="1" x14ac:dyDescent="0.3">
      <c r="A1326" s="68"/>
      <c r="B1326" s="97" t="str">
        <f>" q1 (흐트러진상태의 덤프트럭 1회 적재량)  = ("&amp;AA1326&amp;"/"&amp;AC1326&amp;") * "&amp;AE1326&amp;" = "&amp;AG1326&amp;""</f>
        <v xml:space="preserve"> q1 (흐트러진상태의 덤프트럭 1회 적재량)  = (24/1.6) * 1.15 = 17.25</v>
      </c>
      <c r="C1326" s="78"/>
      <c r="D1326" s="78"/>
      <c r="E1326" s="78"/>
      <c r="F1326" s="78"/>
      <c r="G1326" s="16" t="s">
        <v>1820</v>
      </c>
      <c r="Z1326" s="20" t="s">
        <v>1526</v>
      </c>
      <c r="AA1326" s="111">
        <v>24</v>
      </c>
      <c r="AB1326" s="20" t="s">
        <v>1387</v>
      </c>
      <c r="AC1326" s="110">
        <v>1.6</v>
      </c>
      <c r="AD1326" s="20" t="s">
        <v>1527</v>
      </c>
      <c r="AE1326" s="110">
        <v>1.1499999999999999</v>
      </c>
      <c r="AF1326" s="20" t="s">
        <v>1326</v>
      </c>
      <c r="AG1326" s="112" t="str">
        <f>TEXT(ROUND((AA1326/AC1326)*AE1326,2),"0.00")</f>
        <v>17.25</v>
      </c>
      <c r="AH1326" s="109"/>
      <c r="AI1326" s="109"/>
      <c r="AJ1326" s="109"/>
      <c r="AK1326" s="109"/>
      <c r="AL1326" s="109"/>
      <c r="AM1326" s="109"/>
      <c r="AN1326" s="109"/>
      <c r="AO1326" s="109"/>
      <c r="AP1326" s="109"/>
      <c r="AQ1326" s="109"/>
      <c r="AR1326" s="109"/>
      <c r="AS1326" s="109"/>
    </row>
    <row r="1327" spans="1:45" ht="12.6" customHeight="1" x14ac:dyDescent="0.3">
      <c r="A1327" s="78"/>
      <c r="B1327" s="78"/>
      <c r="C1327" s="78"/>
      <c r="D1327" s="78"/>
      <c r="E1327" s="78"/>
      <c r="F1327" s="78"/>
      <c r="G1327" s="16" t="s">
        <v>1317</v>
      </c>
      <c r="Z1327" s="109"/>
      <c r="AA1327" s="109"/>
      <c r="AB1327" s="109"/>
      <c r="AC1327" s="109"/>
      <c r="AD1327" s="109"/>
      <c r="AE1327" s="109"/>
      <c r="AF1327" s="109"/>
      <c r="AG1327" s="109"/>
      <c r="AH1327" s="109"/>
      <c r="AI1327" s="109"/>
      <c r="AJ1327" s="109"/>
      <c r="AK1327" s="109"/>
      <c r="AL1327" s="109"/>
      <c r="AM1327" s="109"/>
      <c r="AN1327" s="109"/>
      <c r="AO1327" s="109"/>
      <c r="AP1327" s="109"/>
      <c r="AQ1327" s="109"/>
      <c r="AR1327" s="109"/>
      <c r="AS1327" s="109"/>
    </row>
    <row r="1328" spans="1:45" ht="12.6" customHeight="1" x14ac:dyDescent="0.3">
      <c r="A1328" s="68"/>
      <c r="B1328" s="77" t="s">
        <v>1528</v>
      </c>
      <c r="C1328" s="78"/>
      <c r="D1328" s="78"/>
      <c r="E1328" s="78"/>
      <c r="F1328" s="78"/>
      <c r="G1328" s="16" t="s">
        <v>1803</v>
      </c>
      <c r="Z1328" s="109"/>
      <c r="AA1328" s="109"/>
      <c r="AB1328" s="109"/>
      <c r="AC1328" s="109"/>
      <c r="AD1328" s="109"/>
      <c r="AE1328" s="109"/>
      <c r="AF1328" s="109"/>
      <c r="AG1328" s="109"/>
      <c r="AH1328" s="109"/>
      <c r="AI1328" s="109"/>
      <c r="AJ1328" s="109"/>
      <c r="AK1328" s="109"/>
      <c r="AL1328" s="109"/>
      <c r="AM1328" s="109"/>
      <c r="AN1328" s="109"/>
      <c r="AO1328" s="109"/>
      <c r="AP1328" s="109"/>
      <c r="AQ1328" s="109"/>
      <c r="AR1328" s="109"/>
      <c r="AS1328" s="109"/>
    </row>
    <row r="1329" spans="1:45" ht="12.6" customHeight="1" x14ac:dyDescent="0.3">
      <c r="A1329" s="78"/>
      <c r="B1329" s="78"/>
      <c r="C1329" s="78"/>
      <c r="D1329" s="78"/>
      <c r="E1329" s="78"/>
      <c r="F1329" s="78"/>
      <c r="G1329" s="16" t="s">
        <v>1317</v>
      </c>
      <c r="Z1329" s="109"/>
      <c r="AA1329" s="109"/>
      <c r="AB1329" s="109"/>
      <c r="AC1329" s="109"/>
      <c r="AD1329" s="109"/>
      <c r="AE1329" s="109"/>
      <c r="AF1329" s="109"/>
      <c r="AG1329" s="109"/>
      <c r="AH1329" s="109"/>
      <c r="AI1329" s="109"/>
      <c r="AJ1329" s="109"/>
      <c r="AK1329" s="109"/>
      <c r="AL1329" s="109"/>
      <c r="AM1329" s="109"/>
      <c r="AN1329" s="109"/>
      <c r="AO1329" s="109"/>
      <c r="AP1329" s="109"/>
      <c r="AQ1329" s="109"/>
      <c r="AR1329" s="109"/>
      <c r="AS1329" s="109"/>
    </row>
    <row r="1330" spans="1:45" ht="12.6" customHeight="1" x14ac:dyDescent="0.3">
      <c r="A1330" s="68"/>
      <c r="B1330" s="97" t="str">
        <f>" n =q1 / ("&amp;AB1330&amp;" * k) = "&amp;AG1330&amp;"  회 "</f>
        <v xml:space="preserve"> n =q1 / (1.34 * k) = 10.73  회 </v>
      </c>
      <c r="C1330" s="78"/>
      <c r="D1330" s="78"/>
      <c r="E1330" s="78"/>
      <c r="F1330" s="78"/>
      <c r="G1330" s="16" t="s">
        <v>1804</v>
      </c>
      <c r="Z1330" s="112" t="str">
        <f>AG1326</f>
        <v>17.25</v>
      </c>
      <c r="AA1330" s="20" t="s">
        <v>1531</v>
      </c>
      <c r="AB1330" s="110">
        <v>1.34</v>
      </c>
      <c r="AC1330" s="20" t="s">
        <v>1390</v>
      </c>
      <c r="AD1330" s="112">
        <f>AL1322</f>
        <v>1.2</v>
      </c>
      <c r="AE1330" s="20" t="s">
        <v>1532</v>
      </c>
      <c r="AF1330" s="20" t="s">
        <v>1326</v>
      </c>
      <c r="AG1330" s="112" t="str">
        <f>TEXT(ROUND(AG1326/(AB1330*AL1322),2),"0.00")</f>
        <v>10.73</v>
      </c>
      <c r="AH1330" s="109"/>
      <c r="AI1330" s="109"/>
      <c r="AJ1330" s="109"/>
      <c r="AK1330" s="109"/>
      <c r="AL1330" s="109"/>
      <c r="AM1330" s="109"/>
      <c r="AN1330" s="109"/>
      <c r="AO1330" s="109"/>
      <c r="AP1330" s="109"/>
      <c r="AQ1330" s="109"/>
      <c r="AR1330" s="109"/>
      <c r="AS1330" s="109"/>
    </row>
    <row r="1331" spans="1:45" ht="12.6" customHeight="1" x14ac:dyDescent="0.3">
      <c r="A1331" s="78"/>
      <c r="B1331" s="78"/>
      <c r="C1331" s="78"/>
      <c r="D1331" s="78"/>
      <c r="E1331" s="78"/>
      <c r="F1331" s="78"/>
      <c r="G1331" s="16" t="s">
        <v>1317</v>
      </c>
      <c r="Z1331" s="109"/>
      <c r="AA1331" s="109"/>
      <c r="AB1331" s="109"/>
      <c r="AC1331" s="109"/>
      <c r="AD1331" s="109"/>
      <c r="AE1331" s="109"/>
      <c r="AF1331" s="109"/>
      <c r="AG1331" s="109"/>
      <c r="AH1331" s="109"/>
      <c r="AI1331" s="109"/>
      <c r="AJ1331" s="109"/>
      <c r="AK1331" s="109"/>
      <c r="AL1331" s="109"/>
      <c r="AM1331" s="109"/>
      <c r="AN1331" s="109"/>
      <c r="AO1331" s="109"/>
      <c r="AP1331" s="109"/>
      <c r="AQ1331" s="109"/>
      <c r="AR1331" s="109"/>
      <c r="AS1331" s="109"/>
    </row>
    <row r="1332" spans="1:45" ht="12.6" customHeight="1" x14ac:dyDescent="0.3">
      <c r="A1332" s="68"/>
      <c r="B1332" s="97" t="str">
        <f>" Cms (적재기계의 1회사이클시간(초)) ="&amp;Z1332&amp;"*"&amp;AB1332&amp;"+"&amp;AD1332&amp;"+"&amp;AF1332&amp;"= "&amp;AH1332&amp;" 초 "</f>
        <v xml:space="preserve"> Cms (적재기계의 1회사이클시간(초)) =1.8*8+6+14= 34.40 초 </v>
      </c>
      <c r="C1332" s="78"/>
      <c r="D1332" s="78"/>
      <c r="E1332" s="78"/>
      <c r="F1332" s="78"/>
      <c r="G1332" s="16" t="s">
        <v>1805</v>
      </c>
      <c r="Z1332" s="110">
        <v>1.8</v>
      </c>
      <c r="AA1332" s="20" t="s">
        <v>1390</v>
      </c>
      <c r="AB1332" s="111">
        <v>8</v>
      </c>
      <c r="AC1332" s="20" t="s">
        <v>1535</v>
      </c>
      <c r="AD1332" s="111">
        <v>6</v>
      </c>
      <c r="AE1332" s="20" t="s">
        <v>1535</v>
      </c>
      <c r="AF1332" s="111">
        <v>14</v>
      </c>
      <c r="AG1332" s="20" t="s">
        <v>1326</v>
      </c>
      <c r="AH1332" s="112" t="str">
        <f>TEXT(ROUND(Z1332*AB1332+AD1332+AF1332,2),"0.00")</f>
        <v>34.40</v>
      </c>
      <c r="AI1332" s="109"/>
      <c r="AJ1332" s="109"/>
      <c r="AK1332" s="109"/>
      <c r="AL1332" s="109"/>
      <c r="AM1332" s="109"/>
      <c r="AN1332" s="109"/>
      <c r="AO1332" s="109"/>
      <c r="AP1332" s="109"/>
      <c r="AQ1332" s="109"/>
      <c r="AR1332" s="109"/>
      <c r="AS1332" s="109"/>
    </row>
    <row r="1333" spans="1:45" ht="12.6" customHeight="1" x14ac:dyDescent="0.3">
      <c r="A1333" s="78"/>
      <c r="B1333" s="78"/>
      <c r="C1333" s="78"/>
      <c r="D1333" s="78"/>
      <c r="E1333" s="78"/>
      <c r="F1333" s="78"/>
      <c r="G1333" s="16" t="s">
        <v>1317</v>
      </c>
      <c r="Z1333" s="109"/>
      <c r="AA1333" s="109"/>
      <c r="AB1333" s="109"/>
      <c r="AC1333" s="109"/>
      <c r="AD1333" s="109"/>
      <c r="AE1333" s="109"/>
      <c r="AF1333" s="109"/>
      <c r="AG1333" s="109"/>
      <c r="AH1333" s="109"/>
      <c r="AI1333" s="109"/>
      <c r="AJ1333" s="109"/>
      <c r="AK1333" s="109"/>
      <c r="AL1333" s="109"/>
      <c r="AM1333" s="109"/>
      <c r="AN1333" s="109"/>
      <c r="AO1333" s="109"/>
      <c r="AP1333" s="109"/>
      <c r="AQ1333" s="109"/>
      <c r="AR1333" s="109"/>
      <c r="AS1333" s="109"/>
    </row>
    <row r="1334" spans="1:45" ht="12.6" customHeight="1" x14ac:dyDescent="0.3">
      <c r="A1334" s="68"/>
      <c r="B1334" s="97" t="str">
        <f>" t1 (적재시간) =Cms * n / ("&amp;AD1334&amp;" * "&amp;AF1334&amp;") = "&amp;AI1334&amp;" 분 "</f>
        <v xml:space="preserve"> t1 (적재시간) =Cms * n / (60 * 0.75) = 8.20 분 </v>
      </c>
      <c r="C1334" s="78"/>
      <c r="D1334" s="78"/>
      <c r="E1334" s="78"/>
      <c r="F1334" s="78"/>
      <c r="G1334" s="16" t="s">
        <v>1806</v>
      </c>
      <c r="Z1334" s="112" t="str">
        <f>AH1332</f>
        <v>34.40</v>
      </c>
      <c r="AA1334" s="20" t="s">
        <v>1390</v>
      </c>
      <c r="AB1334" s="112" t="str">
        <f>AG1330</f>
        <v>10.73</v>
      </c>
      <c r="AC1334" s="20" t="s">
        <v>1531</v>
      </c>
      <c r="AD1334" s="111">
        <v>60</v>
      </c>
      <c r="AE1334" s="20" t="s">
        <v>1390</v>
      </c>
      <c r="AF1334" s="110">
        <v>0.75</v>
      </c>
      <c r="AG1334" s="20" t="s">
        <v>1532</v>
      </c>
      <c r="AH1334" s="20" t="s">
        <v>1326</v>
      </c>
      <c r="AI1334" s="112" t="str">
        <f>TEXT(ROUND(AH1332*AG1330/(AD1334*AF1334),2),"0.00")</f>
        <v>8.20</v>
      </c>
      <c r="AJ1334" s="109"/>
      <c r="AK1334" s="109"/>
      <c r="AL1334" s="109"/>
      <c r="AM1334" s="109"/>
      <c r="AN1334" s="109"/>
      <c r="AO1334" s="109"/>
      <c r="AP1334" s="109"/>
      <c r="AQ1334" s="109"/>
      <c r="AR1334" s="109"/>
      <c r="AS1334" s="109"/>
    </row>
    <row r="1335" spans="1:45" ht="12.6" customHeight="1" x14ac:dyDescent="0.3">
      <c r="A1335" s="78"/>
      <c r="B1335" s="78"/>
      <c r="C1335" s="78"/>
      <c r="D1335" s="78"/>
      <c r="E1335" s="78"/>
      <c r="F1335" s="78"/>
      <c r="G1335" s="16" t="s">
        <v>1317</v>
      </c>
      <c r="Z1335" s="109"/>
      <c r="AA1335" s="109"/>
      <c r="AB1335" s="109"/>
      <c r="AC1335" s="109"/>
      <c r="AD1335" s="109"/>
      <c r="AE1335" s="109"/>
      <c r="AF1335" s="109"/>
      <c r="AG1335" s="109"/>
      <c r="AH1335" s="109"/>
      <c r="AI1335" s="109"/>
      <c r="AJ1335" s="109"/>
      <c r="AK1335" s="109"/>
      <c r="AL1335" s="109"/>
      <c r="AM1335" s="109"/>
      <c r="AN1335" s="109"/>
      <c r="AO1335" s="109"/>
      <c r="AP1335" s="109"/>
      <c r="AQ1335" s="109"/>
      <c r="AR1335" s="109"/>
      <c r="AS1335" s="109"/>
    </row>
    <row r="1336" spans="1:45" ht="12.6" customHeight="1" x14ac:dyDescent="0.3">
      <c r="A1336" s="68"/>
      <c r="B1336" s="97" t="str">
        <f>" t2 (왕복시간) =(L1/V1+L1/V2+L2/V3+L2/V4 ) * "&amp;AQ1336&amp;" = "&amp;AS1336&amp;" 분 "</f>
        <v xml:space="preserve"> t2 (왕복시간) =(L1/V1+L1/V2+L2/V3+L2/V4 ) * 60 = 104.91 분 </v>
      </c>
      <c r="C1336" s="78"/>
      <c r="D1336" s="78"/>
      <c r="E1336" s="78"/>
      <c r="F1336" s="78"/>
      <c r="G1336" s="16" t="s">
        <v>1702</v>
      </c>
      <c r="Z1336" s="20" t="s">
        <v>1526</v>
      </c>
      <c r="AA1336" s="112">
        <f>AB1269</f>
        <v>9.4</v>
      </c>
      <c r="AB1336" s="20" t="s">
        <v>1387</v>
      </c>
      <c r="AC1336" s="112">
        <f>AB1324</f>
        <v>30</v>
      </c>
      <c r="AD1336" s="20" t="s">
        <v>1535</v>
      </c>
      <c r="AE1336" s="112">
        <f>AB1269</f>
        <v>9.4</v>
      </c>
      <c r="AF1336" s="20" t="s">
        <v>1387</v>
      </c>
      <c r="AG1336" s="112">
        <f>AF1324</f>
        <v>35</v>
      </c>
      <c r="AH1336" s="20" t="s">
        <v>1535</v>
      </c>
      <c r="AI1336" s="112">
        <f>AB1271</f>
        <v>7</v>
      </c>
      <c r="AJ1336" s="20" t="s">
        <v>1387</v>
      </c>
      <c r="AK1336" s="112">
        <f>AJ1324</f>
        <v>10</v>
      </c>
      <c r="AL1336" s="20" t="s">
        <v>1535</v>
      </c>
      <c r="AM1336" s="112">
        <f>AB1271</f>
        <v>7</v>
      </c>
      <c r="AN1336" s="20" t="s">
        <v>1387</v>
      </c>
      <c r="AO1336" s="112">
        <f>AN1324</f>
        <v>15</v>
      </c>
      <c r="AP1336" s="20" t="s">
        <v>1527</v>
      </c>
      <c r="AQ1336" s="111">
        <v>60</v>
      </c>
      <c r="AR1336" s="20" t="s">
        <v>1326</v>
      </c>
      <c r="AS1336" s="112" t="str">
        <f>TEXT(ROUND((AB1269/AB1324+AB1269/AF1324+AB1271/AJ1324+AB1271/AN1324)*AQ1336,2),"0.00")</f>
        <v>104.91</v>
      </c>
    </row>
    <row r="1337" spans="1:45" ht="12.6" customHeight="1" x14ac:dyDescent="0.3">
      <c r="A1337" s="78"/>
      <c r="B1337" s="78"/>
      <c r="C1337" s="78"/>
      <c r="D1337" s="78"/>
      <c r="E1337" s="78"/>
      <c r="F1337" s="78"/>
      <c r="G1337" s="16" t="s">
        <v>1317</v>
      </c>
      <c r="Z1337" s="109"/>
      <c r="AA1337" s="109"/>
      <c r="AB1337" s="109"/>
      <c r="AC1337" s="109"/>
      <c r="AD1337" s="109"/>
      <c r="AE1337" s="109"/>
      <c r="AF1337" s="109"/>
      <c r="AG1337" s="109"/>
      <c r="AH1337" s="109"/>
      <c r="AI1337" s="109"/>
      <c r="AJ1337" s="109"/>
      <c r="AK1337" s="109"/>
      <c r="AL1337" s="109"/>
      <c r="AM1337" s="109"/>
      <c r="AN1337" s="109"/>
      <c r="AO1337" s="109"/>
      <c r="AP1337" s="109"/>
      <c r="AQ1337" s="109"/>
      <c r="AR1337" s="109"/>
      <c r="AS1337" s="109"/>
    </row>
    <row r="1338" spans="1:45" ht="12.6" customHeight="1" x14ac:dyDescent="0.3">
      <c r="A1338" s="68"/>
      <c r="B1338" s="97" t="str">
        <f>" t3 (적하시간) ="&amp;Z1338&amp;" 분 "</f>
        <v xml:space="preserve"> t3 (적하시간) =0.8 분 </v>
      </c>
      <c r="C1338" s="78"/>
      <c r="D1338" s="78"/>
      <c r="E1338" s="78"/>
      <c r="F1338" s="78"/>
      <c r="G1338" s="16" t="s">
        <v>1807</v>
      </c>
      <c r="Z1338" s="110">
        <v>0.8</v>
      </c>
      <c r="AA1338" s="20" t="s">
        <v>1326</v>
      </c>
      <c r="AB1338" s="112">
        <f>Z1338</f>
        <v>0.8</v>
      </c>
      <c r="AC1338" s="109"/>
      <c r="AD1338" s="109"/>
      <c r="AE1338" s="109"/>
      <c r="AF1338" s="109"/>
      <c r="AG1338" s="109"/>
      <c r="AH1338" s="109"/>
      <c r="AI1338" s="109"/>
      <c r="AJ1338" s="109"/>
      <c r="AK1338" s="109"/>
      <c r="AL1338" s="109"/>
      <c r="AM1338" s="109"/>
      <c r="AN1338" s="109"/>
      <c r="AO1338" s="109"/>
      <c r="AP1338" s="109"/>
      <c r="AQ1338" s="109"/>
      <c r="AR1338" s="109"/>
      <c r="AS1338" s="109"/>
    </row>
    <row r="1339" spans="1:45" ht="12.6" customHeight="1" x14ac:dyDescent="0.3">
      <c r="A1339" s="78"/>
      <c r="B1339" s="78"/>
      <c r="C1339" s="78"/>
      <c r="D1339" s="78"/>
      <c r="E1339" s="78"/>
      <c r="F1339" s="78"/>
      <c r="G1339" s="16" t="s">
        <v>1317</v>
      </c>
      <c r="Z1339" s="109"/>
      <c r="AA1339" s="109"/>
      <c r="AB1339" s="109"/>
      <c r="AC1339" s="109"/>
      <c r="AD1339" s="109"/>
      <c r="AE1339" s="109"/>
      <c r="AF1339" s="109"/>
      <c r="AG1339" s="109"/>
      <c r="AH1339" s="109"/>
      <c r="AI1339" s="109"/>
      <c r="AJ1339" s="109"/>
      <c r="AK1339" s="109"/>
      <c r="AL1339" s="109"/>
      <c r="AM1339" s="109"/>
      <c r="AN1339" s="109"/>
      <c r="AO1339" s="109"/>
      <c r="AP1339" s="109"/>
      <c r="AQ1339" s="109"/>
      <c r="AR1339" s="109"/>
      <c r="AS1339" s="109"/>
    </row>
    <row r="1340" spans="1:45" ht="12.6" customHeight="1" x14ac:dyDescent="0.3">
      <c r="A1340" s="68"/>
      <c r="B1340" s="97" t="str">
        <f>" t4 (적재장소 도착한 때로부터 적재작업이 시작될 때까지의 시간) ="&amp;Z1340&amp;" 분 "</f>
        <v xml:space="preserve"> t4 (적재장소 도착한 때로부터 적재작업이 시작될 때까지의 시간) =0.42 분 </v>
      </c>
      <c r="C1340" s="78"/>
      <c r="D1340" s="78"/>
      <c r="E1340" s="78"/>
      <c r="F1340" s="78"/>
      <c r="G1340" s="16" t="s">
        <v>1808</v>
      </c>
      <c r="Z1340" s="110">
        <v>0.42</v>
      </c>
      <c r="AA1340" s="20" t="s">
        <v>1326</v>
      </c>
      <c r="AB1340" s="112">
        <f>Z1340</f>
        <v>0.42</v>
      </c>
      <c r="AC1340" s="109"/>
      <c r="AD1340" s="109"/>
      <c r="AE1340" s="109"/>
      <c r="AF1340" s="109"/>
      <c r="AG1340" s="109"/>
      <c r="AH1340" s="109"/>
      <c r="AI1340" s="109"/>
      <c r="AJ1340" s="109"/>
      <c r="AK1340" s="109"/>
      <c r="AL1340" s="109"/>
      <c r="AM1340" s="109"/>
      <c r="AN1340" s="109"/>
      <c r="AO1340" s="109"/>
      <c r="AP1340" s="109"/>
      <c r="AQ1340" s="109"/>
      <c r="AR1340" s="109"/>
      <c r="AS1340" s="109"/>
    </row>
    <row r="1341" spans="1:45" ht="12.6" customHeight="1" x14ac:dyDescent="0.3">
      <c r="A1341" s="78"/>
      <c r="B1341" s="78"/>
      <c r="C1341" s="78"/>
      <c r="D1341" s="78"/>
      <c r="E1341" s="78"/>
      <c r="F1341" s="78"/>
      <c r="G1341" s="16" t="s">
        <v>1317</v>
      </c>
      <c r="Z1341" s="109"/>
      <c r="AA1341" s="109"/>
      <c r="AB1341" s="109"/>
      <c r="AC1341" s="109"/>
      <c r="AD1341" s="109"/>
      <c r="AE1341" s="109"/>
      <c r="AF1341" s="109"/>
      <c r="AG1341" s="109"/>
      <c r="AH1341" s="109"/>
      <c r="AI1341" s="109"/>
      <c r="AJ1341" s="109"/>
      <c r="AK1341" s="109"/>
      <c r="AL1341" s="109"/>
      <c r="AM1341" s="109"/>
      <c r="AN1341" s="109"/>
      <c r="AO1341" s="109"/>
      <c r="AP1341" s="109"/>
      <c r="AQ1341" s="109"/>
      <c r="AR1341" s="109"/>
      <c r="AS1341" s="109"/>
    </row>
    <row r="1342" spans="1:45" ht="12.6" customHeight="1" x14ac:dyDescent="0.3">
      <c r="A1342" s="68"/>
      <c r="B1342" s="97" t="str">
        <f>" t5 (적재함 덮개 설치 및 해체시간) ="&amp;Z1342&amp;" 분 "</f>
        <v xml:space="preserve"> t5 (적재함 덮개 설치 및 해체시간) =0.5 분 </v>
      </c>
      <c r="C1342" s="78"/>
      <c r="D1342" s="78"/>
      <c r="E1342" s="78"/>
      <c r="F1342" s="78"/>
      <c r="G1342" s="16" t="s">
        <v>1809</v>
      </c>
      <c r="Z1342" s="110">
        <v>0.5</v>
      </c>
      <c r="AA1342" s="20" t="s">
        <v>1326</v>
      </c>
      <c r="AB1342" s="112">
        <f>Z1342</f>
        <v>0.5</v>
      </c>
      <c r="AC1342" s="109"/>
      <c r="AD1342" s="109"/>
      <c r="AE1342" s="109"/>
      <c r="AF1342" s="109"/>
      <c r="AG1342" s="109"/>
      <c r="AH1342" s="109"/>
      <c r="AI1342" s="109"/>
      <c r="AJ1342" s="109"/>
      <c r="AK1342" s="109"/>
      <c r="AL1342" s="109"/>
      <c r="AM1342" s="109"/>
      <c r="AN1342" s="109"/>
      <c r="AO1342" s="109"/>
      <c r="AP1342" s="109"/>
      <c r="AQ1342" s="109"/>
      <c r="AR1342" s="109"/>
      <c r="AS1342" s="109"/>
    </row>
    <row r="1343" spans="1:45" ht="12.6" customHeight="1" x14ac:dyDescent="0.3">
      <c r="A1343" s="78"/>
      <c r="B1343" s="78"/>
      <c r="C1343" s="78"/>
      <c r="D1343" s="78"/>
      <c r="E1343" s="78"/>
      <c r="F1343" s="78"/>
      <c r="G1343" s="16" t="s">
        <v>1433</v>
      </c>
      <c r="Z1343" s="109"/>
      <c r="AA1343" s="109"/>
      <c r="AB1343" s="109"/>
      <c r="AC1343" s="109"/>
      <c r="AD1343" s="109"/>
      <c r="AE1343" s="109"/>
      <c r="AF1343" s="109"/>
      <c r="AG1343" s="109"/>
      <c r="AH1343" s="109"/>
      <c r="AI1343" s="109"/>
      <c r="AJ1343" s="109"/>
      <c r="AK1343" s="109"/>
      <c r="AL1343" s="109"/>
      <c r="AM1343" s="109"/>
      <c r="AN1343" s="109"/>
      <c r="AO1343" s="109"/>
      <c r="AP1343" s="109"/>
      <c r="AQ1343" s="109"/>
      <c r="AR1343" s="109"/>
      <c r="AS1343" s="109"/>
    </row>
    <row r="1344" spans="1:45" ht="12.6" customHeight="1" x14ac:dyDescent="0.3">
      <c r="A1344" s="68"/>
      <c r="B1344" s="97" t="str">
        <f>" t6 (세륜기통과시간) ="&amp;Z1344&amp;" 분 "</f>
        <v xml:space="preserve"> t6 (세륜기통과시간) =1.5 분 </v>
      </c>
      <c r="C1344" s="78"/>
      <c r="D1344" s="78"/>
      <c r="E1344" s="78"/>
      <c r="F1344" s="78"/>
      <c r="G1344" s="16" t="s">
        <v>1706</v>
      </c>
      <c r="Z1344" s="110">
        <v>1.5</v>
      </c>
      <c r="AA1344" s="20" t="s">
        <v>1326</v>
      </c>
      <c r="AB1344" s="112">
        <f>Z1344</f>
        <v>1.5</v>
      </c>
      <c r="AC1344" s="109"/>
      <c r="AD1344" s="109"/>
      <c r="AE1344" s="109"/>
      <c r="AF1344" s="109"/>
      <c r="AG1344" s="109"/>
      <c r="AH1344" s="109"/>
      <c r="AI1344" s="109"/>
      <c r="AJ1344" s="109"/>
      <c r="AK1344" s="109"/>
      <c r="AL1344" s="109"/>
      <c r="AM1344" s="109"/>
      <c r="AN1344" s="109"/>
      <c r="AO1344" s="109"/>
      <c r="AP1344" s="109"/>
      <c r="AQ1344" s="109"/>
      <c r="AR1344" s="109"/>
      <c r="AS1344" s="109"/>
    </row>
    <row r="1345" spans="1:45" ht="12.6" customHeight="1" x14ac:dyDescent="0.3">
      <c r="A1345" s="78"/>
      <c r="B1345" s="78"/>
      <c r="C1345" s="78"/>
      <c r="D1345" s="78"/>
      <c r="E1345" s="78"/>
      <c r="F1345" s="78"/>
      <c r="G1345" s="16" t="s">
        <v>1317</v>
      </c>
      <c r="Z1345" s="109"/>
      <c r="AA1345" s="109"/>
      <c r="AB1345" s="109"/>
      <c r="AC1345" s="109"/>
      <c r="AD1345" s="109"/>
      <c r="AE1345" s="109"/>
      <c r="AF1345" s="109"/>
      <c r="AG1345" s="109"/>
      <c r="AH1345" s="109"/>
      <c r="AI1345" s="109"/>
      <c r="AJ1345" s="109"/>
      <c r="AK1345" s="109"/>
      <c r="AL1345" s="109"/>
      <c r="AM1345" s="109"/>
      <c r="AN1345" s="109"/>
      <c r="AO1345" s="109"/>
      <c r="AP1345" s="109"/>
      <c r="AQ1345" s="109"/>
      <c r="AR1345" s="109"/>
      <c r="AS1345" s="109"/>
    </row>
    <row r="1346" spans="1:45" ht="12.6" customHeight="1" x14ac:dyDescent="0.3">
      <c r="A1346" s="68"/>
      <c r="B1346" s="97" t="str">
        <f>" Cm (1회 사이클 시간(분))  = t1 + t2 + t3 + t4 + t5 +t6 = "&amp;AL1346&amp;" 분 "</f>
        <v xml:space="preserve"> Cm (1회 사이클 시간(분))  = t1 + t2 + t3 + t4 + t5 +t6 = 116.33 분 </v>
      </c>
      <c r="C1346" s="78"/>
      <c r="D1346" s="78"/>
      <c r="E1346" s="78"/>
      <c r="F1346" s="78"/>
      <c r="G1346" s="16" t="s">
        <v>1707</v>
      </c>
      <c r="Z1346" s="112" t="str">
        <f>AI1334</f>
        <v>8.20</v>
      </c>
      <c r="AA1346" s="20" t="s">
        <v>1535</v>
      </c>
      <c r="AB1346" s="112" t="str">
        <f>AS1336</f>
        <v>104.91</v>
      </c>
      <c r="AC1346" s="20" t="s">
        <v>1535</v>
      </c>
      <c r="AD1346" s="112">
        <f>AB1338</f>
        <v>0.8</v>
      </c>
      <c r="AE1346" s="20" t="s">
        <v>1535</v>
      </c>
      <c r="AF1346" s="112">
        <f>AB1340</f>
        <v>0.42</v>
      </c>
      <c r="AG1346" s="20" t="s">
        <v>1535</v>
      </c>
      <c r="AH1346" s="112">
        <f>AB1342</f>
        <v>0.5</v>
      </c>
      <c r="AI1346" s="20" t="s">
        <v>1535</v>
      </c>
      <c r="AJ1346" s="112">
        <f>AB1344</f>
        <v>1.5</v>
      </c>
      <c r="AK1346" s="20" t="s">
        <v>1326</v>
      </c>
      <c r="AL1346" s="112" t="str">
        <f>TEXT(ROUND(AI1334+AS1336+AB1338+AB1340+AB1342+AB1344,2),"0.00")</f>
        <v>116.33</v>
      </c>
      <c r="AM1346" s="109"/>
      <c r="AN1346" s="109"/>
      <c r="AO1346" s="109"/>
      <c r="AP1346" s="109"/>
      <c r="AQ1346" s="109"/>
      <c r="AR1346" s="109"/>
      <c r="AS1346" s="109"/>
    </row>
    <row r="1347" spans="1:45" ht="12.6" customHeight="1" x14ac:dyDescent="0.3">
      <c r="A1347" s="78"/>
      <c r="B1347" s="78"/>
      <c r="C1347" s="78"/>
      <c r="D1347" s="78"/>
      <c r="E1347" s="78"/>
      <c r="F1347" s="78"/>
      <c r="G1347" s="16" t="s">
        <v>1317</v>
      </c>
      <c r="Z1347" s="109"/>
      <c r="AA1347" s="109"/>
      <c r="AB1347" s="109"/>
      <c r="AC1347" s="109"/>
      <c r="AD1347" s="109"/>
      <c r="AE1347" s="109"/>
      <c r="AF1347" s="109"/>
      <c r="AG1347" s="109"/>
      <c r="AH1347" s="109"/>
      <c r="AI1347" s="109"/>
      <c r="AJ1347" s="109"/>
      <c r="AK1347" s="109"/>
      <c r="AL1347" s="109"/>
      <c r="AM1347" s="109"/>
      <c r="AN1347" s="109"/>
      <c r="AO1347" s="109"/>
      <c r="AP1347" s="109"/>
      <c r="AQ1347" s="109"/>
      <c r="AR1347" s="109"/>
      <c r="AS1347" s="109"/>
    </row>
    <row r="1348" spans="1:45" ht="12.6" customHeight="1" x14ac:dyDescent="0.3">
      <c r="A1348" s="68"/>
      <c r="B1348" s="97" t="str">
        <f>" Q (시간당 작업량)  = "&amp;Z1348&amp;" * q1 * F * E / Cm = "&amp;AJ1348&amp;" m3/hr "</f>
        <v xml:space="preserve"> Q (시간당 작업량)  = 60 * q1 * F * E / Cm = 6.96 m3/hr </v>
      </c>
      <c r="C1348" s="78"/>
      <c r="D1348" s="78"/>
      <c r="E1348" s="78"/>
      <c r="F1348" s="78"/>
      <c r="G1348" s="16" t="s">
        <v>1810</v>
      </c>
      <c r="Z1348" s="111">
        <v>60</v>
      </c>
      <c r="AA1348" s="20" t="s">
        <v>1390</v>
      </c>
      <c r="AB1348" s="112" t="str">
        <f>AG1326</f>
        <v>17.25</v>
      </c>
      <c r="AC1348" s="20" t="s">
        <v>1390</v>
      </c>
      <c r="AD1348" s="112">
        <f>AD1322</f>
        <v>0.86956521739129999</v>
      </c>
      <c r="AE1348" s="20" t="s">
        <v>1390</v>
      </c>
      <c r="AF1348" s="112">
        <f>AH1322</f>
        <v>0.9</v>
      </c>
      <c r="AG1348" s="20" t="s">
        <v>1387</v>
      </c>
      <c r="AH1348" s="112" t="str">
        <f>AL1346</f>
        <v>116.33</v>
      </c>
      <c r="AI1348" s="20" t="s">
        <v>1326</v>
      </c>
      <c r="AJ1348" s="112" t="str">
        <f>TEXT(ROUND(Z1348*AG1326*AD1322*AH1322/AL1346,2),"0.00")</f>
        <v>6.96</v>
      </c>
      <c r="AK1348" s="109"/>
      <c r="AL1348" s="109"/>
      <c r="AM1348" s="109"/>
      <c r="AN1348" s="109"/>
      <c r="AO1348" s="109"/>
      <c r="AP1348" s="109"/>
      <c r="AQ1348" s="109"/>
      <c r="AR1348" s="109"/>
      <c r="AS1348" s="109"/>
    </row>
    <row r="1349" spans="1:45" ht="12.6" customHeight="1" x14ac:dyDescent="0.3">
      <c r="A1349" s="78"/>
      <c r="B1349" s="78"/>
      <c r="C1349" s="78"/>
      <c r="D1349" s="78"/>
      <c r="E1349" s="78"/>
      <c r="F1349" s="78"/>
      <c r="G1349" s="16" t="s">
        <v>1317</v>
      </c>
      <c r="Z1349" s="109"/>
      <c r="AA1349" s="109"/>
      <c r="AB1349" s="109"/>
      <c r="AC1349" s="109"/>
      <c r="AD1349" s="109"/>
      <c r="AE1349" s="109"/>
      <c r="AF1349" s="109"/>
      <c r="AG1349" s="109"/>
      <c r="AH1349" s="109"/>
      <c r="AI1349" s="109"/>
      <c r="AJ1349" s="109"/>
      <c r="AK1349" s="109"/>
      <c r="AL1349" s="109"/>
      <c r="AM1349" s="109"/>
      <c r="AN1349" s="109"/>
      <c r="AO1349" s="109"/>
      <c r="AP1349" s="109"/>
      <c r="AQ1349" s="109"/>
      <c r="AR1349" s="109"/>
      <c r="AS1349" s="109"/>
    </row>
    <row r="1350" spans="1:45" ht="12.6" customHeight="1" x14ac:dyDescent="0.3">
      <c r="A1350" s="68" t="s">
        <v>1728</v>
      </c>
      <c r="B1350" s="97" t="str">
        <f>"  노 무 비  :   "&amp;TEXT(I1350,"#,##0"&amp;IF(I1350&lt;&gt;INT(I1350),".###",""))&amp;" / Q = "&amp;TEXT(C1350,"#,##0.0")&amp;""</f>
        <v xml:space="preserve">  노 무 비  :   55,700 / Q = 8,002.8</v>
      </c>
      <c r="C1350" s="99">
        <f>E1350+D1350+F1350</f>
        <v>8002.8</v>
      </c>
      <c r="D1350" s="99">
        <f>IF(H1350=0,0,ROUNDDOWN(J1350*H1350,1))</f>
        <v>8002.8</v>
      </c>
      <c r="E1350" s="99">
        <f>IF(H1350=0,0,ROUNDDOWN(K1350*H1350,1))</f>
        <v>0</v>
      </c>
      <c r="F1350" s="99">
        <f>IF(H1350=0,0,ROUNDDOWN(L1350*H1350,1))</f>
        <v>0</v>
      </c>
      <c r="G1350" s="16" t="s">
        <v>1726</v>
      </c>
      <c r="H1350" s="105">
        <f>AC1350</f>
        <v>0.14367816091954022</v>
      </c>
      <c r="I1350" s="106">
        <f>K1350+J1350+L1350</f>
        <v>55700</v>
      </c>
      <c r="J1350" s="39">
        <f>중기목록표!F22</f>
        <v>55700</v>
      </c>
      <c r="M1350" s="20" t="s">
        <v>1729</v>
      </c>
      <c r="N1350" s="20" t="s">
        <v>1332</v>
      </c>
      <c r="X1350" s="108" t="str">
        <f>중기목록표!B22&amp;" / "&amp;중기목록표!C22</f>
        <v xml:space="preserve">덤프트럭24ton(토사) / </v>
      </c>
      <c r="Y1350" s="19" t="str">
        <f ca="1">HYPERLINK("#"&amp;중기목록표!J2&amp;"!A"&amp;ROW(중기목록표!A22),"중기   19 →")</f>
        <v>중기   19 →</v>
      </c>
      <c r="Z1350" s="20" t="s">
        <v>1393</v>
      </c>
      <c r="AA1350" s="112" t="str">
        <f>AJ1348</f>
        <v>6.96</v>
      </c>
      <c r="AB1350" s="20" t="s">
        <v>1326</v>
      </c>
      <c r="AC1350" s="113">
        <f>1/AJ1348</f>
        <v>0.14367816091954022</v>
      </c>
      <c r="AD1350" s="109"/>
      <c r="AE1350" s="109"/>
      <c r="AF1350" s="109"/>
      <c r="AG1350" s="109"/>
      <c r="AH1350" s="109"/>
      <c r="AI1350" s="109"/>
      <c r="AJ1350" s="109"/>
      <c r="AK1350" s="109"/>
      <c r="AL1350" s="109"/>
      <c r="AM1350" s="109"/>
      <c r="AN1350" s="109"/>
      <c r="AO1350" s="109"/>
      <c r="AP1350" s="109"/>
      <c r="AQ1350" s="109"/>
      <c r="AR1350" s="109"/>
      <c r="AS1350" s="109"/>
    </row>
    <row r="1351" spans="1:45" ht="12.6" customHeight="1" x14ac:dyDescent="0.3">
      <c r="A1351" s="78"/>
      <c r="B1351" s="78"/>
      <c r="C1351" s="78"/>
      <c r="D1351" s="78"/>
      <c r="E1351" s="78"/>
      <c r="F1351" s="78"/>
      <c r="G1351" s="16" t="s">
        <v>1317</v>
      </c>
      <c r="Z1351" s="109"/>
      <c r="AA1351" s="109"/>
      <c r="AB1351" s="109"/>
      <c r="AC1351" s="109"/>
      <c r="AD1351" s="109"/>
      <c r="AE1351" s="109"/>
      <c r="AF1351" s="109"/>
      <c r="AG1351" s="109"/>
      <c r="AH1351" s="109"/>
      <c r="AI1351" s="109"/>
      <c r="AJ1351" s="109"/>
      <c r="AK1351" s="109"/>
      <c r="AL1351" s="109"/>
      <c r="AM1351" s="109"/>
      <c r="AN1351" s="109"/>
      <c r="AO1351" s="109"/>
      <c r="AP1351" s="109"/>
      <c r="AQ1351" s="109"/>
      <c r="AR1351" s="109"/>
      <c r="AS1351" s="109"/>
    </row>
    <row r="1352" spans="1:45" ht="12.6" customHeight="1" x14ac:dyDescent="0.3">
      <c r="A1352" s="68" t="s">
        <v>1731</v>
      </c>
      <c r="B1352" s="97" t="str">
        <f>"  재 료 비  :   "&amp;TEXT(I1352,"#,##0"&amp;IF(I1352&lt;&gt;INT(I1352),".###",""))&amp;" / Q = "&amp;TEXT(C1352,"#,##0.0")&amp;""</f>
        <v xml:space="preserve">  재 료 비  :   40,373 / Q = 5,800.7</v>
      </c>
      <c r="C1352" s="99">
        <f>E1352+D1352+F1352</f>
        <v>5800.7</v>
      </c>
      <c r="D1352" s="99">
        <f>IF(H1352=0,0,ROUNDDOWN(J1352*H1352,1))</f>
        <v>0</v>
      </c>
      <c r="E1352" s="99">
        <f>IF(H1352=0,0,ROUNDDOWN(K1352*H1352,1))</f>
        <v>5800.7</v>
      </c>
      <c r="F1352" s="99">
        <f>IF(H1352=0,0,ROUNDDOWN(L1352*H1352,1))</f>
        <v>0</v>
      </c>
      <c r="G1352" s="16" t="s">
        <v>1821</v>
      </c>
      <c r="H1352" s="105">
        <f>AC1352</f>
        <v>0.14367816091954022</v>
      </c>
      <c r="I1352" s="106">
        <f>K1352+J1352+L1352</f>
        <v>40373</v>
      </c>
      <c r="K1352" s="39">
        <f>중기목록표!G22</f>
        <v>40373</v>
      </c>
      <c r="M1352" s="20" t="s">
        <v>1729</v>
      </c>
      <c r="N1352" s="20" t="s">
        <v>1332</v>
      </c>
      <c r="X1352" s="108" t="str">
        <f>중기목록표!B22&amp;" / "&amp;중기목록표!C22</f>
        <v xml:space="preserve">덤프트럭24ton(토사) / </v>
      </c>
      <c r="Y1352" s="19" t="str">
        <f ca="1">HYPERLINK("#"&amp;중기목록표!J2&amp;"!A"&amp;ROW(중기목록표!A22),"중기   19 →")</f>
        <v>중기   19 →</v>
      </c>
      <c r="Z1352" s="20" t="s">
        <v>1393</v>
      </c>
      <c r="AA1352" s="112" t="str">
        <f>AJ1348</f>
        <v>6.96</v>
      </c>
      <c r="AB1352" s="20" t="s">
        <v>1326</v>
      </c>
      <c r="AC1352" s="113">
        <f>1/AJ1348</f>
        <v>0.14367816091954022</v>
      </c>
      <c r="AD1352" s="109"/>
      <c r="AE1352" s="109"/>
      <c r="AF1352" s="109"/>
      <c r="AG1352" s="109"/>
      <c r="AH1352" s="109"/>
      <c r="AI1352" s="109"/>
      <c r="AJ1352" s="109"/>
      <c r="AK1352" s="109"/>
      <c r="AL1352" s="109"/>
      <c r="AM1352" s="109"/>
      <c r="AN1352" s="109"/>
      <c r="AO1352" s="109"/>
      <c r="AP1352" s="109"/>
      <c r="AQ1352" s="109"/>
      <c r="AR1352" s="109"/>
      <c r="AS1352" s="109"/>
    </row>
    <row r="1353" spans="1:45" ht="12.6" customHeight="1" x14ac:dyDescent="0.3">
      <c r="A1353" s="78"/>
      <c r="B1353" s="78"/>
      <c r="C1353" s="78"/>
      <c r="D1353" s="78"/>
      <c r="E1353" s="78"/>
      <c r="F1353" s="78"/>
      <c r="G1353" s="16" t="s">
        <v>1317</v>
      </c>
      <c r="Z1353" s="109"/>
      <c r="AA1353" s="109"/>
      <c r="AB1353" s="109"/>
      <c r="AC1353" s="109"/>
      <c r="AD1353" s="109"/>
      <c r="AE1353" s="109"/>
      <c r="AF1353" s="109"/>
      <c r="AG1353" s="109"/>
      <c r="AH1353" s="109"/>
      <c r="AI1353" s="109"/>
      <c r="AJ1353" s="109"/>
      <c r="AK1353" s="109"/>
      <c r="AL1353" s="109"/>
      <c r="AM1353" s="109"/>
      <c r="AN1353" s="109"/>
      <c r="AO1353" s="109"/>
      <c r="AP1353" s="109"/>
      <c r="AQ1353" s="109"/>
      <c r="AR1353" s="109"/>
      <c r="AS1353" s="109"/>
    </row>
    <row r="1354" spans="1:45" ht="12.6" customHeight="1" x14ac:dyDescent="0.3">
      <c r="A1354" s="68" t="s">
        <v>1733</v>
      </c>
      <c r="B1354" s="97" t="str">
        <f>"  경    비  :   "&amp;TEXT(I1354,"#,##0"&amp;IF(I1354&lt;&gt;INT(I1354),".###",""))&amp;" / Q = "&amp;TEXT(C1354,"#,##0.0")&amp;""</f>
        <v xml:space="preserve">  경    비  :   31,406 / Q = 4,512.3</v>
      </c>
      <c r="C1354" s="99">
        <f>E1354+D1354+F1354</f>
        <v>4512.3</v>
      </c>
      <c r="D1354" s="99">
        <f>IF(H1354=0,0,ROUNDDOWN(J1354*H1354,1))</f>
        <v>0</v>
      </c>
      <c r="E1354" s="99">
        <f>IF(H1354=0,0,ROUNDDOWN(K1354*H1354,1))</f>
        <v>0</v>
      </c>
      <c r="F1354" s="99">
        <f>IF(H1354=0,0,ROUNDDOWN(L1354*H1354,1))</f>
        <v>4512.3</v>
      </c>
      <c r="G1354" s="16" t="s">
        <v>1732</v>
      </c>
      <c r="H1354" s="105">
        <f>AC1354</f>
        <v>0.14367816091954022</v>
      </c>
      <c r="I1354" s="106">
        <f>K1354+J1354+L1354</f>
        <v>31406</v>
      </c>
      <c r="L1354" s="39">
        <f>중기목록표!H22</f>
        <v>31406</v>
      </c>
      <c r="M1354" s="20" t="s">
        <v>1729</v>
      </c>
      <c r="N1354" s="20" t="s">
        <v>1332</v>
      </c>
      <c r="X1354" s="108" t="str">
        <f>중기목록표!B22&amp;" / "&amp;중기목록표!C22</f>
        <v xml:space="preserve">덤프트럭24ton(토사) / </v>
      </c>
      <c r="Y1354" s="19" t="str">
        <f ca="1">HYPERLINK("#"&amp;중기목록표!J2&amp;"!A"&amp;ROW(중기목록표!A22),"중기   19 →")</f>
        <v>중기   19 →</v>
      </c>
      <c r="Z1354" s="20" t="s">
        <v>1393</v>
      </c>
      <c r="AA1354" s="112" t="str">
        <f>AJ1348</f>
        <v>6.96</v>
      </c>
      <c r="AB1354" s="20" t="s">
        <v>1326</v>
      </c>
      <c r="AC1354" s="113">
        <f>1/AJ1348</f>
        <v>0.14367816091954022</v>
      </c>
      <c r="AD1354" s="109"/>
      <c r="AE1354" s="109"/>
      <c r="AF1354" s="109"/>
      <c r="AG1354" s="109"/>
      <c r="AH1354" s="109"/>
      <c r="AI1354" s="109"/>
      <c r="AJ1354" s="109"/>
      <c r="AK1354" s="109"/>
      <c r="AL1354" s="109"/>
      <c r="AM1354" s="109"/>
      <c r="AN1354" s="109"/>
      <c r="AO1354" s="109"/>
      <c r="AP1354" s="109"/>
      <c r="AQ1354" s="109"/>
      <c r="AR1354" s="109"/>
      <c r="AS1354" s="109"/>
    </row>
    <row r="1355" spans="1:45" ht="12.6" customHeight="1" x14ac:dyDescent="0.3">
      <c r="A1355" s="78"/>
      <c r="B1355" s="78"/>
      <c r="C1355" s="78"/>
      <c r="D1355" s="78"/>
      <c r="E1355" s="78"/>
      <c r="F1355" s="78"/>
      <c r="G1355" s="16" t="s">
        <v>1317</v>
      </c>
      <c r="Z1355" s="109"/>
      <c r="AA1355" s="109"/>
      <c r="AB1355" s="109"/>
      <c r="AC1355" s="109"/>
      <c r="AD1355" s="109"/>
      <c r="AE1355" s="109"/>
      <c r="AF1355" s="109"/>
      <c r="AG1355" s="109"/>
      <c r="AH1355" s="109"/>
      <c r="AI1355" s="109"/>
      <c r="AJ1355" s="109"/>
      <c r="AK1355" s="109"/>
      <c r="AL1355" s="109"/>
      <c r="AM1355" s="109"/>
      <c r="AN1355" s="109"/>
      <c r="AO1355" s="109"/>
      <c r="AP1355" s="109"/>
      <c r="AQ1355" s="109"/>
      <c r="AR1355" s="109"/>
      <c r="AS1355" s="109"/>
    </row>
    <row r="1356" spans="1:45" ht="12.6" customHeight="1" x14ac:dyDescent="0.3">
      <c r="A1356" s="68" t="s">
        <v>1823</v>
      </c>
      <c r="B1356" s="97" t="str">
        <f>"                "&amp;TEXT(I1356,"#,##0"&amp;IF(I1356&lt;&gt;INT(I1356),".###",""))&amp;" / Q = "&amp;TEXT(C1356,"#,##0.0")&amp;""</f>
        <v xml:space="preserve">                481 / Q = 69.1</v>
      </c>
      <c r="C1356" s="99">
        <f>E1356+D1356+F1356</f>
        <v>69.099999999999994</v>
      </c>
      <c r="D1356" s="99">
        <f>IF(H1356=0,0,ROUNDDOWN(J1356*H1356,1))</f>
        <v>0</v>
      </c>
      <c r="E1356" s="99">
        <f>IF(H1356=0,0,ROUNDDOWN(K1356*H1356,1))</f>
        <v>0</v>
      </c>
      <c r="F1356" s="99">
        <f>IF(H1356=0,0,ROUNDDOWN(L1356*H1356,1))</f>
        <v>69.099999999999994</v>
      </c>
      <c r="G1356" s="16" t="s">
        <v>1822</v>
      </c>
      <c r="H1356" s="105">
        <f>AC1356</f>
        <v>0.14367816091954022</v>
      </c>
      <c r="I1356" s="106">
        <f>K1356+J1356+L1356</f>
        <v>481</v>
      </c>
      <c r="L1356" s="39">
        <f>중기목록표!H21</f>
        <v>481</v>
      </c>
      <c r="M1356" s="20" t="s">
        <v>1824</v>
      </c>
      <c r="N1356" s="20" t="s">
        <v>1332</v>
      </c>
      <c r="X1356" s="108" t="str">
        <f>중기목록표!B21&amp;" / "&amp;중기목록표!C21</f>
        <v>덤프자동덮개 / 24톤</v>
      </c>
      <c r="Y1356" s="19" t="str">
        <f ca="1">HYPERLINK("#"&amp;중기목록표!J2&amp;"!A"&amp;ROW(중기목록표!A21),"중기   18 →")</f>
        <v>중기   18 →</v>
      </c>
      <c r="Z1356" s="20" t="s">
        <v>1393</v>
      </c>
      <c r="AA1356" s="112" t="str">
        <f>AJ1348</f>
        <v>6.96</v>
      </c>
      <c r="AB1356" s="20" t="s">
        <v>1326</v>
      </c>
      <c r="AC1356" s="113">
        <f>1/AJ1348</f>
        <v>0.14367816091954022</v>
      </c>
      <c r="AD1356" s="109"/>
      <c r="AE1356" s="109"/>
      <c r="AF1356" s="109"/>
      <c r="AG1356" s="109"/>
      <c r="AH1356" s="109"/>
      <c r="AI1356" s="109"/>
      <c r="AJ1356" s="109"/>
      <c r="AK1356" s="109"/>
      <c r="AL1356" s="109"/>
      <c r="AM1356" s="109"/>
      <c r="AN1356" s="109"/>
      <c r="AO1356" s="109"/>
      <c r="AP1356" s="109"/>
      <c r="AQ1356" s="109"/>
      <c r="AR1356" s="109"/>
      <c r="AS1356" s="109"/>
    </row>
    <row r="1357" spans="1:45" ht="12.6" customHeight="1" x14ac:dyDescent="0.3">
      <c r="A1357" s="78"/>
      <c r="B1357" s="78"/>
      <c r="C1357" s="78"/>
      <c r="D1357" s="78"/>
      <c r="E1357" s="78"/>
      <c r="F1357" s="78"/>
      <c r="G1357" s="16" t="s">
        <v>1317</v>
      </c>
      <c r="Z1357" s="109"/>
      <c r="AA1357" s="109"/>
      <c r="AB1357" s="109"/>
      <c r="AC1357" s="109"/>
      <c r="AD1357" s="109"/>
      <c r="AE1357" s="109"/>
      <c r="AF1357" s="109"/>
      <c r="AG1357" s="109"/>
      <c r="AH1357" s="109"/>
      <c r="AI1357" s="109"/>
      <c r="AJ1357" s="109"/>
      <c r="AK1357" s="109"/>
      <c r="AL1357" s="109"/>
      <c r="AM1357" s="109"/>
      <c r="AN1357" s="109"/>
      <c r="AO1357" s="109"/>
      <c r="AP1357" s="109"/>
      <c r="AQ1357" s="109"/>
      <c r="AR1357" s="109"/>
      <c r="AS1357" s="109"/>
    </row>
    <row r="1358" spans="1:45" ht="12.6" customHeight="1" x14ac:dyDescent="0.3">
      <c r="A1358" s="68"/>
      <c r="B1358" s="77" t="s">
        <v>1331</v>
      </c>
      <c r="C1358" s="100">
        <f>E1358+D1358+F1358</f>
        <v>18384.900000000001</v>
      </c>
      <c r="D1358" s="100">
        <f>SUMIF(N1319:N1357,M1358,D1319:D1357)</f>
        <v>8002.8</v>
      </c>
      <c r="E1358" s="100">
        <f>SUMIF(N1319:N1357,M1358,E1319:E1357)</f>
        <v>5800.7</v>
      </c>
      <c r="F1358" s="100">
        <f>SUMIF(N1319:N1357,M1358,F1319:F1357)</f>
        <v>4581.4000000000005</v>
      </c>
      <c r="G1358" s="16" t="s">
        <v>1415</v>
      </c>
      <c r="M1358" s="20" t="s">
        <v>1332</v>
      </c>
      <c r="N1358" s="20" t="s">
        <v>1341</v>
      </c>
      <c r="Z1358" s="109"/>
      <c r="AA1358" s="109"/>
      <c r="AB1358" s="109"/>
      <c r="AC1358" s="109"/>
      <c r="AD1358" s="109"/>
      <c r="AE1358" s="109"/>
      <c r="AF1358" s="109"/>
      <c r="AG1358" s="109"/>
      <c r="AH1358" s="109"/>
      <c r="AI1358" s="109"/>
      <c r="AJ1358" s="109"/>
      <c r="AK1358" s="109"/>
      <c r="AL1358" s="109"/>
      <c r="AM1358" s="109"/>
      <c r="AN1358" s="109"/>
      <c r="AO1358" s="109"/>
      <c r="AP1358" s="109"/>
      <c r="AQ1358" s="109"/>
      <c r="AR1358" s="109"/>
      <c r="AS1358" s="109"/>
    </row>
    <row r="1359" spans="1:45" ht="12.6" customHeight="1" x14ac:dyDescent="0.3">
      <c r="A1359" s="78"/>
      <c r="B1359" s="78"/>
      <c r="C1359" s="98"/>
      <c r="D1359" s="98"/>
      <c r="E1359" s="98"/>
      <c r="F1359" s="98"/>
      <c r="G1359" s="16" t="s">
        <v>1317</v>
      </c>
      <c r="Z1359" s="109"/>
      <c r="AA1359" s="109"/>
      <c r="AB1359" s="109"/>
      <c r="AC1359" s="109"/>
      <c r="AD1359" s="109"/>
      <c r="AE1359" s="109"/>
      <c r="AF1359" s="109"/>
      <c r="AG1359" s="109"/>
      <c r="AH1359" s="109"/>
      <c r="AI1359" s="109"/>
      <c r="AJ1359" s="109"/>
      <c r="AK1359" s="109"/>
      <c r="AL1359" s="109"/>
      <c r="AM1359" s="109"/>
      <c r="AN1359" s="109"/>
      <c r="AO1359" s="109"/>
      <c r="AP1359" s="109"/>
      <c r="AQ1359" s="109"/>
      <c r="AR1359" s="109"/>
      <c r="AS1359" s="109"/>
    </row>
    <row r="1360" spans="1:45" ht="12.6" customHeight="1" x14ac:dyDescent="0.3">
      <c r="A1360" s="68"/>
      <c r="B1360" s="77" t="s">
        <v>1340</v>
      </c>
      <c r="C1360" s="100">
        <f>E1360+D1360+F1360</f>
        <v>18384.900000000001</v>
      </c>
      <c r="D1360" s="100">
        <f>SUMIF(N1267:N1359,M1360,D1267:D1359)</f>
        <v>8002.8</v>
      </c>
      <c r="E1360" s="100">
        <f>SUMIF(N1267:N1359,M1360,E1267:E1359)</f>
        <v>5800.7</v>
      </c>
      <c r="F1360" s="100">
        <f>SUMIF(N1267:N1359,M1360,F1267:F1359)</f>
        <v>4581.4000000000005</v>
      </c>
      <c r="G1360" s="16" t="s">
        <v>1380</v>
      </c>
      <c r="M1360" s="20" t="s">
        <v>1341</v>
      </c>
      <c r="N1360" s="20" t="s">
        <v>1128</v>
      </c>
      <c r="Z1360" s="109"/>
      <c r="AA1360" s="109"/>
      <c r="AB1360" s="109"/>
      <c r="AC1360" s="109"/>
      <c r="AD1360" s="109"/>
      <c r="AE1360" s="109"/>
      <c r="AF1360" s="109"/>
      <c r="AG1360" s="109"/>
      <c r="AH1360" s="109"/>
      <c r="AI1360" s="109"/>
      <c r="AJ1360" s="109"/>
      <c r="AK1360" s="109"/>
      <c r="AL1360" s="109"/>
      <c r="AM1360" s="109"/>
      <c r="AN1360" s="109"/>
      <c r="AO1360" s="109"/>
      <c r="AP1360" s="109"/>
      <c r="AQ1360" s="109"/>
      <c r="AR1360" s="109"/>
      <c r="AS1360" s="109"/>
    </row>
    <row r="1361" spans="1:45" ht="12.6" customHeight="1" x14ac:dyDescent="0.3">
      <c r="A1361" s="78"/>
      <c r="B1361" s="78"/>
      <c r="C1361" s="98"/>
      <c r="D1361" s="98"/>
      <c r="E1361" s="98"/>
      <c r="F1361" s="98"/>
      <c r="Z1361" s="109"/>
      <c r="AA1361" s="109"/>
      <c r="AB1361" s="109"/>
      <c r="AC1361" s="109"/>
      <c r="AD1361" s="109"/>
      <c r="AE1361" s="109"/>
      <c r="AF1361" s="109"/>
      <c r="AG1361" s="109"/>
      <c r="AH1361" s="109"/>
      <c r="AI1361" s="109"/>
      <c r="AJ1361" s="109"/>
      <c r="AK1361" s="109"/>
      <c r="AL1361" s="109"/>
      <c r="AM1361" s="109"/>
      <c r="AN1361" s="109"/>
      <c r="AO1361" s="109"/>
      <c r="AP1361" s="109"/>
      <c r="AQ1361" s="109"/>
      <c r="AR1361" s="109"/>
      <c r="AS1361" s="109"/>
    </row>
    <row r="1362" spans="1:45" ht="12.6" customHeight="1" x14ac:dyDescent="0.3">
      <c r="A1362" s="78"/>
      <c r="B1362" s="78"/>
      <c r="C1362" s="78"/>
      <c r="D1362" s="78"/>
      <c r="E1362" s="78"/>
      <c r="F1362" s="78"/>
      <c r="Z1362" s="109"/>
      <c r="AA1362" s="109"/>
      <c r="AB1362" s="109"/>
      <c r="AC1362" s="109"/>
      <c r="AD1362" s="109"/>
      <c r="AE1362" s="109"/>
      <c r="AF1362" s="109"/>
      <c r="AG1362" s="109"/>
      <c r="AH1362" s="109"/>
      <c r="AI1362" s="109"/>
      <c r="AJ1362" s="109"/>
      <c r="AK1362" s="109"/>
      <c r="AL1362" s="109"/>
      <c r="AM1362" s="109"/>
      <c r="AN1362" s="109"/>
      <c r="AO1362" s="109"/>
      <c r="AP1362" s="109"/>
      <c r="AQ1362" s="109"/>
      <c r="AR1362" s="109"/>
      <c r="AS1362" s="109"/>
    </row>
    <row r="1363" spans="1:45" ht="12.6" customHeight="1" x14ac:dyDescent="0.3">
      <c r="A1363" s="78"/>
      <c r="B1363" s="78"/>
      <c r="C1363" s="78"/>
      <c r="D1363" s="78"/>
      <c r="E1363" s="78"/>
      <c r="F1363" s="78"/>
      <c r="Z1363" s="109"/>
      <c r="AA1363" s="109"/>
      <c r="AB1363" s="109"/>
      <c r="AC1363" s="109"/>
      <c r="AD1363" s="109"/>
      <c r="AE1363" s="109"/>
      <c r="AF1363" s="109"/>
      <c r="AG1363" s="109"/>
      <c r="AH1363" s="109"/>
      <c r="AI1363" s="109"/>
      <c r="AJ1363" s="109"/>
      <c r="AK1363" s="109"/>
      <c r="AL1363" s="109"/>
      <c r="AM1363" s="109"/>
      <c r="AN1363" s="109"/>
      <c r="AO1363" s="109"/>
      <c r="AP1363" s="109"/>
      <c r="AQ1363" s="109"/>
      <c r="AR1363" s="109"/>
      <c r="AS1363" s="109"/>
    </row>
    <row r="1364" spans="1:45" ht="12.6" customHeight="1" x14ac:dyDescent="0.3">
      <c r="A1364" s="78"/>
      <c r="B1364" s="78"/>
      <c r="C1364" s="78"/>
      <c r="D1364" s="78"/>
      <c r="E1364" s="78"/>
      <c r="F1364" s="78"/>
      <c r="Z1364" s="109"/>
      <c r="AA1364" s="109"/>
      <c r="AB1364" s="109"/>
      <c r="AC1364" s="109"/>
      <c r="AD1364" s="109"/>
      <c r="AE1364" s="109"/>
      <c r="AF1364" s="109"/>
      <c r="AG1364" s="109"/>
      <c r="AH1364" s="109"/>
      <c r="AI1364" s="109"/>
      <c r="AJ1364" s="109"/>
      <c r="AK1364" s="109"/>
      <c r="AL1364" s="109"/>
      <c r="AM1364" s="109"/>
      <c r="AN1364" s="109"/>
      <c r="AO1364" s="109"/>
      <c r="AP1364" s="109"/>
      <c r="AQ1364" s="109"/>
      <c r="AR1364" s="109"/>
      <c r="AS1364" s="109"/>
    </row>
    <row r="1365" spans="1:45" ht="12.6" customHeight="1" x14ac:dyDescent="0.3">
      <c r="A1365" s="78"/>
      <c r="B1365" s="78"/>
      <c r="C1365" s="78"/>
      <c r="D1365" s="78"/>
      <c r="E1365" s="78"/>
      <c r="F1365" s="78"/>
      <c r="Z1365" s="109"/>
      <c r="AA1365" s="109"/>
      <c r="AB1365" s="109"/>
      <c r="AC1365" s="109"/>
      <c r="AD1365" s="109"/>
      <c r="AE1365" s="109"/>
      <c r="AF1365" s="109"/>
      <c r="AG1365" s="109"/>
      <c r="AH1365" s="109"/>
      <c r="AI1365" s="109"/>
      <c r="AJ1365" s="109"/>
      <c r="AK1365" s="109"/>
      <c r="AL1365" s="109"/>
      <c r="AM1365" s="109"/>
      <c r="AN1365" s="109"/>
      <c r="AO1365" s="109"/>
      <c r="AP1365" s="109"/>
      <c r="AQ1365" s="109"/>
      <c r="AR1365" s="109"/>
      <c r="AS1365" s="109"/>
    </row>
    <row r="1366" spans="1:45" ht="12.6" customHeight="1" x14ac:dyDescent="0.3">
      <c r="A1366" s="78"/>
      <c r="B1366" s="78"/>
      <c r="C1366" s="78"/>
      <c r="D1366" s="78"/>
      <c r="E1366" s="78"/>
      <c r="F1366" s="78"/>
      <c r="Z1366" s="109"/>
      <c r="AA1366" s="109"/>
      <c r="AB1366" s="109"/>
      <c r="AC1366" s="109"/>
      <c r="AD1366" s="109"/>
      <c r="AE1366" s="109"/>
      <c r="AF1366" s="109"/>
      <c r="AG1366" s="109"/>
      <c r="AH1366" s="109"/>
      <c r="AI1366" s="109"/>
      <c r="AJ1366" s="109"/>
      <c r="AK1366" s="109"/>
      <c r="AL1366" s="109"/>
      <c r="AM1366" s="109"/>
      <c r="AN1366" s="109"/>
      <c r="AO1366" s="109"/>
      <c r="AP1366" s="109"/>
      <c r="AQ1366" s="109"/>
      <c r="AR1366" s="109"/>
      <c r="AS1366" s="109"/>
    </row>
    <row r="1367" spans="1:45" ht="12.6" customHeight="1" x14ac:dyDescent="0.3">
      <c r="A1367" s="78"/>
      <c r="B1367" s="78"/>
      <c r="C1367" s="78"/>
      <c r="D1367" s="78"/>
      <c r="E1367" s="78"/>
      <c r="F1367" s="78"/>
      <c r="Z1367" s="109"/>
      <c r="AA1367" s="109"/>
      <c r="AB1367" s="109"/>
      <c r="AC1367" s="109"/>
      <c r="AD1367" s="109"/>
      <c r="AE1367" s="109"/>
      <c r="AF1367" s="109"/>
      <c r="AG1367" s="109"/>
      <c r="AH1367" s="109"/>
      <c r="AI1367" s="109"/>
      <c r="AJ1367" s="109"/>
      <c r="AK1367" s="109"/>
      <c r="AL1367" s="109"/>
      <c r="AM1367" s="109"/>
      <c r="AN1367" s="109"/>
      <c r="AO1367" s="109"/>
      <c r="AP1367" s="109"/>
      <c r="AQ1367" s="109"/>
      <c r="AR1367" s="109"/>
      <c r="AS1367" s="109"/>
    </row>
    <row r="1368" spans="1:45" ht="12.6" customHeight="1" x14ac:dyDescent="0.3">
      <c r="A1368" s="58"/>
      <c r="B1368" s="58"/>
      <c r="C1368" s="58"/>
      <c r="D1368" s="58"/>
      <c r="E1368" s="58"/>
      <c r="F1368" s="58"/>
      <c r="Z1368" s="109"/>
      <c r="AA1368" s="109"/>
      <c r="AB1368" s="109"/>
      <c r="AC1368" s="109"/>
      <c r="AD1368" s="109"/>
      <c r="AE1368" s="109"/>
      <c r="AF1368" s="109"/>
      <c r="AG1368" s="109"/>
      <c r="AH1368" s="109"/>
      <c r="AI1368" s="109"/>
      <c r="AJ1368" s="109"/>
      <c r="AK1368" s="109"/>
      <c r="AL1368" s="109"/>
      <c r="AM1368" s="109"/>
      <c r="AN1368" s="109"/>
      <c r="AO1368" s="109"/>
      <c r="AP1368" s="109"/>
      <c r="AQ1368" s="109"/>
      <c r="AR1368" s="109"/>
      <c r="AS1368" s="109"/>
    </row>
    <row r="1369" spans="1:45" ht="12.6" customHeight="1" x14ac:dyDescent="0.3">
      <c r="A1369" s="159" t="s">
        <v>1737</v>
      </c>
      <c r="B1369" s="152"/>
      <c r="C1369" s="55">
        <f>E1369+D1369+F1369</f>
        <v>18383</v>
      </c>
      <c r="D1369" s="11">
        <v>0</v>
      </c>
      <c r="E1369" s="12">
        <v>0</v>
      </c>
      <c r="F1369" s="55">
        <f>ROUNDDOWN(SUMIF(N1267:N1360,M1369,E1267:E1360),0)+ROUNDDOWN(SUMIF(N1267:N1360,M1369,D1267:D1360),0)+ROUNDDOWN(SUMIF(N1267:N1360,M1369,F1267:F1360),0)</f>
        <v>18383</v>
      </c>
      <c r="M1369" s="20" t="s">
        <v>1128</v>
      </c>
      <c r="Z1369" s="109"/>
      <c r="AA1369" s="109"/>
      <c r="AB1369" s="109"/>
      <c r="AC1369" s="109"/>
      <c r="AD1369" s="109"/>
      <c r="AE1369" s="109"/>
      <c r="AF1369" s="109"/>
      <c r="AG1369" s="109"/>
      <c r="AH1369" s="109"/>
      <c r="AI1369" s="109"/>
      <c r="AJ1369" s="109"/>
      <c r="AK1369" s="109"/>
      <c r="AL1369" s="109"/>
      <c r="AM1369" s="109"/>
      <c r="AN1369" s="109"/>
      <c r="AO1369" s="109"/>
      <c r="AP1369" s="109"/>
      <c r="AQ1369" s="109"/>
      <c r="AR1369" s="109"/>
      <c r="AS1369" s="109"/>
    </row>
    <row r="1370" spans="1:45" ht="12.6" customHeight="1" x14ac:dyDescent="0.3">
      <c r="A1370" s="95" t="s">
        <v>117</v>
      </c>
      <c r="B1370" s="96" t="s">
        <v>117</v>
      </c>
      <c r="C1370" s="158">
        <f>C1474</f>
        <v>19453</v>
      </c>
      <c r="D1370" s="158">
        <f>D1474</f>
        <v>0</v>
      </c>
      <c r="E1370" s="158">
        <f>E1474</f>
        <v>0</v>
      </c>
      <c r="F1370" s="158">
        <f>F1474</f>
        <v>19453</v>
      </c>
      <c r="G1370" s="36" t="str">
        <f>HYPERLINK("#G"&amp;ROW(G1468),"_x0005_`BDCOD|D02155_x0007_`POSS|"&amp;ROW(G1372)&amp;"_x0007_`POSE|"&amp;ROW(G1468)&amp;"_x0007_`")</f>
        <v>_x0005_`BDCOD|D02155_x0007_`POSS|1372_x0007_`POSE|1468_x0007_`</v>
      </c>
      <c r="Z1370" s="109"/>
      <c r="AA1370" s="109"/>
      <c r="AB1370" s="109"/>
      <c r="AC1370" s="109"/>
      <c r="AD1370" s="109"/>
      <c r="AE1370" s="109"/>
      <c r="AF1370" s="109"/>
      <c r="AG1370" s="109"/>
      <c r="AH1370" s="109"/>
      <c r="AI1370" s="109"/>
      <c r="AJ1370" s="109"/>
      <c r="AK1370" s="109"/>
      <c r="AL1370" s="109"/>
      <c r="AM1370" s="109"/>
      <c r="AN1370" s="109"/>
      <c r="AO1370" s="109"/>
      <c r="AP1370" s="109"/>
      <c r="AQ1370" s="109"/>
      <c r="AR1370" s="109"/>
      <c r="AS1370" s="109"/>
    </row>
    <row r="1371" spans="1:45" ht="12.6" customHeight="1" x14ac:dyDescent="0.3">
      <c r="A1371" s="84"/>
      <c r="B1371" s="96" t="s">
        <v>249</v>
      </c>
      <c r="C1371" s="141"/>
      <c r="D1371" s="141"/>
      <c r="E1371" s="141"/>
      <c r="F1371" s="141"/>
      <c r="M1371" s="20" t="s">
        <v>248</v>
      </c>
      <c r="Z1371" s="109"/>
      <c r="AA1371" s="109"/>
      <c r="AB1371" s="109"/>
      <c r="AC1371" s="109"/>
      <c r="AD1371" s="109"/>
      <c r="AE1371" s="109"/>
      <c r="AF1371" s="109"/>
      <c r="AG1371" s="109"/>
      <c r="AH1371" s="109"/>
      <c r="AI1371" s="109"/>
      <c r="AJ1371" s="109"/>
      <c r="AK1371" s="109"/>
      <c r="AL1371" s="109"/>
      <c r="AM1371" s="109"/>
      <c r="AN1371" s="109"/>
      <c r="AO1371" s="109"/>
      <c r="AP1371" s="109"/>
      <c r="AQ1371" s="109"/>
      <c r="AR1371" s="109"/>
      <c r="AS1371" s="109"/>
    </row>
    <row r="1372" spans="1:45" ht="12.6" customHeight="1" x14ac:dyDescent="0.3">
      <c r="A1372" s="78"/>
      <c r="B1372" s="78"/>
      <c r="C1372" s="98"/>
      <c r="D1372" s="98"/>
      <c r="E1372" s="98"/>
      <c r="F1372" s="98"/>
      <c r="G1372" s="16" t="s">
        <v>1317</v>
      </c>
      <c r="Z1372" s="109"/>
      <c r="AA1372" s="109"/>
      <c r="AB1372" s="109"/>
      <c r="AC1372" s="109"/>
      <c r="AD1372" s="109"/>
      <c r="AE1372" s="109"/>
      <c r="AF1372" s="109"/>
      <c r="AG1372" s="109"/>
      <c r="AH1372" s="109"/>
      <c r="AI1372" s="109"/>
      <c r="AJ1372" s="109"/>
      <c r="AK1372" s="109"/>
      <c r="AL1372" s="109"/>
      <c r="AM1372" s="109"/>
      <c r="AN1372" s="109"/>
      <c r="AO1372" s="109"/>
      <c r="AP1372" s="109"/>
      <c r="AQ1372" s="109"/>
      <c r="AR1372" s="109"/>
      <c r="AS1372" s="109"/>
    </row>
    <row r="1373" spans="1:45" ht="12.6" customHeight="1" x14ac:dyDescent="0.3">
      <c r="A1373" s="68"/>
      <c r="B1373" s="77" t="s">
        <v>1826</v>
      </c>
      <c r="C1373" s="78"/>
      <c r="D1373" s="78"/>
      <c r="E1373" s="78"/>
      <c r="F1373" s="78"/>
      <c r="G1373" s="16" t="s">
        <v>1825</v>
      </c>
      <c r="Z1373" s="109"/>
      <c r="AA1373" s="109"/>
      <c r="AB1373" s="109"/>
      <c r="AC1373" s="109"/>
      <c r="AD1373" s="109"/>
      <c r="AE1373" s="109"/>
      <c r="AF1373" s="109"/>
      <c r="AG1373" s="109"/>
      <c r="AH1373" s="109"/>
      <c r="AI1373" s="109"/>
      <c r="AJ1373" s="109"/>
      <c r="AK1373" s="109"/>
      <c r="AL1373" s="109"/>
      <c r="AM1373" s="109"/>
      <c r="AN1373" s="109"/>
      <c r="AO1373" s="109"/>
      <c r="AP1373" s="109"/>
      <c r="AQ1373" s="109"/>
      <c r="AR1373" s="109"/>
      <c r="AS1373" s="109"/>
    </row>
    <row r="1374" spans="1:45" ht="12.6" customHeight="1" x14ac:dyDescent="0.3">
      <c r="A1374" s="78"/>
      <c r="B1374" s="78"/>
      <c r="C1374" s="78"/>
      <c r="D1374" s="78"/>
      <c r="E1374" s="78"/>
      <c r="F1374" s="78"/>
      <c r="G1374" s="16" t="s">
        <v>1317</v>
      </c>
      <c r="Z1374" s="109"/>
      <c r="AA1374" s="109"/>
      <c r="AB1374" s="109"/>
      <c r="AC1374" s="109"/>
      <c r="AD1374" s="109"/>
      <c r="AE1374" s="109"/>
      <c r="AF1374" s="109"/>
      <c r="AG1374" s="109"/>
      <c r="AH1374" s="109"/>
      <c r="AI1374" s="109"/>
      <c r="AJ1374" s="109"/>
      <c r="AK1374" s="109"/>
      <c r="AL1374" s="109"/>
      <c r="AM1374" s="109"/>
      <c r="AN1374" s="109"/>
      <c r="AO1374" s="109"/>
      <c r="AP1374" s="109"/>
      <c r="AQ1374" s="109"/>
      <c r="AR1374" s="109"/>
      <c r="AS1374" s="109"/>
    </row>
    <row r="1375" spans="1:45" ht="12.6" customHeight="1" x14ac:dyDescent="0.3">
      <c r="A1375" s="68"/>
      <c r="B1375" s="97" t="str">
        <f>"            포  장 :  L1 =  "&amp;Z1375&amp;" km "</f>
        <v xml:space="preserve">            포  장 :  L1 =  9.4 km </v>
      </c>
      <c r="C1375" s="78"/>
      <c r="D1375" s="78"/>
      <c r="E1375" s="78"/>
      <c r="F1375" s="78"/>
      <c r="G1375" s="16" t="s">
        <v>1827</v>
      </c>
      <c r="Z1375" s="110">
        <v>9.4</v>
      </c>
      <c r="AA1375" s="20" t="s">
        <v>1326</v>
      </c>
      <c r="AB1375" s="112">
        <f>Z1375</f>
        <v>9.4</v>
      </c>
      <c r="AC1375" s="109"/>
      <c r="AD1375" s="109"/>
      <c r="AE1375" s="109"/>
      <c r="AF1375" s="109"/>
      <c r="AG1375" s="109"/>
      <c r="AH1375" s="109"/>
      <c r="AI1375" s="109"/>
      <c r="AJ1375" s="109"/>
      <c r="AK1375" s="109"/>
      <c r="AL1375" s="109"/>
      <c r="AM1375" s="109"/>
      <c r="AN1375" s="109"/>
      <c r="AO1375" s="109"/>
      <c r="AP1375" s="109"/>
      <c r="AQ1375" s="109"/>
      <c r="AR1375" s="109"/>
      <c r="AS1375" s="109"/>
    </row>
    <row r="1376" spans="1:45" ht="12.6" customHeight="1" x14ac:dyDescent="0.3">
      <c r="A1376" s="68"/>
      <c r="B1376" s="77" t="s">
        <v>1829</v>
      </c>
      <c r="C1376" s="78"/>
      <c r="D1376" s="78"/>
      <c r="E1376" s="78"/>
      <c r="F1376" s="78"/>
      <c r="G1376" s="16" t="s">
        <v>1828</v>
      </c>
      <c r="Z1376" s="109"/>
      <c r="AA1376" s="109"/>
      <c r="AB1376" s="109"/>
      <c r="AC1376" s="109"/>
      <c r="AD1376" s="109"/>
      <c r="AE1376" s="109"/>
      <c r="AF1376" s="109"/>
      <c r="AG1376" s="109"/>
      <c r="AH1376" s="109"/>
      <c r="AI1376" s="109"/>
      <c r="AJ1376" s="109"/>
      <c r="AK1376" s="109"/>
      <c r="AL1376" s="109"/>
      <c r="AM1376" s="109"/>
      <c r="AN1376" s="109"/>
      <c r="AO1376" s="109"/>
      <c r="AP1376" s="109"/>
      <c r="AQ1376" s="109"/>
      <c r="AR1376" s="109"/>
      <c r="AS1376" s="109"/>
    </row>
    <row r="1377" spans="1:45" ht="12.6" customHeight="1" x14ac:dyDescent="0.3">
      <c r="A1377" s="68"/>
      <c r="B1377" s="97" t="str">
        <f>"            비포장 :  L2 =  "&amp;Z1377&amp;" km "</f>
        <v xml:space="preserve">            비포장 :  L2 =  7 km </v>
      </c>
      <c r="C1377" s="78"/>
      <c r="D1377" s="78"/>
      <c r="E1377" s="78"/>
      <c r="F1377" s="78"/>
      <c r="G1377" s="16" t="s">
        <v>1830</v>
      </c>
      <c r="Z1377" s="111">
        <v>7</v>
      </c>
      <c r="AA1377" s="20" t="s">
        <v>1326</v>
      </c>
      <c r="AB1377" s="112">
        <f>Z1377</f>
        <v>7</v>
      </c>
      <c r="AC1377" s="109"/>
      <c r="AD1377" s="109"/>
      <c r="AE1377" s="109"/>
      <c r="AF1377" s="109"/>
      <c r="AG1377" s="109"/>
      <c r="AH1377" s="109"/>
      <c r="AI1377" s="109"/>
      <c r="AJ1377" s="109"/>
      <c r="AK1377" s="109"/>
      <c r="AL1377" s="109"/>
      <c r="AM1377" s="109"/>
      <c r="AN1377" s="109"/>
      <c r="AO1377" s="109"/>
      <c r="AP1377" s="109"/>
      <c r="AQ1377" s="109"/>
      <c r="AR1377" s="109"/>
      <c r="AS1377" s="109"/>
    </row>
    <row r="1378" spans="1:45" ht="12.6" customHeight="1" x14ac:dyDescent="0.3">
      <c r="A1378" s="78"/>
      <c r="B1378" s="78"/>
      <c r="C1378" s="78"/>
      <c r="D1378" s="78"/>
      <c r="E1378" s="78"/>
      <c r="F1378" s="78"/>
      <c r="G1378" s="16" t="s">
        <v>1317</v>
      </c>
      <c r="Z1378" s="109"/>
      <c r="AA1378" s="109"/>
      <c r="AB1378" s="109"/>
      <c r="AC1378" s="109"/>
      <c r="AD1378" s="109"/>
      <c r="AE1378" s="109"/>
      <c r="AF1378" s="109"/>
      <c r="AG1378" s="109"/>
      <c r="AH1378" s="109"/>
      <c r="AI1378" s="109"/>
      <c r="AJ1378" s="109"/>
      <c r="AK1378" s="109"/>
      <c r="AL1378" s="109"/>
      <c r="AM1378" s="109"/>
      <c r="AN1378" s="109"/>
      <c r="AO1378" s="109"/>
      <c r="AP1378" s="109"/>
      <c r="AQ1378" s="109"/>
      <c r="AR1378" s="109"/>
      <c r="AS1378" s="109"/>
    </row>
    <row r="1379" spans="1:45" ht="12.6" customHeight="1" x14ac:dyDescent="0.3">
      <c r="A1379" s="78"/>
      <c r="B1379" s="78"/>
      <c r="C1379" s="78"/>
      <c r="D1379" s="78"/>
      <c r="E1379" s="78"/>
      <c r="F1379" s="78"/>
      <c r="G1379" s="16" t="s">
        <v>1317</v>
      </c>
      <c r="Z1379" s="109"/>
      <c r="AA1379" s="109"/>
      <c r="AB1379" s="109"/>
      <c r="AC1379" s="109"/>
      <c r="AD1379" s="109"/>
      <c r="AE1379" s="109"/>
      <c r="AF1379" s="109"/>
      <c r="AG1379" s="109"/>
      <c r="AH1379" s="109"/>
      <c r="AI1379" s="109"/>
      <c r="AJ1379" s="109"/>
      <c r="AK1379" s="109"/>
      <c r="AL1379" s="109"/>
      <c r="AM1379" s="109"/>
      <c r="AN1379" s="109"/>
      <c r="AO1379" s="109"/>
      <c r="AP1379" s="109"/>
      <c r="AQ1379" s="109"/>
      <c r="AR1379" s="109"/>
      <c r="AS1379" s="109"/>
    </row>
    <row r="1380" spans="1:45" ht="12.6" customHeight="1" x14ac:dyDescent="0.3">
      <c r="A1380" s="68"/>
      <c r="B1380" s="77" t="s">
        <v>1832</v>
      </c>
      <c r="C1380" s="78"/>
      <c r="D1380" s="78"/>
      <c r="E1380" s="78"/>
      <c r="F1380" s="78"/>
      <c r="G1380" s="16" t="s">
        <v>1831</v>
      </c>
      <c r="Z1380" s="109"/>
      <c r="AA1380" s="109"/>
      <c r="AB1380" s="109"/>
      <c r="AC1380" s="109"/>
      <c r="AD1380" s="109"/>
      <c r="AE1380" s="109"/>
      <c r="AF1380" s="109"/>
      <c r="AG1380" s="109"/>
      <c r="AH1380" s="109"/>
      <c r="AI1380" s="109"/>
      <c r="AJ1380" s="109"/>
      <c r="AK1380" s="109"/>
      <c r="AL1380" s="109"/>
      <c r="AM1380" s="109"/>
      <c r="AN1380" s="109"/>
      <c r="AO1380" s="109"/>
      <c r="AP1380" s="109"/>
      <c r="AQ1380" s="109"/>
      <c r="AR1380" s="109"/>
      <c r="AS1380" s="109"/>
    </row>
    <row r="1381" spans="1:45" ht="12.6" customHeight="1" x14ac:dyDescent="0.3">
      <c r="A1381" s="78"/>
      <c r="B1381" s="78"/>
      <c r="C1381" s="78"/>
      <c r="D1381" s="78"/>
      <c r="E1381" s="78"/>
      <c r="F1381" s="78"/>
      <c r="G1381" s="16" t="s">
        <v>1317</v>
      </c>
      <c r="Z1381" s="109"/>
      <c r="AA1381" s="109"/>
      <c r="AB1381" s="109"/>
      <c r="AC1381" s="109"/>
      <c r="AD1381" s="109"/>
      <c r="AE1381" s="109"/>
      <c r="AF1381" s="109"/>
      <c r="AG1381" s="109"/>
      <c r="AH1381" s="109"/>
      <c r="AI1381" s="109"/>
      <c r="AJ1381" s="109"/>
      <c r="AK1381" s="109"/>
      <c r="AL1381" s="109"/>
      <c r="AM1381" s="109"/>
      <c r="AN1381" s="109"/>
      <c r="AO1381" s="109"/>
      <c r="AP1381" s="109"/>
      <c r="AQ1381" s="109"/>
      <c r="AR1381" s="109"/>
      <c r="AS1381" s="109"/>
    </row>
    <row r="1382" spans="1:45" ht="12.6" customHeight="1" x14ac:dyDescent="0.3">
      <c r="A1382" s="78"/>
      <c r="B1382" s="78"/>
      <c r="C1382" s="78"/>
      <c r="D1382" s="78"/>
      <c r="E1382" s="78"/>
      <c r="F1382" s="78"/>
      <c r="G1382" s="16" t="s">
        <v>1317</v>
      </c>
      <c r="Z1382" s="109"/>
      <c r="AA1382" s="109"/>
      <c r="AB1382" s="109"/>
      <c r="AC1382" s="109"/>
      <c r="AD1382" s="109"/>
      <c r="AE1382" s="109"/>
      <c r="AF1382" s="109"/>
      <c r="AG1382" s="109"/>
      <c r="AH1382" s="109"/>
      <c r="AI1382" s="109"/>
      <c r="AJ1382" s="109"/>
      <c r="AK1382" s="109"/>
      <c r="AL1382" s="109"/>
      <c r="AM1382" s="109"/>
      <c r="AN1382" s="109"/>
      <c r="AO1382" s="109"/>
      <c r="AP1382" s="109"/>
      <c r="AQ1382" s="109"/>
      <c r="AR1382" s="109"/>
      <c r="AS1382" s="109"/>
    </row>
    <row r="1383" spans="1:45" ht="12.6" customHeight="1" x14ac:dyDescent="0.3">
      <c r="A1383" s="68"/>
      <c r="B1383" s="77" t="s">
        <v>1834</v>
      </c>
      <c r="C1383" s="78"/>
      <c r="D1383" s="78"/>
      <c r="E1383" s="78"/>
      <c r="F1383" s="78"/>
      <c r="G1383" s="16" t="s">
        <v>1833</v>
      </c>
      <c r="Z1383" s="109"/>
      <c r="AA1383" s="109"/>
      <c r="AB1383" s="109"/>
      <c r="AC1383" s="109"/>
      <c r="AD1383" s="109"/>
      <c r="AE1383" s="109"/>
      <c r="AF1383" s="109"/>
      <c r="AG1383" s="109"/>
      <c r="AH1383" s="109"/>
      <c r="AI1383" s="109"/>
      <c r="AJ1383" s="109"/>
      <c r="AK1383" s="109"/>
      <c r="AL1383" s="109"/>
      <c r="AM1383" s="109"/>
      <c r="AN1383" s="109"/>
      <c r="AO1383" s="109"/>
      <c r="AP1383" s="109"/>
      <c r="AQ1383" s="109"/>
      <c r="AR1383" s="109"/>
      <c r="AS1383" s="109"/>
    </row>
    <row r="1384" spans="1:45" ht="12.6" customHeight="1" x14ac:dyDescent="0.3">
      <c r="A1384" s="78"/>
      <c r="B1384" s="78"/>
      <c r="C1384" s="78"/>
      <c r="D1384" s="78"/>
      <c r="E1384" s="78"/>
      <c r="F1384" s="78"/>
      <c r="G1384" s="16" t="s">
        <v>1317</v>
      </c>
      <c r="Z1384" s="109"/>
      <c r="AA1384" s="109"/>
      <c r="AB1384" s="109"/>
      <c r="AC1384" s="109"/>
      <c r="AD1384" s="109"/>
      <c r="AE1384" s="109"/>
      <c r="AF1384" s="109"/>
      <c r="AG1384" s="109"/>
      <c r="AH1384" s="109"/>
      <c r="AI1384" s="109"/>
      <c r="AJ1384" s="109"/>
      <c r="AK1384" s="109"/>
      <c r="AL1384" s="109"/>
      <c r="AM1384" s="109"/>
      <c r="AN1384" s="109"/>
      <c r="AO1384" s="109"/>
      <c r="AP1384" s="109"/>
      <c r="AQ1384" s="109"/>
      <c r="AR1384" s="109"/>
      <c r="AS1384" s="109"/>
    </row>
    <row r="1385" spans="1:45" ht="12.6" customHeight="1" x14ac:dyDescent="0.3">
      <c r="A1385" s="78"/>
      <c r="B1385" s="78"/>
      <c r="C1385" s="78"/>
      <c r="D1385" s="78"/>
      <c r="E1385" s="78"/>
      <c r="F1385" s="78"/>
      <c r="G1385" s="16" t="s">
        <v>1317</v>
      </c>
      <c r="Z1385" s="109"/>
      <c r="AA1385" s="109"/>
      <c r="AB1385" s="109"/>
      <c r="AC1385" s="109"/>
      <c r="AD1385" s="109"/>
      <c r="AE1385" s="109"/>
      <c r="AF1385" s="109"/>
      <c r="AG1385" s="109"/>
      <c r="AH1385" s="109"/>
      <c r="AI1385" s="109"/>
      <c r="AJ1385" s="109"/>
      <c r="AK1385" s="109"/>
      <c r="AL1385" s="109"/>
      <c r="AM1385" s="109"/>
      <c r="AN1385" s="109"/>
      <c r="AO1385" s="109"/>
      <c r="AP1385" s="109"/>
      <c r="AQ1385" s="109"/>
      <c r="AR1385" s="109"/>
      <c r="AS1385" s="109"/>
    </row>
    <row r="1386" spans="1:45" ht="12.6" customHeight="1" x14ac:dyDescent="0.3">
      <c r="A1386" s="68"/>
      <c r="B1386" s="77" t="s">
        <v>1836</v>
      </c>
      <c r="C1386" s="78"/>
      <c r="D1386" s="78"/>
      <c r="E1386" s="78"/>
      <c r="F1386" s="78"/>
      <c r="G1386" s="16" t="s">
        <v>1835</v>
      </c>
      <c r="Z1386" s="109"/>
      <c r="AA1386" s="109"/>
      <c r="AB1386" s="109"/>
      <c r="AC1386" s="109"/>
      <c r="AD1386" s="109"/>
      <c r="AE1386" s="109"/>
      <c r="AF1386" s="109"/>
      <c r="AG1386" s="109"/>
      <c r="AH1386" s="109"/>
      <c r="AI1386" s="109"/>
      <c r="AJ1386" s="109"/>
      <c r="AK1386" s="109"/>
      <c r="AL1386" s="109"/>
      <c r="AM1386" s="109"/>
      <c r="AN1386" s="109"/>
      <c r="AO1386" s="109"/>
      <c r="AP1386" s="109"/>
      <c r="AQ1386" s="109"/>
      <c r="AR1386" s="109"/>
      <c r="AS1386" s="109"/>
    </row>
    <row r="1387" spans="1:45" ht="12.6" customHeight="1" x14ac:dyDescent="0.3">
      <c r="A1387" s="78"/>
      <c r="B1387" s="78"/>
      <c r="C1387" s="78"/>
      <c r="D1387" s="78"/>
      <c r="E1387" s="78"/>
      <c r="F1387" s="78"/>
      <c r="G1387" s="16" t="s">
        <v>1317</v>
      </c>
      <c r="Z1387" s="109"/>
      <c r="AA1387" s="109"/>
      <c r="AB1387" s="109"/>
      <c r="AC1387" s="109"/>
      <c r="AD1387" s="109"/>
      <c r="AE1387" s="109"/>
      <c r="AF1387" s="109"/>
      <c r="AG1387" s="109"/>
      <c r="AH1387" s="109"/>
      <c r="AI1387" s="109"/>
      <c r="AJ1387" s="109"/>
      <c r="AK1387" s="109"/>
      <c r="AL1387" s="109"/>
      <c r="AM1387" s="109"/>
      <c r="AN1387" s="109"/>
      <c r="AO1387" s="109"/>
      <c r="AP1387" s="109"/>
      <c r="AQ1387" s="109"/>
      <c r="AR1387" s="109"/>
      <c r="AS1387" s="109"/>
    </row>
    <row r="1388" spans="1:45" ht="12.6" customHeight="1" x14ac:dyDescent="0.3">
      <c r="A1388" s="68"/>
      <c r="B1388" s="97" t="str">
        <f>" f (체적환산계수) ="&amp;Z1388&amp;"/"&amp;AB1388&amp;" , E (작업효율) ="&amp;AF1388&amp;" , k (버킷계수) ="&amp;AJ1388&amp;""</f>
        <v xml:space="preserve"> f (체적환산계수) =1/1.15 , E (작업효율) =0.9 , k (버킷계수) =1</v>
      </c>
      <c r="C1388" s="78"/>
      <c r="D1388" s="78"/>
      <c r="E1388" s="78"/>
      <c r="F1388" s="78"/>
      <c r="G1388" s="16" t="s">
        <v>1837</v>
      </c>
      <c r="Z1388" s="111">
        <v>1</v>
      </c>
      <c r="AA1388" s="20" t="s">
        <v>1387</v>
      </c>
      <c r="AB1388" s="110">
        <v>1.1499999999999999</v>
      </c>
      <c r="AC1388" s="20" t="s">
        <v>1326</v>
      </c>
      <c r="AD1388" s="112">
        <f>ROUND(Z1388/AB1388,13)</f>
        <v>0.86956521739129999</v>
      </c>
      <c r="AE1388" s="20" t="s">
        <v>1385</v>
      </c>
      <c r="AF1388" s="110">
        <v>0.9</v>
      </c>
      <c r="AG1388" s="20" t="s">
        <v>1326</v>
      </c>
      <c r="AH1388" s="112">
        <f>AF1388</f>
        <v>0.9</v>
      </c>
      <c r="AI1388" s="20" t="s">
        <v>1385</v>
      </c>
      <c r="AJ1388" s="111">
        <v>1</v>
      </c>
      <c r="AK1388" s="20" t="s">
        <v>1326</v>
      </c>
      <c r="AL1388" s="112">
        <f>AJ1388</f>
        <v>1</v>
      </c>
      <c r="AM1388" s="20" t="s">
        <v>1385</v>
      </c>
      <c r="AN1388" s="109"/>
      <c r="AO1388" s="109"/>
      <c r="AP1388" s="109"/>
      <c r="AQ1388" s="109"/>
      <c r="AR1388" s="109"/>
      <c r="AS1388" s="109"/>
    </row>
    <row r="1389" spans="1:45" ht="12.6" customHeight="1" x14ac:dyDescent="0.3">
      <c r="A1389" s="78"/>
      <c r="B1389" s="78"/>
      <c r="C1389" s="78"/>
      <c r="D1389" s="78"/>
      <c r="E1389" s="78"/>
      <c r="F1389" s="78"/>
      <c r="G1389" s="16" t="s">
        <v>1317</v>
      </c>
      <c r="Z1389" s="109"/>
      <c r="AA1389" s="109"/>
      <c r="AB1389" s="109"/>
      <c r="AC1389" s="109"/>
      <c r="AD1389" s="109"/>
      <c r="AE1389" s="109"/>
      <c r="AF1389" s="109"/>
      <c r="AG1389" s="109"/>
      <c r="AH1389" s="109"/>
      <c r="AI1389" s="109"/>
      <c r="AJ1389" s="109"/>
      <c r="AK1389" s="109"/>
      <c r="AL1389" s="109"/>
      <c r="AM1389" s="109"/>
      <c r="AN1389" s="109"/>
      <c r="AO1389" s="109"/>
      <c r="AP1389" s="109"/>
      <c r="AQ1389" s="109"/>
      <c r="AR1389" s="109"/>
      <c r="AS1389" s="109"/>
    </row>
    <row r="1390" spans="1:45" ht="12.6" customHeight="1" x14ac:dyDescent="0.3">
      <c r="A1390" s="68"/>
      <c r="B1390" s="97" t="str">
        <f>" V1="&amp;Z1390&amp;" , V2="&amp;AD1390&amp;" , V3="&amp;AH1390&amp;" , V4="&amp;AL1390&amp;""</f>
        <v xml:space="preserve"> V1=30 , V2=35 , V3=10 , V4=15</v>
      </c>
      <c r="C1390" s="78"/>
      <c r="D1390" s="78"/>
      <c r="E1390" s="78"/>
      <c r="F1390" s="78"/>
      <c r="G1390" s="16" t="s">
        <v>1696</v>
      </c>
      <c r="Z1390" s="111">
        <v>30</v>
      </c>
      <c r="AA1390" s="20" t="s">
        <v>1326</v>
      </c>
      <c r="AB1390" s="112">
        <f>Z1390</f>
        <v>30</v>
      </c>
      <c r="AC1390" s="20" t="s">
        <v>1385</v>
      </c>
      <c r="AD1390" s="111">
        <v>35</v>
      </c>
      <c r="AE1390" s="20" t="s">
        <v>1326</v>
      </c>
      <c r="AF1390" s="112">
        <f>AD1390</f>
        <v>35</v>
      </c>
      <c r="AG1390" s="20" t="s">
        <v>1385</v>
      </c>
      <c r="AH1390" s="111">
        <v>10</v>
      </c>
      <c r="AI1390" s="20" t="s">
        <v>1326</v>
      </c>
      <c r="AJ1390" s="112">
        <f>AH1390</f>
        <v>10</v>
      </c>
      <c r="AK1390" s="20" t="s">
        <v>1385</v>
      </c>
      <c r="AL1390" s="111">
        <v>15</v>
      </c>
      <c r="AM1390" s="20" t="s">
        <v>1326</v>
      </c>
      <c r="AN1390" s="112">
        <f>AL1390</f>
        <v>15</v>
      </c>
      <c r="AO1390" s="20" t="s">
        <v>1385</v>
      </c>
      <c r="AP1390" s="109"/>
      <c r="AQ1390" s="109"/>
      <c r="AR1390" s="109"/>
      <c r="AS1390" s="109"/>
    </row>
    <row r="1391" spans="1:45" ht="12.6" customHeight="1" x14ac:dyDescent="0.3">
      <c r="A1391" s="78"/>
      <c r="B1391" s="78"/>
      <c r="C1391" s="78"/>
      <c r="D1391" s="78"/>
      <c r="E1391" s="78"/>
      <c r="F1391" s="78"/>
      <c r="G1391" s="16" t="s">
        <v>1317</v>
      </c>
      <c r="Z1391" s="109"/>
      <c r="AA1391" s="109"/>
      <c r="AB1391" s="109"/>
      <c r="AC1391" s="109"/>
      <c r="AD1391" s="109"/>
      <c r="AE1391" s="109"/>
      <c r="AF1391" s="109"/>
      <c r="AG1391" s="109"/>
      <c r="AH1391" s="109"/>
      <c r="AI1391" s="109"/>
      <c r="AJ1391" s="109"/>
      <c r="AK1391" s="109"/>
      <c r="AL1391" s="109"/>
      <c r="AM1391" s="109"/>
      <c r="AN1391" s="109"/>
      <c r="AO1391" s="109"/>
      <c r="AP1391" s="109"/>
      <c r="AQ1391" s="109"/>
      <c r="AR1391" s="109"/>
      <c r="AS1391" s="109"/>
    </row>
    <row r="1392" spans="1:45" ht="12.6" customHeight="1" x14ac:dyDescent="0.3">
      <c r="A1392" s="68"/>
      <c r="B1392" s="97" t="str">
        <f>" q1 (흐트러진상태의 덤프트럭 1회 적재량)  = ("&amp;AA1392&amp;"/"&amp;AC1392&amp;") * "&amp;AE1392&amp;" = "&amp;AG1392&amp;""</f>
        <v xml:space="preserve"> q1 (흐트러진상태의 덤프트럭 1회 적재량)  = (15/1.7) * 1.15 = 10.15</v>
      </c>
      <c r="C1392" s="78"/>
      <c r="D1392" s="78"/>
      <c r="E1392" s="78"/>
      <c r="F1392" s="78"/>
      <c r="G1392" s="16" t="s">
        <v>1838</v>
      </c>
      <c r="Z1392" s="20" t="s">
        <v>1526</v>
      </c>
      <c r="AA1392" s="111">
        <v>15</v>
      </c>
      <c r="AB1392" s="20" t="s">
        <v>1387</v>
      </c>
      <c r="AC1392" s="110">
        <v>1.7</v>
      </c>
      <c r="AD1392" s="20" t="s">
        <v>1527</v>
      </c>
      <c r="AE1392" s="110">
        <v>1.1499999999999999</v>
      </c>
      <c r="AF1392" s="20" t="s">
        <v>1326</v>
      </c>
      <c r="AG1392" s="112" t="str">
        <f>TEXT(ROUND((AA1392/AC1392)*AE1392,2),"0.00")</f>
        <v>10.15</v>
      </c>
      <c r="AH1392" s="109"/>
      <c r="AI1392" s="109"/>
      <c r="AJ1392" s="109"/>
      <c r="AK1392" s="109"/>
      <c r="AL1392" s="109"/>
      <c r="AM1392" s="109"/>
      <c r="AN1392" s="109"/>
      <c r="AO1392" s="109"/>
      <c r="AP1392" s="109"/>
      <c r="AQ1392" s="109"/>
      <c r="AR1392" s="109"/>
      <c r="AS1392" s="109"/>
    </row>
    <row r="1393" spans="1:45" ht="12.6" customHeight="1" x14ac:dyDescent="0.3">
      <c r="A1393" s="78"/>
      <c r="B1393" s="78"/>
      <c r="C1393" s="78"/>
      <c r="D1393" s="78"/>
      <c r="E1393" s="78"/>
      <c r="F1393" s="78"/>
      <c r="G1393" s="16" t="s">
        <v>1317</v>
      </c>
      <c r="Z1393" s="109"/>
      <c r="AA1393" s="109"/>
      <c r="AB1393" s="109"/>
      <c r="AC1393" s="109"/>
      <c r="AD1393" s="109"/>
      <c r="AE1393" s="109"/>
      <c r="AF1393" s="109"/>
      <c r="AG1393" s="109"/>
      <c r="AH1393" s="109"/>
      <c r="AI1393" s="109"/>
      <c r="AJ1393" s="109"/>
      <c r="AK1393" s="109"/>
      <c r="AL1393" s="109"/>
      <c r="AM1393" s="109"/>
      <c r="AN1393" s="109"/>
      <c r="AO1393" s="109"/>
      <c r="AP1393" s="109"/>
      <c r="AQ1393" s="109"/>
      <c r="AR1393" s="109"/>
      <c r="AS1393" s="109"/>
    </row>
    <row r="1394" spans="1:45" ht="12.6" customHeight="1" x14ac:dyDescent="0.3">
      <c r="A1394" s="68"/>
      <c r="B1394" s="77" t="s">
        <v>1528</v>
      </c>
      <c r="C1394" s="78"/>
      <c r="D1394" s="78"/>
      <c r="E1394" s="78"/>
      <c r="F1394" s="78"/>
      <c r="G1394" s="16" t="s">
        <v>1803</v>
      </c>
      <c r="Z1394" s="109"/>
      <c r="AA1394" s="109"/>
      <c r="AB1394" s="109"/>
      <c r="AC1394" s="109"/>
      <c r="AD1394" s="109"/>
      <c r="AE1394" s="109"/>
      <c r="AF1394" s="109"/>
      <c r="AG1394" s="109"/>
      <c r="AH1394" s="109"/>
      <c r="AI1394" s="109"/>
      <c r="AJ1394" s="109"/>
      <c r="AK1394" s="109"/>
      <c r="AL1394" s="109"/>
      <c r="AM1394" s="109"/>
      <c r="AN1394" s="109"/>
      <c r="AO1394" s="109"/>
      <c r="AP1394" s="109"/>
      <c r="AQ1394" s="109"/>
      <c r="AR1394" s="109"/>
      <c r="AS1394" s="109"/>
    </row>
    <row r="1395" spans="1:45" ht="12.6" customHeight="1" x14ac:dyDescent="0.3">
      <c r="A1395" s="78"/>
      <c r="B1395" s="78"/>
      <c r="C1395" s="78"/>
      <c r="D1395" s="78"/>
      <c r="E1395" s="78"/>
      <c r="F1395" s="78"/>
      <c r="G1395" s="16" t="s">
        <v>1317</v>
      </c>
      <c r="Z1395" s="109"/>
      <c r="AA1395" s="109"/>
      <c r="AB1395" s="109"/>
      <c r="AC1395" s="109"/>
      <c r="AD1395" s="109"/>
      <c r="AE1395" s="109"/>
      <c r="AF1395" s="109"/>
      <c r="AG1395" s="109"/>
      <c r="AH1395" s="109"/>
      <c r="AI1395" s="109"/>
      <c r="AJ1395" s="109"/>
      <c r="AK1395" s="109"/>
      <c r="AL1395" s="109"/>
      <c r="AM1395" s="109"/>
      <c r="AN1395" s="109"/>
      <c r="AO1395" s="109"/>
      <c r="AP1395" s="109"/>
      <c r="AQ1395" s="109"/>
      <c r="AR1395" s="109"/>
      <c r="AS1395" s="109"/>
    </row>
    <row r="1396" spans="1:45" ht="12.6" customHeight="1" x14ac:dyDescent="0.3">
      <c r="A1396" s="68"/>
      <c r="B1396" s="97" t="str">
        <f>" n =q1 / ("&amp;AB1396&amp;" * k) = "&amp;AG1396&amp;"  회 "</f>
        <v xml:space="preserve"> n =q1 / (1.34 * k) = 7.57  회 </v>
      </c>
      <c r="C1396" s="78"/>
      <c r="D1396" s="78"/>
      <c r="E1396" s="78"/>
      <c r="F1396" s="78"/>
      <c r="G1396" s="16" t="s">
        <v>1804</v>
      </c>
      <c r="Z1396" s="112" t="str">
        <f>AG1392</f>
        <v>10.15</v>
      </c>
      <c r="AA1396" s="20" t="s">
        <v>1531</v>
      </c>
      <c r="AB1396" s="110">
        <v>1.34</v>
      </c>
      <c r="AC1396" s="20" t="s">
        <v>1390</v>
      </c>
      <c r="AD1396" s="112">
        <f>AL1388</f>
        <v>1</v>
      </c>
      <c r="AE1396" s="20" t="s">
        <v>1532</v>
      </c>
      <c r="AF1396" s="20" t="s">
        <v>1326</v>
      </c>
      <c r="AG1396" s="112" t="str">
        <f>TEXT(ROUND(AG1392/(AB1396*AL1388),2),"0.00")</f>
        <v>7.57</v>
      </c>
      <c r="AH1396" s="109"/>
      <c r="AI1396" s="109"/>
      <c r="AJ1396" s="109"/>
      <c r="AK1396" s="109"/>
      <c r="AL1396" s="109"/>
      <c r="AM1396" s="109"/>
      <c r="AN1396" s="109"/>
      <c r="AO1396" s="109"/>
      <c r="AP1396" s="109"/>
      <c r="AQ1396" s="109"/>
      <c r="AR1396" s="109"/>
      <c r="AS1396" s="109"/>
    </row>
    <row r="1397" spans="1:45" ht="12.6" customHeight="1" x14ac:dyDescent="0.3">
      <c r="A1397" s="78"/>
      <c r="B1397" s="78"/>
      <c r="C1397" s="78"/>
      <c r="D1397" s="78"/>
      <c r="E1397" s="78"/>
      <c r="F1397" s="78"/>
      <c r="G1397" s="16" t="s">
        <v>1317</v>
      </c>
      <c r="Z1397" s="109"/>
      <c r="AA1397" s="109"/>
      <c r="AB1397" s="109"/>
      <c r="AC1397" s="109"/>
      <c r="AD1397" s="109"/>
      <c r="AE1397" s="109"/>
      <c r="AF1397" s="109"/>
      <c r="AG1397" s="109"/>
      <c r="AH1397" s="109"/>
      <c r="AI1397" s="109"/>
      <c r="AJ1397" s="109"/>
      <c r="AK1397" s="109"/>
      <c r="AL1397" s="109"/>
      <c r="AM1397" s="109"/>
      <c r="AN1397" s="109"/>
      <c r="AO1397" s="109"/>
      <c r="AP1397" s="109"/>
      <c r="AQ1397" s="109"/>
      <c r="AR1397" s="109"/>
      <c r="AS1397" s="109"/>
    </row>
    <row r="1398" spans="1:45" ht="12.6" customHeight="1" x14ac:dyDescent="0.3">
      <c r="A1398" s="68"/>
      <c r="B1398" s="97" t="str">
        <f>" Cms (적재기계의 1회사이클시간(초)) ="&amp;Z1398&amp;"*"&amp;AB1398&amp;"+"&amp;AD1398&amp;"+"&amp;AF1398&amp;"= "&amp;AH1398&amp;" 초 "</f>
        <v xml:space="preserve"> Cms (적재기계의 1회사이클시간(초)) =1.8*8+6+14= 34.40 초 </v>
      </c>
      <c r="C1398" s="78"/>
      <c r="D1398" s="78"/>
      <c r="E1398" s="78"/>
      <c r="F1398" s="78"/>
      <c r="G1398" s="16" t="s">
        <v>1805</v>
      </c>
      <c r="Z1398" s="110">
        <v>1.8</v>
      </c>
      <c r="AA1398" s="20" t="s">
        <v>1390</v>
      </c>
      <c r="AB1398" s="111">
        <v>8</v>
      </c>
      <c r="AC1398" s="20" t="s">
        <v>1535</v>
      </c>
      <c r="AD1398" s="111">
        <v>6</v>
      </c>
      <c r="AE1398" s="20" t="s">
        <v>1535</v>
      </c>
      <c r="AF1398" s="111">
        <v>14</v>
      </c>
      <c r="AG1398" s="20" t="s">
        <v>1326</v>
      </c>
      <c r="AH1398" s="112" t="str">
        <f>TEXT(ROUND(Z1398*AB1398+AD1398+AF1398,2),"0.00")</f>
        <v>34.40</v>
      </c>
      <c r="AI1398" s="109"/>
      <c r="AJ1398" s="109"/>
      <c r="AK1398" s="109"/>
      <c r="AL1398" s="109"/>
      <c r="AM1398" s="109"/>
      <c r="AN1398" s="109"/>
      <c r="AO1398" s="109"/>
      <c r="AP1398" s="109"/>
      <c r="AQ1398" s="109"/>
      <c r="AR1398" s="109"/>
      <c r="AS1398" s="109"/>
    </row>
    <row r="1399" spans="1:45" ht="12.6" customHeight="1" x14ac:dyDescent="0.3">
      <c r="A1399" s="78"/>
      <c r="B1399" s="78"/>
      <c r="C1399" s="78"/>
      <c r="D1399" s="78"/>
      <c r="E1399" s="78"/>
      <c r="F1399" s="78"/>
      <c r="G1399" s="16" t="s">
        <v>1317</v>
      </c>
      <c r="Z1399" s="109"/>
      <c r="AA1399" s="109"/>
      <c r="AB1399" s="109"/>
      <c r="AC1399" s="109"/>
      <c r="AD1399" s="109"/>
      <c r="AE1399" s="109"/>
      <c r="AF1399" s="109"/>
      <c r="AG1399" s="109"/>
      <c r="AH1399" s="109"/>
      <c r="AI1399" s="109"/>
      <c r="AJ1399" s="109"/>
      <c r="AK1399" s="109"/>
      <c r="AL1399" s="109"/>
      <c r="AM1399" s="109"/>
      <c r="AN1399" s="109"/>
      <c r="AO1399" s="109"/>
      <c r="AP1399" s="109"/>
      <c r="AQ1399" s="109"/>
      <c r="AR1399" s="109"/>
      <c r="AS1399" s="109"/>
    </row>
    <row r="1400" spans="1:45" ht="12.6" customHeight="1" x14ac:dyDescent="0.3">
      <c r="A1400" s="68"/>
      <c r="B1400" s="97" t="str">
        <f>" t1 (적재시간) =Cms * n / ("&amp;AD1400&amp;" * "&amp;AF1400&amp;") = "&amp;AI1400&amp;" 분 "</f>
        <v xml:space="preserve"> t1 (적재시간) =Cms * n / (60 * 0.6) = 7.23 분 </v>
      </c>
      <c r="C1400" s="78"/>
      <c r="D1400" s="78"/>
      <c r="E1400" s="78"/>
      <c r="F1400" s="78"/>
      <c r="G1400" s="16" t="s">
        <v>1839</v>
      </c>
      <c r="Z1400" s="112" t="str">
        <f>AH1398</f>
        <v>34.40</v>
      </c>
      <c r="AA1400" s="20" t="s">
        <v>1390</v>
      </c>
      <c r="AB1400" s="112" t="str">
        <f>AG1396</f>
        <v>7.57</v>
      </c>
      <c r="AC1400" s="20" t="s">
        <v>1531</v>
      </c>
      <c r="AD1400" s="111">
        <v>60</v>
      </c>
      <c r="AE1400" s="20" t="s">
        <v>1390</v>
      </c>
      <c r="AF1400" s="110">
        <v>0.6</v>
      </c>
      <c r="AG1400" s="20" t="s">
        <v>1532</v>
      </c>
      <c r="AH1400" s="20" t="s">
        <v>1326</v>
      </c>
      <c r="AI1400" s="112" t="str">
        <f>TEXT(ROUND(AH1398*AG1396/(AD1400*AF1400),2),"0.00")</f>
        <v>7.23</v>
      </c>
      <c r="AJ1400" s="109"/>
      <c r="AK1400" s="109"/>
      <c r="AL1400" s="109"/>
      <c r="AM1400" s="109"/>
      <c r="AN1400" s="109"/>
      <c r="AO1400" s="109"/>
      <c r="AP1400" s="109"/>
      <c r="AQ1400" s="109"/>
      <c r="AR1400" s="109"/>
      <c r="AS1400" s="109"/>
    </row>
    <row r="1401" spans="1:45" ht="12.6" customHeight="1" x14ac:dyDescent="0.3">
      <c r="A1401" s="78"/>
      <c r="B1401" s="78"/>
      <c r="C1401" s="78"/>
      <c r="D1401" s="78"/>
      <c r="E1401" s="78"/>
      <c r="F1401" s="78"/>
      <c r="G1401" s="16" t="s">
        <v>1317</v>
      </c>
      <c r="Z1401" s="109"/>
      <c r="AA1401" s="109"/>
      <c r="AB1401" s="109"/>
      <c r="AC1401" s="109"/>
      <c r="AD1401" s="109"/>
      <c r="AE1401" s="109"/>
      <c r="AF1401" s="109"/>
      <c r="AG1401" s="109"/>
      <c r="AH1401" s="109"/>
      <c r="AI1401" s="109"/>
      <c r="AJ1401" s="109"/>
      <c r="AK1401" s="109"/>
      <c r="AL1401" s="109"/>
      <c r="AM1401" s="109"/>
      <c r="AN1401" s="109"/>
      <c r="AO1401" s="109"/>
      <c r="AP1401" s="109"/>
      <c r="AQ1401" s="109"/>
      <c r="AR1401" s="109"/>
      <c r="AS1401" s="109"/>
    </row>
    <row r="1402" spans="1:45" ht="12.6" customHeight="1" x14ac:dyDescent="0.3">
      <c r="A1402" s="68"/>
      <c r="B1402" s="97" t="str">
        <f>" t2 (왕복시간) =(L1/V1+L1/V2+L2/V3+L2/V4 ) * "&amp;AQ1402&amp;" = "&amp;AS1402&amp;" 분 "</f>
        <v xml:space="preserve"> t2 (왕복시간) =(L1/V1+L1/V2+L2/V3+L2/V4 ) * 60 = 104.91 분 </v>
      </c>
      <c r="C1402" s="78"/>
      <c r="D1402" s="78"/>
      <c r="E1402" s="78"/>
      <c r="F1402" s="78"/>
      <c r="G1402" s="16" t="s">
        <v>1702</v>
      </c>
      <c r="Z1402" s="20" t="s">
        <v>1526</v>
      </c>
      <c r="AA1402" s="112">
        <f>AB1375</f>
        <v>9.4</v>
      </c>
      <c r="AB1402" s="20" t="s">
        <v>1387</v>
      </c>
      <c r="AC1402" s="112">
        <f>AB1390</f>
        <v>30</v>
      </c>
      <c r="AD1402" s="20" t="s">
        <v>1535</v>
      </c>
      <c r="AE1402" s="112">
        <f>AB1375</f>
        <v>9.4</v>
      </c>
      <c r="AF1402" s="20" t="s">
        <v>1387</v>
      </c>
      <c r="AG1402" s="112">
        <f>AF1390</f>
        <v>35</v>
      </c>
      <c r="AH1402" s="20" t="s">
        <v>1535</v>
      </c>
      <c r="AI1402" s="112">
        <f>AB1377</f>
        <v>7</v>
      </c>
      <c r="AJ1402" s="20" t="s">
        <v>1387</v>
      </c>
      <c r="AK1402" s="112">
        <f>AJ1390</f>
        <v>10</v>
      </c>
      <c r="AL1402" s="20" t="s">
        <v>1535</v>
      </c>
      <c r="AM1402" s="112">
        <f>AB1377</f>
        <v>7</v>
      </c>
      <c r="AN1402" s="20" t="s">
        <v>1387</v>
      </c>
      <c r="AO1402" s="112">
        <f>AN1390</f>
        <v>15</v>
      </c>
      <c r="AP1402" s="20" t="s">
        <v>1527</v>
      </c>
      <c r="AQ1402" s="111">
        <v>60</v>
      </c>
      <c r="AR1402" s="20" t="s">
        <v>1326</v>
      </c>
      <c r="AS1402" s="112" t="str">
        <f>TEXT(ROUND((AB1375/AB1390+AB1375/AF1390+AB1377/AJ1390+AB1377/AN1390)*AQ1402,2),"0.00")</f>
        <v>104.91</v>
      </c>
    </row>
    <row r="1403" spans="1:45" ht="12.6" customHeight="1" x14ac:dyDescent="0.3">
      <c r="A1403" s="78"/>
      <c r="B1403" s="78"/>
      <c r="C1403" s="78"/>
      <c r="D1403" s="78"/>
      <c r="E1403" s="78"/>
      <c r="F1403" s="78"/>
      <c r="G1403" s="16" t="s">
        <v>1317</v>
      </c>
      <c r="Z1403" s="109"/>
      <c r="AA1403" s="109"/>
      <c r="AB1403" s="109"/>
      <c r="AC1403" s="109"/>
      <c r="AD1403" s="109"/>
      <c r="AE1403" s="109"/>
      <c r="AF1403" s="109"/>
      <c r="AG1403" s="109"/>
      <c r="AH1403" s="109"/>
      <c r="AI1403" s="109"/>
      <c r="AJ1403" s="109"/>
      <c r="AK1403" s="109"/>
      <c r="AL1403" s="109"/>
      <c r="AM1403" s="109"/>
      <c r="AN1403" s="109"/>
      <c r="AO1403" s="109"/>
      <c r="AP1403" s="109"/>
      <c r="AQ1403" s="109"/>
      <c r="AR1403" s="109"/>
      <c r="AS1403" s="109"/>
    </row>
    <row r="1404" spans="1:45" ht="12.6" customHeight="1" x14ac:dyDescent="0.3">
      <c r="A1404" s="68"/>
      <c r="B1404" s="97" t="str">
        <f>" t3 (적하시간) ="&amp;Z1404&amp;" 분 "</f>
        <v xml:space="preserve"> t3 (적하시간) =0.8 분 </v>
      </c>
      <c r="C1404" s="78"/>
      <c r="D1404" s="78"/>
      <c r="E1404" s="78"/>
      <c r="F1404" s="78"/>
      <c r="G1404" s="16" t="s">
        <v>1807</v>
      </c>
      <c r="Z1404" s="110">
        <v>0.8</v>
      </c>
      <c r="AA1404" s="20" t="s">
        <v>1326</v>
      </c>
      <c r="AB1404" s="112">
        <f>Z1404</f>
        <v>0.8</v>
      </c>
      <c r="AC1404" s="109"/>
      <c r="AD1404" s="109"/>
      <c r="AE1404" s="109"/>
      <c r="AF1404" s="109"/>
      <c r="AG1404" s="109"/>
      <c r="AH1404" s="109"/>
      <c r="AI1404" s="109"/>
      <c r="AJ1404" s="109"/>
      <c r="AK1404" s="109"/>
      <c r="AL1404" s="109"/>
      <c r="AM1404" s="109"/>
      <c r="AN1404" s="109"/>
      <c r="AO1404" s="109"/>
      <c r="AP1404" s="109"/>
      <c r="AQ1404" s="109"/>
      <c r="AR1404" s="109"/>
      <c r="AS1404" s="109"/>
    </row>
    <row r="1405" spans="1:45" ht="12.6" customHeight="1" x14ac:dyDescent="0.3">
      <c r="A1405" s="78"/>
      <c r="B1405" s="78"/>
      <c r="C1405" s="78"/>
      <c r="D1405" s="78"/>
      <c r="E1405" s="78"/>
      <c r="F1405" s="78"/>
      <c r="G1405" s="16" t="s">
        <v>1317</v>
      </c>
      <c r="Z1405" s="109"/>
      <c r="AA1405" s="109"/>
      <c r="AB1405" s="109"/>
      <c r="AC1405" s="109"/>
      <c r="AD1405" s="109"/>
      <c r="AE1405" s="109"/>
      <c r="AF1405" s="109"/>
      <c r="AG1405" s="109"/>
      <c r="AH1405" s="109"/>
      <c r="AI1405" s="109"/>
      <c r="AJ1405" s="109"/>
      <c r="AK1405" s="109"/>
      <c r="AL1405" s="109"/>
      <c r="AM1405" s="109"/>
      <c r="AN1405" s="109"/>
      <c r="AO1405" s="109"/>
      <c r="AP1405" s="109"/>
      <c r="AQ1405" s="109"/>
      <c r="AR1405" s="109"/>
      <c r="AS1405" s="109"/>
    </row>
    <row r="1406" spans="1:45" ht="12.6" customHeight="1" x14ac:dyDescent="0.3">
      <c r="A1406" s="68"/>
      <c r="B1406" s="97" t="str">
        <f>" t4 (적재장소 도착한 때로부터 적재작업이 시작될 때까지의 시간) ="&amp;Z1406&amp;" 분 "</f>
        <v xml:space="preserve"> t4 (적재장소 도착한 때로부터 적재작업이 시작될 때까지의 시간) =0.42 분 </v>
      </c>
      <c r="C1406" s="78"/>
      <c r="D1406" s="78"/>
      <c r="E1406" s="78"/>
      <c r="F1406" s="78"/>
      <c r="G1406" s="16" t="s">
        <v>1808</v>
      </c>
      <c r="Z1406" s="110">
        <v>0.42</v>
      </c>
      <c r="AA1406" s="20" t="s">
        <v>1326</v>
      </c>
      <c r="AB1406" s="112">
        <f>Z1406</f>
        <v>0.42</v>
      </c>
      <c r="AC1406" s="109"/>
      <c r="AD1406" s="109"/>
      <c r="AE1406" s="109"/>
      <c r="AF1406" s="109"/>
      <c r="AG1406" s="109"/>
      <c r="AH1406" s="109"/>
      <c r="AI1406" s="109"/>
      <c r="AJ1406" s="109"/>
      <c r="AK1406" s="109"/>
      <c r="AL1406" s="109"/>
      <c r="AM1406" s="109"/>
      <c r="AN1406" s="109"/>
      <c r="AO1406" s="109"/>
      <c r="AP1406" s="109"/>
      <c r="AQ1406" s="109"/>
      <c r="AR1406" s="109"/>
      <c r="AS1406" s="109"/>
    </row>
    <row r="1407" spans="1:45" ht="12.6" customHeight="1" x14ac:dyDescent="0.3">
      <c r="A1407" s="78"/>
      <c r="B1407" s="78"/>
      <c r="C1407" s="78"/>
      <c r="D1407" s="78"/>
      <c r="E1407" s="78"/>
      <c r="F1407" s="78"/>
      <c r="G1407" s="16" t="s">
        <v>1317</v>
      </c>
      <c r="Z1407" s="109"/>
      <c r="AA1407" s="109"/>
      <c r="AB1407" s="109"/>
      <c r="AC1407" s="109"/>
      <c r="AD1407" s="109"/>
      <c r="AE1407" s="109"/>
      <c r="AF1407" s="109"/>
      <c r="AG1407" s="109"/>
      <c r="AH1407" s="109"/>
      <c r="AI1407" s="109"/>
      <c r="AJ1407" s="109"/>
      <c r="AK1407" s="109"/>
      <c r="AL1407" s="109"/>
      <c r="AM1407" s="109"/>
      <c r="AN1407" s="109"/>
      <c r="AO1407" s="109"/>
      <c r="AP1407" s="109"/>
      <c r="AQ1407" s="109"/>
      <c r="AR1407" s="109"/>
      <c r="AS1407" s="109"/>
    </row>
    <row r="1408" spans="1:45" ht="12.6" customHeight="1" x14ac:dyDescent="0.3">
      <c r="A1408" s="68"/>
      <c r="B1408" s="97" t="str">
        <f>" t5 (적재함 덮개 설치 및 해체시간)  = "&amp;Z1408&amp;" 분 "</f>
        <v xml:space="preserve"> t5 (적재함 덮개 설치 및 해체시간)  = 0.5 분 </v>
      </c>
      <c r="C1408" s="78"/>
      <c r="D1408" s="78"/>
      <c r="E1408" s="78"/>
      <c r="F1408" s="78"/>
      <c r="G1408" s="16" t="s">
        <v>1840</v>
      </c>
      <c r="Z1408" s="110">
        <v>0.5</v>
      </c>
      <c r="AA1408" s="20" t="s">
        <v>1326</v>
      </c>
      <c r="AB1408" s="112">
        <f>Z1408</f>
        <v>0.5</v>
      </c>
      <c r="AC1408" s="109"/>
      <c r="AD1408" s="109"/>
      <c r="AE1408" s="109"/>
      <c r="AF1408" s="109"/>
      <c r="AG1408" s="109"/>
      <c r="AH1408" s="109"/>
      <c r="AI1408" s="109"/>
      <c r="AJ1408" s="109"/>
      <c r="AK1408" s="109"/>
      <c r="AL1408" s="109"/>
      <c r="AM1408" s="109"/>
      <c r="AN1408" s="109"/>
      <c r="AO1408" s="109"/>
      <c r="AP1408" s="109"/>
      <c r="AQ1408" s="109"/>
      <c r="AR1408" s="109"/>
      <c r="AS1408" s="109"/>
    </row>
    <row r="1409" spans="1:45" ht="12.6" customHeight="1" x14ac:dyDescent="0.3">
      <c r="A1409" s="78"/>
      <c r="B1409" s="78"/>
      <c r="C1409" s="78"/>
      <c r="D1409" s="78"/>
      <c r="E1409" s="78"/>
      <c r="F1409" s="78"/>
      <c r="G1409" s="16" t="s">
        <v>1433</v>
      </c>
      <c r="Z1409" s="109"/>
      <c r="AA1409" s="109"/>
      <c r="AB1409" s="109"/>
      <c r="AC1409" s="109"/>
      <c r="AD1409" s="109"/>
      <c r="AE1409" s="109"/>
      <c r="AF1409" s="109"/>
      <c r="AG1409" s="109"/>
      <c r="AH1409" s="109"/>
      <c r="AI1409" s="109"/>
      <c r="AJ1409" s="109"/>
      <c r="AK1409" s="109"/>
      <c r="AL1409" s="109"/>
      <c r="AM1409" s="109"/>
      <c r="AN1409" s="109"/>
      <c r="AO1409" s="109"/>
      <c r="AP1409" s="109"/>
      <c r="AQ1409" s="109"/>
      <c r="AR1409" s="109"/>
      <c r="AS1409" s="109"/>
    </row>
    <row r="1410" spans="1:45" ht="12.6" customHeight="1" x14ac:dyDescent="0.3">
      <c r="A1410" s="68"/>
      <c r="B1410" s="97" t="str">
        <f>" t6 (세륜기통과시간) ="&amp;Z1410&amp;" 분 "</f>
        <v xml:space="preserve"> t6 (세륜기통과시간) =1.5 분 </v>
      </c>
      <c r="C1410" s="78"/>
      <c r="D1410" s="78"/>
      <c r="E1410" s="78"/>
      <c r="F1410" s="78"/>
      <c r="G1410" s="16" t="s">
        <v>1706</v>
      </c>
      <c r="Z1410" s="110">
        <v>1.5</v>
      </c>
      <c r="AA1410" s="20" t="s">
        <v>1326</v>
      </c>
      <c r="AB1410" s="112">
        <f>Z1410</f>
        <v>1.5</v>
      </c>
      <c r="AC1410" s="109"/>
      <c r="AD1410" s="109"/>
      <c r="AE1410" s="109"/>
      <c r="AF1410" s="109"/>
      <c r="AG1410" s="109"/>
      <c r="AH1410" s="109"/>
      <c r="AI1410" s="109"/>
      <c r="AJ1410" s="109"/>
      <c r="AK1410" s="109"/>
      <c r="AL1410" s="109"/>
      <c r="AM1410" s="109"/>
      <c r="AN1410" s="109"/>
      <c r="AO1410" s="109"/>
      <c r="AP1410" s="109"/>
      <c r="AQ1410" s="109"/>
      <c r="AR1410" s="109"/>
      <c r="AS1410" s="109"/>
    </row>
    <row r="1411" spans="1:45" ht="12.6" customHeight="1" x14ac:dyDescent="0.3">
      <c r="A1411" s="78"/>
      <c r="B1411" s="78"/>
      <c r="C1411" s="78"/>
      <c r="D1411" s="78"/>
      <c r="E1411" s="78"/>
      <c r="F1411" s="78"/>
      <c r="G1411" s="16" t="s">
        <v>1317</v>
      </c>
      <c r="Z1411" s="109"/>
      <c r="AA1411" s="109"/>
      <c r="AB1411" s="109"/>
      <c r="AC1411" s="109"/>
      <c r="AD1411" s="109"/>
      <c r="AE1411" s="109"/>
      <c r="AF1411" s="109"/>
      <c r="AG1411" s="109"/>
      <c r="AH1411" s="109"/>
      <c r="AI1411" s="109"/>
      <c r="AJ1411" s="109"/>
      <c r="AK1411" s="109"/>
      <c r="AL1411" s="109"/>
      <c r="AM1411" s="109"/>
      <c r="AN1411" s="109"/>
      <c r="AO1411" s="109"/>
      <c r="AP1411" s="109"/>
      <c r="AQ1411" s="109"/>
      <c r="AR1411" s="109"/>
      <c r="AS1411" s="109"/>
    </row>
    <row r="1412" spans="1:45" ht="12.6" customHeight="1" x14ac:dyDescent="0.3">
      <c r="A1412" s="68"/>
      <c r="B1412" s="97" t="str">
        <f>" Cm (1회 사이클 시간(분))  = t1 + t2 + t3 + t4 + t5 +t6 = "&amp;AL1412&amp;" 분 "</f>
        <v xml:space="preserve"> Cm (1회 사이클 시간(분))  = t1 + t2 + t3 + t4 + t5 +t6 = 115.36 분 </v>
      </c>
      <c r="C1412" s="78"/>
      <c r="D1412" s="78"/>
      <c r="E1412" s="78"/>
      <c r="F1412" s="78"/>
      <c r="G1412" s="16" t="s">
        <v>1707</v>
      </c>
      <c r="Z1412" s="112" t="str">
        <f>AI1400</f>
        <v>7.23</v>
      </c>
      <c r="AA1412" s="20" t="s">
        <v>1535</v>
      </c>
      <c r="AB1412" s="112" t="str">
        <f>AS1402</f>
        <v>104.91</v>
      </c>
      <c r="AC1412" s="20" t="s">
        <v>1535</v>
      </c>
      <c r="AD1412" s="112">
        <f>AB1404</f>
        <v>0.8</v>
      </c>
      <c r="AE1412" s="20" t="s">
        <v>1535</v>
      </c>
      <c r="AF1412" s="112">
        <f>AB1406</f>
        <v>0.42</v>
      </c>
      <c r="AG1412" s="20" t="s">
        <v>1535</v>
      </c>
      <c r="AH1412" s="112">
        <f>AB1408</f>
        <v>0.5</v>
      </c>
      <c r="AI1412" s="20" t="s">
        <v>1535</v>
      </c>
      <c r="AJ1412" s="112">
        <f>AB1410</f>
        <v>1.5</v>
      </c>
      <c r="AK1412" s="20" t="s">
        <v>1326</v>
      </c>
      <c r="AL1412" s="112" t="str">
        <f>TEXT(ROUND(AI1400+AS1402+AB1404+AB1406+AB1408+AB1410,2),"0.00")</f>
        <v>115.36</v>
      </c>
      <c r="AM1412" s="109"/>
      <c r="AN1412" s="109"/>
      <c r="AO1412" s="109"/>
      <c r="AP1412" s="109"/>
      <c r="AQ1412" s="109"/>
      <c r="AR1412" s="109"/>
      <c r="AS1412" s="109"/>
    </row>
    <row r="1413" spans="1:45" ht="12.6" customHeight="1" x14ac:dyDescent="0.3">
      <c r="A1413" s="78"/>
      <c r="B1413" s="78"/>
      <c r="C1413" s="78"/>
      <c r="D1413" s="78"/>
      <c r="E1413" s="78"/>
      <c r="F1413" s="78"/>
      <c r="G1413" s="16" t="s">
        <v>1317</v>
      </c>
      <c r="Z1413" s="109"/>
      <c r="AA1413" s="109"/>
      <c r="AB1413" s="109"/>
      <c r="AC1413" s="109"/>
      <c r="AD1413" s="109"/>
      <c r="AE1413" s="109"/>
      <c r="AF1413" s="109"/>
      <c r="AG1413" s="109"/>
      <c r="AH1413" s="109"/>
      <c r="AI1413" s="109"/>
      <c r="AJ1413" s="109"/>
      <c r="AK1413" s="109"/>
      <c r="AL1413" s="109"/>
      <c r="AM1413" s="109"/>
      <c r="AN1413" s="109"/>
      <c r="AO1413" s="109"/>
      <c r="AP1413" s="109"/>
      <c r="AQ1413" s="109"/>
      <c r="AR1413" s="109"/>
      <c r="AS1413" s="109"/>
    </row>
    <row r="1414" spans="1:45" ht="12.6" customHeight="1" x14ac:dyDescent="0.3">
      <c r="A1414" s="68"/>
      <c r="B1414" s="97" t="str">
        <f>" Q (시간당 작업량) = "&amp;Z1414&amp;" * q1 * F * E / Cm = "&amp;AJ1414&amp;" m3/hr "</f>
        <v xml:space="preserve"> Q (시간당 작업량) = 60 * q1 * F * E / Cm = 4.13 m3/hr </v>
      </c>
      <c r="C1414" s="78"/>
      <c r="D1414" s="78"/>
      <c r="E1414" s="78"/>
      <c r="F1414" s="78"/>
      <c r="G1414" s="16" t="s">
        <v>1841</v>
      </c>
      <c r="Z1414" s="111">
        <v>60</v>
      </c>
      <c r="AA1414" s="20" t="s">
        <v>1390</v>
      </c>
      <c r="AB1414" s="112" t="str">
        <f>AG1392</f>
        <v>10.15</v>
      </c>
      <c r="AC1414" s="20" t="s">
        <v>1390</v>
      </c>
      <c r="AD1414" s="112">
        <f>AD1388</f>
        <v>0.86956521739129999</v>
      </c>
      <c r="AE1414" s="20" t="s">
        <v>1390</v>
      </c>
      <c r="AF1414" s="112">
        <f>AH1388</f>
        <v>0.9</v>
      </c>
      <c r="AG1414" s="20" t="s">
        <v>1387</v>
      </c>
      <c r="AH1414" s="112" t="str">
        <f>AL1412</f>
        <v>115.36</v>
      </c>
      <c r="AI1414" s="20" t="s">
        <v>1326</v>
      </c>
      <c r="AJ1414" s="112" t="str">
        <f>TEXT(ROUND(Z1414*AG1392*AD1388*AH1388/AL1412,2),"0.00")</f>
        <v>4.13</v>
      </c>
      <c r="AK1414" s="109"/>
      <c r="AL1414" s="109"/>
      <c r="AM1414" s="109"/>
      <c r="AN1414" s="109"/>
      <c r="AO1414" s="109"/>
      <c r="AP1414" s="109"/>
      <c r="AQ1414" s="109"/>
      <c r="AR1414" s="109"/>
      <c r="AS1414" s="109"/>
    </row>
    <row r="1415" spans="1:45" ht="12.6" customHeight="1" x14ac:dyDescent="0.3">
      <c r="A1415" s="78"/>
      <c r="B1415" s="78"/>
      <c r="C1415" s="78"/>
      <c r="D1415" s="78"/>
      <c r="E1415" s="78"/>
      <c r="F1415" s="78"/>
      <c r="G1415" s="16" t="s">
        <v>1317</v>
      </c>
      <c r="Z1415" s="109"/>
      <c r="AA1415" s="109"/>
      <c r="AB1415" s="109"/>
      <c r="AC1415" s="109"/>
      <c r="AD1415" s="109"/>
      <c r="AE1415" s="109"/>
      <c r="AF1415" s="109"/>
      <c r="AG1415" s="109"/>
      <c r="AH1415" s="109"/>
      <c r="AI1415" s="109"/>
      <c r="AJ1415" s="109"/>
      <c r="AK1415" s="109"/>
      <c r="AL1415" s="109"/>
      <c r="AM1415" s="109"/>
      <c r="AN1415" s="109"/>
      <c r="AO1415" s="109"/>
      <c r="AP1415" s="109"/>
      <c r="AQ1415" s="109"/>
      <c r="AR1415" s="109"/>
      <c r="AS1415" s="109"/>
    </row>
    <row r="1416" spans="1:45" ht="12.6" customHeight="1" x14ac:dyDescent="0.3">
      <c r="A1416" s="68" t="s">
        <v>1710</v>
      </c>
      <c r="B1416" s="97" t="str">
        <f>"  노 무 비  :   "&amp;TEXT(I1416,"#,##0"&amp;IF(I1416&lt;&gt;INT(I1416),".###",""))&amp;" / Q = "&amp;TEXT(C1416,"#,##0.0")&amp;""</f>
        <v xml:space="preserve">  노 무 비  :   55,700 / Q = 13,486.6</v>
      </c>
      <c r="C1416" s="99">
        <f>E1416+D1416+F1416</f>
        <v>13486.6</v>
      </c>
      <c r="D1416" s="99">
        <f>IF(H1416=0,0,ROUNDDOWN(J1416*H1416,1))</f>
        <v>13486.6</v>
      </c>
      <c r="E1416" s="99">
        <f>IF(H1416=0,0,ROUNDDOWN(K1416*H1416,1))</f>
        <v>0</v>
      </c>
      <c r="F1416" s="99">
        <f>IF(H1416=0,0,ROUNDDOWN(L1416*H1416,1))</f>
        <v>0</v>
      </c>
      <c r="G1416" s="16" t="s">
        <v>1709</v>
      </c>
      <c r="H1416" s="105">
        <f>AC1416</f>
        <v>0.24213075060532688</v>
      </c>
      <c r="I1416" s="106">
        <f>K1416+J1416+L1416</f>
        <v>55700</v>
      </c>
      <c r="J1416" s="39">
        <f>중기목록표!F13</f>
        <v>55700</v>
      </c>
      <c r="M1416" s="20" t="s">
        <v>1711</v>
      </c>
      <c r="N1416" s="20" t="s">
        <v>1721</v>
      </c>
      <c r="X1416" s="108" t="str">
        <f>중기목록표!B13&amp;" / "&amp;중기목록표!C13</f>
        <v>덤프트럭15ton(암) / 할증율:1.25</v>
      </c>
      <c r="Y1416" s="19" t="str">
        <f ca="1">HYPERLINK("#"&amp;중기목록표!J2&amp;"!A"&amp;ROW(중기목록표!A13),"중기   10 →")</f>
        <v>중기   10 →</v>
      </c>
      <c r="Z1416" s="20" t="s">
        <v>1393</v>
      </c>
      <c r="AA1416" s="112" t="str">
        <f>AJ1414</f>
        <v>4.13</v>
      </c>
      <c r="AB1416" s="20" t="s">
        <v>1326</v>
      </c>
      <c r="AC1416" s="113">
        <f>1/AJ1414</f>
        <v>0.24213075060532688</v>
      </c>
      <c r="AD1416" s="109"/>
      <c r="AE1416" s="109"/>
      <c r="AF1416" s="109"/>
      <c r="AG1416" s="109"/>
      <c r="AH1416" s="109"/>
      <c r="AI1416" s="109"/>
      <c r="AJ1416" s="109"/>
      <c r="AK1416" s="109"/>
      <c r="AL1416" s="109"/>
      <c r="AM1416" s="109"/>
      <c r="AN1416" s="109"/>
      <c r="AO1416" s="109"/>
      <c r="AP1416" s="109"/>
      <c r="AQ1416" s="109"/>
      <c r="AR1416" s="109"/>
      <c r="AS1416" s="109"/>
    </row>
    <row r="1417" spans="1:45" ht="12.6" customHeight="1" x14ac:dyDescent="0.3">
      <c r="A1417" s="78"/>
      <c r="B1417" s="78"/>
      <c r="C1417" s="78"/>
      <c r="D1417" s="78"/>
      <c r="E1417" s="78"/>
      <c r="F1417" s="78"/>
      <c r="G1417" s="16" t="s">
        <v>1317</v>
      </c>
      <c r="Z1417" s="109"/>
      <c r="AA1417" s="109"/>
      <c r="AB1417" s="109"/>
      <c r="AC1417" s="109"/>
      <c r="AD1417" s="109"/>
      <c r="AE1417" s="109"/>
      <c r="AF1417" s="109"/>
      <c r="AG1417" s="109"/>
      <c r="AH1417" s="109"/>
      <c r="AI1417" s="109"/>
      <c r="AJ1417" s="109"/>
      <c r="AK1417" s="109"/>
      <c r="AL1417" s="109"/>
      <c r="AM1417" s="109"/>
      <c r="AN1417" s="109"/>
      <c r="AO1417" s="109"/>
      <c r="AP1417" s="109"/>
      <c r="AQ1417" s="109"/>
      <c r="AR1417" s="109"/>
      <c r="AS1417" s="109"/>
    </row>
    <row r="1418" spans="1:45" ht="12.6" customHeight="1" x14ac:dyDescent="0.3">
      <c r="A1418" s="68" t="s">
        <v>1713</v>
      </c>
      <c r="B1418" s="97" t="str">
        <f>"  재 료 비  :   "&amp;TEXT(I1418,"#,##0"&amp;IF(I1418&lt;&gt;INT(I1418),".###",""))&amp;" / Q = "&amp;TEXT(C1418,"#,##0.0")&amp;""</f>
        <v xml:space="preserve">  재 료 비  :   27,910 / Q = 6,757.8</v>
      </c>
      <c r="C1418" s="99">
        <f>E1418+D1418+F1418</f>
        <v>6757.8</v>
      </c>
      <c r="D1418" s="99">
        <f>IF(H1418=0,0,ROUNDDOWN(J1418*H1418,1))</f>
        <v>0</v>
      </c>
      <c r="E1418" s="99">
        <f>IF(H1418=0,0,ROUNDDOWN(K1418*H1418,1))</f>
        <v>6757.8</v>
      </c>
      <c r="F1418" s="99">
        <f>IF(H1418=0,0,ROUNDDOWN(L1418*H1418,1))</f>
        <v>0</v>
      </c>
      <c r="G1418" s="16" t="s">
        <v>1712</v>
      </c>
      <c r="H1418" s="105">
        <f>AC1418</f>
        <v>0.24213075060532688</v>
      </c>
      <c r="I1418" s="106">
        <f>K1418+J1418+L1418</f>
        <v>27910</v>
      </c>
      <c r="K1418" s="39">
        <f>중기목록표!G13</f>
        <v>27910</v>
      </c>
      <c r="M1418" s="20" t="s">
        <v>1711</v>
      </c>
      <c r="N1418" s="20" t="s">
        <v>1721</v>
      </c>
      <c r="X1418" s="108" t="str">
        <f>중기목록표!B13&amp;" / "&amp;중기목록표!C13</f>
        <v>덤프트럭15ton(암) / 할증율:1.25</v>
      </c>
      <c r="Y1418" s="19" t="str">
        <f ca="1">HYPERLINK("#"&amp;중기목록표!J2&amp;"!A"&amp;ROW(중기목록표!A13),"중기   10 →")</f>
        <v>중기   10 →</v>
      </c>
      <c r="Z1418" s="20" t="s">
        <v>1393</v>
      </c>
      <c r="AA1418" s="112" t="str">
        <f>AJ1414</f>
        <v>4.13</v>
      </c>
      <c r="AB1418" s="20" t="s">
        <v>1326</v>
      </c>
      <c r="AC1418" s="113">
        <f>1/AJ1414</f>
        <v>0.24213075060532688</v>
      </c>
      <c r="AD1418" s="109"/>
      <c r="AE1418" s="109"/>
      <c r="AF1418" s="109"/>
      <c r="AG1418" s="109"/>
      <c r="AH1418" s="109"/>
      <c r="AI1418" s="109"/>
      <c r="AJ1418" s="109"/>
      <c r="AK1418" s="109"/>
      <c r="AL1418" s="109"/>
      <c r="AM1418" s="109"/>
      <c r="AN1418" s="109"/>
      <c r="AO1418" s="109"/>
      <c r="AP1418" s="109"/>
      <c r="AQ1418" s="109"/>
      <c r="AR1418" s="109"/>
      <c r="AS1418" s="109"/>
    </row>
    <row r="1419" spans="1:45" ht="12.6" customHeight="1" x14ac:dyDescent="0.3">
      <c r="A1419" s="78"/>
      <c r="B1419" s="78"/>
      <c r="C1419" s="78"/>
      <c r="D1419" s="78"/>
      <c r="E1419" s="78"/>
      <c r="F1419" s="78"/>
      <c r="G1419" s="16" t="s">
        <v>1317</v>
      </c>
      <c r="Z1419" s="109"/>
      <c r="AA1419" s="109"/>
      <c r="AB1419" s="109"/>
      <c r="AC1419" s="109"/>
      <c r="AD1419" s="109"/>
      <c r="AE1419" s="109"/>
      <c r="AF1419" s="109"/>
      <c r="AG1419" s="109"/>
      <c r="AH1419" s="109"/>
      <c r="AI1419" s="109"/>
      <c r="AJ1419" s="109"/>
      <c r="AK1419" s="109"/>
      <c r="AL1419" s="109"/>
      <c r="AM1419" s="109"/>
      <c r="AN1419" s="109"/>
      <c r="AO1419" s="109"/>
      <c r="AP1419" s="109"/>
      <c r="AQ1419" s="109"/>
      <c r="AR1419" s="109"/>
      <c r="AS1419" s="109"/>
    </row>
    <row r="1420" spans="1:45" ht="12.6" customHeight="1" x14ac:dyDescent="0.3">
      <c r="A1420" s="68" t="s">
        <v>1715</v>
      </c>
      <c r="B1420" s="97" t="str">
        <f>"  경    비  :   "&amp;TEXT(I1420,"#,##0"&amp;IF(I1420&lt;&gt;INT(I1420),".###",""))&amp;" / Q = "&amp;TEXT(C1420,"#,##0.0")&amp;""</f>
        <v xml:space="preserve">  경    비  :   23,077 / Q = 5,587.6</v>
      </c>
      <c r="C1420" s="99">
        <f>E1420+D1420+F1420</f>
        <v>5587.6</v>
      </c>
      <c r="D1420" s="99">
        <f>IF(H1420=0,0,ROUNDDOWN(J1420*H1420,1))</f>
        <v>0</v>
      </c>
      <c r="E1420" s="99">
        <f>IF(H1420=0,0,ROUNDDOWN(K1420*H1420,1))</f>
        <v>0</v>
      </c>
      <c r="F1420" s="99">
        <f>IF(H1420=0,0,ROUNDDOWN(L1420*H1420,1))</f>
        <v>5587.6</v>
      </c>
      <c r="G1420" s="16" t="s">
        <v>1714</v>
      </c>
      <c r="H1420" s="105">
        <f>AC1420</f>
        <v>0.24213075060532688</v>
      </c>
      <c r="I1420" s="106">
        <f>K1420+J1420+L1420</f>
        <v>23077</v>
      </c>
      <c r="L1420" s="39">
        <f>중기목록표!H13</f>
        <v>23077</v>
      </c>
      <c r="M1420" s="20" t="s">
        <v>1711</v>
      </c>
      <c r="N1420" s="20" t="s">
        <v>1721</v>
      </c>
      <c r="X1420" s="108" t="str">
        <f>중기목록표!B13&amp;" / "&amp;중기목록표!C13</f>
        <v>덤프트럭15ton(암) / 할증율:1.25</v>
      </c>
      <c r="Y1420" s="19" t="str">
        <f ca="1">HYPERLINK("#"&amp;중기목록표!J2&amp;"!A"&amp;ROW(중기목록표!A13),"중기   10 →")</f>
        <v>중기   10 →</v>
      </c>
      <c r="Z1420" s="20" t="s">
        <v>1393</v>
      </c>
      <c r="AA1420" s="112" t="str">
        <f>AJ1414</f>
        <v>4.13</v>
      </c>
      <c r="AB1420" s="20" t="s">
        <v>1326</v>
      </c>
      <c r="AC1420" s="113">
        <f>1/AJ1414</f>
        <v>0.24213075060532688</v>
      </c>
      <c r="AD1420" s="109"/>
      <c r="AE1420" s="109"/>
      <c r="AF1420" s="109"/>
      <c r="AG1420" s="109"/>
      <c r="AH1420" s="109"/>
      <c r="AI1420" s="109"/>
      <c r="AJ1420" s="109"/>
      <c r="AK1420" s="109"/>
      <c r="AL1420" s="109"/>
      <c r="AM1420" s="109"/>
      <c r="AN1420" s="109"/>
      <c r="AO1420" s="109"/>
      <c r="AP1420" s="109"/>
      <c r="AQ1420" s="109"/>
      <c r="AR1420" s="109"/>
      <c r="AS1420" s="109"/>
    </row>
    <row r="1421" spans="1:45" ht="12.6" customHeight="1" x14ac:dyDescent="0.3">
      <c r="A1421" s="78"/>
      <c r="B1421" s="78"/>
      <c r="C1421" s="78"/>
      <c r="D1421" s="78"/>
      <c r="E1421" s="78"/>
      <c r="F1421" s="78"/>
      <c r="G1421" s="16" t="s">
        <v>1317</v>
      </c>
      <c r="Z1421" s="109"/>
      <c r="AA1421" s="109"/>
      <c r="AB1421" s="109"/>
      <c r="AC1421" s="109"/>
      <c r="AD1421" s="109"/>
      <c r="AE1421" s="109"/>
      <c r="AF1421" s="109"/>
      <c r="AG1421" s="109"/>
      <c r="AH1421" s="109"/>
      <c r="AI1421" s="109"/>
      <c r="AJ1421" s="109"/>
      <c r="AK1421" s="109"/>
      <c r="AL1421" s="109"/>
      <c r="AM1421" s="109"/>
      <c r="AN1421" s="109"/>
      <c r="AO1421" s="109"/>
      <c r="AP1421" s="109"/>
      <c r="AQ1421" s="109"/>
      <c r="AR1421" s="109"/>
      <c r="AS1421" s="109"/>
    </row>
    <row r="1422" spans="1:45" ht="12.6" customHeight="1" x14ac:dyDescent="0.3">
      <c r="A1422" s="68" t="s">
        <v>1717</v>
      </c>
      <c r="B1422" s="97" t="str">
        <f>"                "&amp;TEXT(I1422,"#,##0"&amp;IF(I1422&lt;&gt;INT(I1422),".###",""))&amp;" / Q = "&amp;TEXT(C1422,"#,##0.0")&amp;""</f>
        <v xml:space="preserve">                414 / Q = 100.2</v>
      </c>
      <c r="C1422" s="99">
        <f>E1422+D1422+F1422</f>
        <v>100.2</v>
      </c>
      <c r="D1422" s="99">
        <f>IF(H1422=0,0,ROUNDDOWN(J1422*H1422,1))</f>
        <v>0</v>
      </c>
      <c r="E1422" s="99">
        <f>IF(H1422=0,0,ROUNDDOWN(K1422*H1422,1))</f>
        <v>0</v>
      </c>
      <c r="F1422" s="99">
        <f>IF(H1422=0,0,ROUNDDOWN(L1422*H1422,1))</f>
        <v>100.2</v>
      </c>
      <c r="G1422" s="16" t="s">
        <v>1716</v>
      </c>
      <c r="H1422" s="105">
        <f>AC1422</f>
        <v>0.24213075060532688</v>
      </c>
      <c r="I1422" s="106">
        <f>K1422+J1422+L1422</f>
        <v>414</v>
      </c>
      <c r="L1422" s="39">
        <f>중기목록표!H14</f>
        <v>414</v>
      </c>
      <c r="M1422" s="20" t="s">
        <v>1718</v>
      </c>
      <c r="N1422" s="20" t="s">
        <v>1721</v>
      </c>
      <c r="X1422" s="108" t="str">
        <f>중기목록표!B14&amp;" / "&amp;중기목록표!C14</f>
        <v>덤프자동덮개 / 15톤</v>
      </c>
      <c r="Y1422" s="19" t="str">
        <f ca="1">HYPERLINK("#"&amp;중기목록표!J2&amp;"!A"&amp;ROW(중기목록표!A14),"중기   11 →")</f>
        <v>중기   11 →</v>
      </c>
      <c r="Z1422" s="20" t="s">
        <v>1393</v>
      </c>
      <c r="AA1422" s="112" t="str">
        <f>AJ1414</f>
        <v>4.13</v>
      </c>
      <c r="AB1422" s="20" t="s">
        <v>1326</v>
      </c>
      <c r="AC1422" s="113">
        <f>1/AJ1414</f>
        <v>0.24213075060532688</v>
      </c>
      <c r="AD1422" s="109"/>
      <c r="AE1422" s="109"/>
      <c r="AF1422" s="109"/>
      <c r="AG1422" s="109"/>
      <c r="AH1422" s="109"/>
      <c r="AI1422" s="109"/>
      <c r="AJ1422" s="109"/>
      <c r="AK1422" s="109"/>
      <c r="AL1422" s="109"/>
      <c r="AM1422" s="109"/>
      <c r="AN1422" s="109"/>
      <c r="AO1422" s="109"/>
      <c r="AP1422" s="109"/>
      <c r="AQ1422" s="109"/>
      <c r="AR1422" s="109"/>
      <c r="AS1422" s="109"/>
    </row>
    <row r="1423" spans="1:45" ht="12.6" customHeight="1" x14ac:dyDescent="0.3">
      <c r="A1423" s="78"/>
      <c r="B1423" s="78"/>
      <c r="C1423" s="78"/>
      <c r="D1423" s="78"/>
      <c r="E1423" s="78"/>
      <c r="F1423" s="78"/>
      <c r="G1423" s="16" t="s">
        <v>1317</v>
      </c>
      <c r="Z1423" s="109"/>
      <c r="AA1423" s="109"/>
      <c r="AB1423" s="109"/>
      <c r="AC1423" s="109"/>
      <c r="AD1423" s="109"/>
      <c r="AE1423" s="109"/>
      <c r="AF1423" s="109"/>
      <c r="AG1423" s="109"/>
      <c r="AH1423" s="109"/>
      <c r="AI1423" s="109"/>
      <c r="AJ1423" s="109"/>
      <c r="AK1423" s="109"/>
      <c r="AL1423" s="109"/>
      <c r="AM1423" s="109"/>
      <c r="AN1423" s="109"/>
      <c r="AO1423" s="109"/>
      <c r="AP1423" s="109"/>
      <c r="AQ1423" s="109"/>
      <c r="AR1423" s="109"/>
      <c r="AS1423" s="109"/>
    </row>
    <row r="1424" spans="1:45" ht="12.6" customHeight="1" x14ac:dyDescent="0.3">
      <c r="A1424" s="68"/>
      <c r="B1424" s="77" t="s">
        <v>1720</v>
      </c>
      <c r="C1424" s="103">
        <f>E1424+D1424+F1424</f>
        <v>25932.2</v>
      </c>
      <c r="D1424" s="103">
        <f>SUMIF(N1372:N1423,M1424,D1372:D1423)</f>
        <v>13486.6</v>
      </c>
      <c r="E1424" s="103">
        <f>SUMIF(N1372:N1423,M1424,E1372:E1423)</f>
        <v>6757.8</v>
      </c>
      <c r="F1424" s="103">
        <f>SUMIF(N1372:N1423,M1424,F1372:F1423)</f>
        <v>5687.8</v>
      </c>
      <c r="G1424" s="16" t="s">
        <v>1719</v>
      </c>
      <c r="M1424" s="20" t="s">
        <v>1721</v>
      </c>
      <c r="Z1424" s="109"/>
      <c r="AA1424" s="109"/>
      <c r="AB1424" s="109"/>
      <c r="AC1424" s="109"/>
      <c r="AD1424" s="109"/>
      <c r="AE1424" s="109"/>
      <c r="AF1424" s="109"/>
      <c r="AG1424" s="109"/>
      <c r="AH1424" s="109"/>
      <c r="AI1424" s="109"/>
      <c r="AJ1424" s="109"/>
      <c r="AK1424" s="109"/>
      <c r="AL1424" s="109"/>
      <c r="AM1424" s="109"/>
      <c r="AN1424" s="109"/>
      <c r="AO1424" s="109"/>
      <c r="AP1424" s="109"/>
      <c r="AQ1424" s="109"/>
      <c r="AR1424" s="109"/>
      <c r="AS1424" s="109"/>
    </row>
    <row r="1425" spans="1:45" ht="12.6" customHeight="1" x14ac:dyDescent="0.3">
      <c r="A1425" s="78"/>
      <c r="B1425" s="78"/>
      <c r="C1425" s="104"/>
      <c r="D1425" s="104"/>
      <c r="E1425" s="104"/>
      <c r="F1425" s="104"/>
      <c r="G1425" s="16" t="s">
        <v>1317</v>
      </c>
      <c r="Z1425" s="109"/>
      <c r="AA1425" s="109"/>
      <c r="AB1425" s="109"/>
      <c r="AC1425" s="109"/>
      <c r="AD1425" s="109"/>
      <c r="AE1425" s="109"/>
      <c r="AF1425" s="109"/>
      <c r="AG1425" s="109"/>
      <c r="AH1425" s="109"/>
      <c r="AI1425" s="109"/>
      <c r="AJ1425" s="109"/>
      <c r="AK1425" s="109"/>
      <c r="AL1425" s="109"/>
      <c r="AM1425" s="109"/>
      <c r="AN1425" s="109"/>
      <c r="AO1425" s="109"/>
      <c r="AP1425" s="109"/>
      <c r="AQ1425" s="109"/>
      <c r="AR1425" s="109"/>
      <c r="AS1425" s="109"/>
    </row>
    <row r="1426" spans="1:45" ht="12.6" customHeight="1" x14ac:dyDescent="0.3">
      <c r="A1426" s="68"/>
      <c r="B1426" s="77" t="s">
        <v>1843</v>
      </c>
      <c r="C1426" s="78"/>
      <c r="D1426" s="78"/>
      <c r="E1426" s="78"/>
      <c r="F1426" s="78"/>
      <c r="G1426" s="16" t="s">
        <v>1842</v>
      </c>
      <c r="Z1426" s="109"/>
      <c r="AA1426" s="109"/>
      <c r="AB1426" s="109"/>
      <c r="AC1426" s="109"/>
      <c r="AD1426" s="109"/>
      <c r="AE1426" s="109"/>
      <c r="AF1426" s="109"/>
      <c r="AG1426" s="109"/>
      <c r="AH1426" s="109"/>
      <c r="AI1426" s="109"/>
      <c r="AJ1426" s="109"/>
      <c r="AK1426" s="109"/>
      <c r="AL1426" s="109"/>
      <c r="AM1426" s="109"/>
      <c r="AN1426" s="109"/>
      <c r="AO1426" s="109"/>
      <c r="AP1426" s="109"/>
      <c r="AQ1426" s="109"/>
      <c r="AR1426" s="109"/>
      <c r="AS1426" s="109"/>
    </row>
    <row r="1427" spans="1:45" ht="12.6" customHeight="1" x14ac:dyDescent="0.3">
      <c r="A1427" s="78"/>
      <c r="B1427" s="78"/>
      <c r="C1427" s="78"/>
      <c r="D1427" s="78"/>
      <c r="E1427" s="78"/>
      <c r="F1427" s="78"/>
      <c r="G1427" s="16" t="s">
        <v>1317</v>
      </c>
      <c r="Z1427" s="109"/>
      <c r="AA1427" s="109"/>
      <c r="AB1427" s="109"/>
      <c r="AC1427" s="109"/>
      <c r="AD1427" s="109"/>
      <c r="AE1427" s="109"/>
      <c r="AF1427" s="109"/>
      <c r="AG1427" s="109"/>
      <c r="AH1427" s="109"/>
      <c r="AI1427" s="109"/>
      <c r="AJ1427" s="109"/>
      <c r="AK1427" s="109"/>
      <c r="AL1427" s="109"/>
      <c r="AM1427" s="109"/>
      <c r="AN1427" s="109"/>
      <c r="AO1427" s="109"/>
      <c r="AP1427" s="109"/>
      <c r="AQ1427" s="109"/>
      <c r="AR1427" s="109"/>
      <c r="AS1427" s="109"/>
    </row>
    <row r="1428" spans="1:45" ht="12.6" customHeight="1" x14ac:dyDescent="0.3">
      <c r="A1428" s="68"/>
      <c r="B1428" s="97" t="str">
        <f>" f (체적환산계수) ="&amp;Z1428&amp;"/"&amp;AB1428&amp;" , E (작업효율) ="&amp;AF1428&amp;" , k (버킷계수) ="&amp;AJ1428&amp;""</f>
        <v xml:space="preserve"> f (체적환산계수) =1/1.15 , E (작업효율) =0.9 , k (버킷계수) =1</v>
      </c>
      <c r="C1428" s="78"/>
      <c r="D1428" s="78"/>
      <c r="E1428" s="78"/>
      <c r="F1428" s="78"/>
      <c r="G1428" s="16" t="s">
        <v>1837</v>
      </c>
      <c r="Z1428" s="111">
        <v>1</v>
      </c>
      <c r="AA1428" s="20" t="s">
        <v>1387</v>
      </c>
      <c r="AB1428" s="110">
        <v>1.1499999999999999</v>
      </c>
      <c r="AC1428" s="20" t="s">
        <v>1326</v>
      </c>
      <c r="AD1428" s="112">
        <f>ROUND(Z1428/AB1428,13)</f>
        <v>0.86956521739129999</v>
      </c>
      <c r="AE1428" s="20" t="s">
        <v>1385</v>
      </c>
      <c r="AF1428" s="110">
        <v>0.9</v>
      </c>
      <c r="AG1428" s="20" t="s">
        <v>1326</v>
      </c>
      <c r="AH1428" s="112">
        <f>AF1428</f>
        <v>0.9</v>
      </c>
      <c r="AI1428" s="20" t="s">
        <v>1385</v>
      </c>
      <c r="AJ1428" s="111">
        <v>1</v>
      </c>
      <c r="AK1428" s="20" t="s">
        <v>1326</v>
      </c>
      <c r="AL1428" s="112">
        <f>AJ1428</f>
        <v>1</v>
      </c>
      <c r="AM1428" s="20" t="s">
        <v>1385</v>
      </c>
      <c r="AN1428" s="109"/>
      <c r="AO1428" s="109"/>
      <c r="AP1428" s="109"/>
      <c r="AQ1428" s="109"/>
      <c r="AR1428" s="109"/>
      <c r="AS1428" s="109"/>
    </row>
    <row r="1429" spans="1:45" ht="12.6" customHeight="1" x14ac:dyDescent="0.3">
      <c r="A1429" s="78"/>
      <c r="B1429" s="78"/>
      <c r="C1429" s="78"/>
      <c r="D1429" s="78"/>
      <c r="E1429" s="78"/>
      <c r="F1429" s="78"/>
      <c r="G1429" s="16" t="s">
        <v>1317</v>
      </c>
      <c r="Z1429" s="109"/>
      <c r="AA1429" s="109"/>
      <c r="AB1429" s="109"/>
      <c r="AC1429" s="109"/>
      <c r="AD1429" s="109"/>
      <c r="AE1429" s="109"/>
      <c r="AF1429" s="109"/>
      <c r="AG1429" s="109"/>
      <c r="AH1429" s="109"/>
      <c r="AI1429" s="109"/>
      <c r="AJ1429" s="109"/>
      <c r="AK1429" s="109"/>
      <c r="AL1429" s="109"/>
      <c r="AM1429" s="109"/>
      <c r="AN1429" s="109"/>
      <c r="AO1429" s="109"/>
      <c r="AP1429" s="109"/>
      <c r="AQ1429" s="109"/>
      <c r="AR1429" s="109"/>
      <c r="AS1429" s="109"/>
    </row>
    <row r="1430" spans="1:45" ht="12.6" customHeight="1" x14ac:dyDescent="0.3">
      <c r="A1430" s="68"/>
      <c r="B1430" s="97" t="str">
        <f>" V1="&amp;Z1430&amp;" , V2="&amp;AD1430&amp;" , V3="&amp;AH1430&amp;" , V4="&amp;AL1430&amp;""</f>
        <v xml:space="preserve"> V1=30 , V2=35 , V3=10 , V4=15</v>
      </c>
      <c r="C1430" s="78"/>
      <c r="D1430" s="78"/>
      <c r="E1430" s="78"/>
      <c r="F1430" s="78"/>
      <c r="G1430" s="16" t="s">
        <v>1696</v>
      </c>
      <c r="Z1430" s="111">
        <v>30</v>
      </c>
      <c r="AA1430" s="20" t="s">
        <v>1326</v>
      </c>
      <c r="AB1430" s="112">
        <f>Z1430</f>
        <v>30</v>
      </c>
      <c r="AC1430" s="20" t="s">
        <v>1385</v>
      </c>
      <c r="AD1430" s="111">
        <v>35</v>
      </c>
      <c r="AE1430" s="20" t="s">
        <v>1326</v>
      </c>
      <c r="AF1430" s="112">
        <f>AD1430</f>
        <v>35</v>
      </c>
      <c r="AG1430" s="20" t="s">
        <v>1385</v>
      </c>
      <c r="AH1430" s="111">
        <v>10</v>
      </c>
      <c r="AI1430" s="20" t="s">
        <v>1326</v>
      </c>
      <c r="AJ1430" s="112">
        <f>AH1430</f>
        <v>10</v>
      </c>
      <c r="AK1430" s="20" t="s">
        <v>1385</v>
      </c>
      <c r="AL1430" s="111">
        <v>15</v>
      </c>
      <c r="AM1430" s="20" t="s">
        <v>1326</v>
      </c>
      <c r="AN1430" s="112">
        <f>AL1430</f>
        <v>15</v>
      </c>
      <c r="AO1430" s="20" t="s">
        <v>1385</v>
      </c>
      <c r="AP1430" s="109"/>
      <c r="AQ1430" s="109"/>
      <c r="AR1430" s="109"/>
      <c r="AS1430" s="109"/>
    </row>
    <row r="1431" spans="1:45" ht="12.6" customHeight="1" x14ac:dyDescent="0.3">
      <c r="A1431" s="78"/>
      <c r="B1431" s="78"/>
      <c r="C1431" s="78"/>
      <c r="D1431" s="78"/>
      <c r="E1431" s="78"/>
      <c r="F1431" s="78"/>
      <c r="G1431" s="16" t="s">
        <v>1317</v>
      </c>
      <c r="Z1431" s="109"/>
      <c r="AA1431" s="109"/>
      <c r="AB1431" s="109"/>
      <c r="AC1431" s="109"/>
      <c r="AD1431" s="109"/>
      <c r="AE1431" s="109"/>
      <c r="AF1431" s="109"/>
      <c r="AG1431" s="109"/>
      <c r="AH1431" s="109"/>
      <c r="AI1431" s="109"/>
      <c r="AJ1431" s="109"/>
      <c r="AK1431" s="109"/>
      <c r="AL1431" s="109"/>
      <c r="AM1431" s="109"/>
      <c r="AN1431" s="109"/>
      <c r="AO1431" s="109"/>
      <c r="AP1431" s="109"/>
      <c r="AQ1431" s="109"/>
      <c r="AR1431" s="109"/>
      <c r="AS1431" s="109"/>
    </row>
    <row r="1432" spans="1:45" ht="12.6" customHeight="1" x14ac:dyDescent="0.3">
      <c r="A1432" s="68"/>
      <c r="B1432" s="97" t="str">
        <f>" q1 (흐트러진상태의 덤프트럭 1회 적재량)  = ("&amp;AA1432&amp;"/"&amp;AC1432&amp;") * "&amp;AE1432&amp;" = "&amp;AG1432&amp;""</f>
        <v xml:space="preserve"> q1 (흐트러진상태의 덤프트럭 1회 적재량)  = (24/1.7) * 1.15 = 16.24</v>
      </c>
      <c r="C1432" s="78"/>
      <c r="D1432" s="78"/>
      <c r="E1432" s="78"/>
      <c r="F1432" s="78"/>
      <c r="G1432" s="16" t="s">
        <v>1844</v>
      </c>
      <c r="Z1432" s="20" t="s">
        <v>1526</v>
      </c>
      <c r="AA1432" s="111">
        <v>24</v>
      </c>
      <c r="AB1432" s="20" t="s">
        <v>1387</v>
      </c>
      <c r="AC1432" s="110">
        <v>1.7</v>
      </c>
      <c r="AD1432" s="20" t="s">
        <v>1527</v>
      </c>
      <c r="AE1432" s="110">
        <v>1.1499999999999999</v>
      </c>
      <c r="AF1432" s="20" t="s">
        <v>1326</v>
      </c>
      <c r="AG1432" s="112" t="str">
        <f>TEXT(ROUND((AA1432/AC1432)*AE1432,2),"0.00")</f>
        <v>16.24</v>
      </c>
      <c r="AH1432" s="109"/>
      <c r="AI1432" s="109"/>
      <c r="AJ1432" s="109"/>
      <c r="AK1432" s="109"/>
      <c r="AL1432" s="109"/>
      <c r="AM1432" s="109"/>
      <c r="AN1432" s="109"/>
      <c r="AO1432" s="109"/>
      <c r="AP1432" s="109"/>
      <c r="AQ1432" s="109"/>
      <c r="AR1432" s="109"/>
      <c r="AS1432" s="109"/>
    </row>
    <row r="1433" spans="1:45" ht="12.6" customHeight="1" x14ac:dyDescent="0.3">
      <c r="A1433" s="78"/>
      <c r="B1433" s="78"/>
      <c r="C1433" s="78"/>
      <c r="D1433" s="78"/>
      <c r="E1433" s="78"/>
      <c r="F1433" s="78"/>
      <c r="G1433" s="16" t="s">
        <v>1317</v>
      </c>
      <c r="Z1433" s="109"/>
      <c r="AA1433" s="109"/>
      <c r="AB1433" s="109"/>
      <c r="AC1433" s="109"/>
      <c r="AD1433" s="109"/>
      <c r="AE1433" s="109"/>
      <c r="AF1433" s="109"/>
      <c r="AG1433" s="109"/>
      <c r="AH1433" s="109"/>
      <c r="AI1433" s="109"/>
      <c r="AJ1433" s="109"/>
      <c r="AK1433" s="109"/>
      <c r="AL1433" s="109"/>
      <c r="AM1433" s="109"/>
      <c r="AN1433" s="109"/>
      <c r="AO1433" s="109"/>
      <c r="AP1433" s="109"/>
      <c r="AQ1433" s="109"/>
      <c r="AR1433" s="109"/>
      <c r="AS1433" s="109"/>
    </row>
    <row r="1434" spans="1:45" ht="12.6" customHeight="1" x14ac:dyDescent="0.3">
      <c r="A1434" s="68"/>
      <c r="B1434" s="77" t="s">
        <v>1528</v>
      </c>
      <c r="C1434" s="78"/>
      <c r="D1434" s="78"/>
      <c r="E1434" s="78"/>
      <c r="F1434" s="78"/>
      <c r="G1434" s="16" t="s">
        <v>1803</v>
      </c>
      <c r="Z1434" s="109"/>
      <c r="AA1434" s="109"/>
      <c r="AB1434" s="109"/>
      <c r="AC1434" s="109"/>
      <c r="AD1434" s="109"/>
      <c r="AE1434" s="109"/>
      <c r="AF1434" s="109"/>
      <c r="AG1434" s="109"/>
      <c r="AH1434" s="109"/>
      <c r="AI1434" s="109"/>
      <c r="AJ1434" s="109"/>
      <c r="AK1434" s="109"/>
      <c r="AL1434" s="109"/>
      <c r="AM1434" s="109"/>
      <c r="AN1434" s="109"/>
      <c r="AO1434" s="109"/>
      <c r="AP1434" s="109"/>
      <c r="AQ1434" s="109"/>
      <c r="AR1434" s="109"/>
      <c r="AS1434" s="109"/>
    </row>
    <row r="1435" spans="1:45" ht="12.6" customHeight="1" x14ac:dyDescent="0.3">
      <c r="A1435" s="78"/>
      <c r="B1435" s="78"/>
      <c r="C1435" s="78"/>
      <c r="D1435" s="78"/>
      <c r="E1435" s="78"/>
      <c r="F1435" s="78"/>
      <c r="G1435" s="16" t="s">
        <v>1317</v>
      </c>
      <c r="Z1435" s="109"/>
      <c r="AA1435" s="109"/>
      <c r="AB1435" s="109"/>
      <c r="AC1435" s="109"/>
      <c r="AD1435" s="109"/>
      <c r="AE1435" s="109"/>
      <c r="AF1435" s="109"/>
      <c r="AG1435" s="109"/>
      <c r="AH1435" s="109"/>
      <c r="AI1435" s="109"/>
      <c r="AJ1435" s="109"/>
      <c r="AK1435" s="109"/>
      <c r="AL1435" s="109"/>
      <c r="AM1435" s="109"/>
      <c r="AN1435" s="109"/>
      <c r="AO1435" s="109"/>
      <c r="AP1435" s="109"/>
      <c r="AQ1435" s="109"/>
      <c r="AR1435" s="109"/>
      <c r="AS1435" s="109"/>
    </row>
    <row r="1436" spans="1:45" ht="12.6" customHeight="1" x14ac:dyDescent="0.3">
      <c r="A1436" s="68"/>
      <c r="B1436" s="97" t="str">
        <f>" n =q1 / ("&amp;AB1436&amp;" * k) = "&amp;AG1436&amp;"  회 "</f>
        <v xml:space="preserve"> n =q1 / (1.34 * k) = 12.12  회 </v>
      </c>
      <c r="C1436" s="78"/>
      <c r="D1436" s="78"/>
      <c r="E1436" s="78"/>
      <c r="F1436" s="78"/>
      <c r="G1436" s="16" t="s">
        <v>1804</v>
      </c>
      <c r="Z1436" s="112" t="str">
        <f>AG1432</f>
        <v>16.24</v>
      </c>
      <c r="AA1436" s="20" t="s">
        <v>1531</v>
      </c>
      <c r="AB1436" s="110">
        <v>1.34</v>
      </c>
      <c r="AC1436" s="20" t="s">
        <v>1390</v>
      </c>
      <c r="AD1436" s="112">
        <f>AL1428</f>
        <v>1</v>
      </c>
      <c r="AE1436" s="20" t="s">
        <v>1532</v>
      </c>
      <c r="AF1436" s="20" t="s">
        <v>1326</v>
      </c>
      <c r="AG1436" s="112" t="str">
        <f>TEXT(ROUND(AG1432/(AB1436*AL1428),2),"0.00")</f>
        <v>12.12</v>
      </c>
      <c r="AH1436" s="109"/>
      <c r="AI1436" s="109"/>
      <c r="AJ1436" s="109"/>
      <c r="AK1436" s="109"/>
      <c r="AL1436" s="109"/>
      <c r="AM1436" s="109"/>
      <c r="AN1436" s="109"/>
      <c r="AO1436" s="109"/>
      <c r="AP1436" s="109"/>
      <c r="AQ1436" s="109"/>
      <c r="AR1436" s="109"/>
      <c r="AS1436" s="109"/>
    </row>
    <row r="1437" spans="1:45" ht="12.6" customHeight="1" x14ac:dyDescent="0.3">
      <c r="A1437" s="78"/>
      <c r="B1437" s="78"/>
      <c r="C1437" s="78"/>
      <c r="D1437" s="78"/>
      <c r="E1437" s="78"/>
      <c r="F1437" s="78"/>
      <c r="G1437" s="16" t="s">
        <v>1317</v>
      </c>
      <c r="Z1437" s="109"/>
      <c r="AA1437" s="109"/>
      <c r="AB1437" s="109"/>
      <c r="AC1437" s="109"/>
      <c r="AD1437" s="109"/>
      <c r="AE1437" s="109"/>
      <c r="AF1437" s="109"/>
      <c r="AG1437" s="109"/>
      <c r="AH1437" s="109"/>
      <c r="AI1437" s="109"/>
      <c r="AJ1437" s="109"/>
      <c r="AK1437" s="109"/>
      <c r="AL1437" s="109"/>
      <c r="AM1437" s="109"/>
      <c r="AN1437" s="109"/>
      <c r="AO1437" s="109"/>
      <c r="AP1437" s="109"/>
      <c r="AQ1437" s="109"/>
      <c r="AR1437" s="109"/>
      <c r="AS1437" s="109"/>
    </row>
    <row r="1438" spans="1:45" ht="12.6" customHeight="1" x14ac:dyDescent="0.3">
      <c r="A1438" s="68"/>
      <c r="B1438" s="97" t="str">
        <f>" Cms (적재기계의 1회사이클시간(초)) ="&amp;Z1438&amp;"*"&amp;AB1438&amp;"+"&amp;AD1438&amp;"+"&amp;AF1438&amp;"= "&amp;AH1438&amp;" 초 "</f>
        <v xml:space="preserve"> Cms (적재기계의 1회사이클시간(초)) =1.8*8+6+14= 34.40 초 </v>
      </c>
      <c r="C1438" s="78"/>
      <c r="D1438" s="78"/>
      <c r="E1438" s="78"/>
      <c r="F1438" s="78"/>
      <c r="G1438" s="16" t="s">
        <v>1805</v>
      </c>
      <c r="Z1438" s="110">
        <v>1.8</v>
      </c>
      <c r="AA1438" s="20" t="s">
        <v>1390</v>
      </c>
      <c r="AB1438" s="111">
        <v>8</v>
      </c>
      <c r="AC1438" s="20" t="s">
        <v>1535</v>
      </c>
      <c r="AD1438" s="111">
        <v>6</v>
      </c>
      <c r="AE1438" s="20" t="s">
        <v>1535</v>
      </c>
      <c r="AF1438" s="111">
        <v>14</v>
      </c>
      <c r="AG1438" s="20" t="s">
        <v>1326</v>
      </c>
      <c r="AH1438" s="112" t="str">
        <f>TEXT(ROUND(Z1438*AB1438+AD1438+AF1438,2),"0.00")</f>
        <v>34.40</v>
      </c>
      <c r="AI1438" s="109"/>
      <c r="AJ1438" s="109"/>
      <c r="AK1438" s="109"/>
      <c r="AL1438" s="109"/>
      <c r="AM1438" s="109"/>
      <c r="AN1438" s="109"/>
      <c r="AO1438" s="109"/>
      <c r="AP1438" s="109"/>
      <c r="AQ1438" s="109"/>
      <c r="AR1438" s="109"/>
      <c r="AS1438" s="109"/>
    </row>
    <row r="1439" spans="1:45" ht="12.6" customHeight="1" x14ac:dyDescent="0.3">
      <c r="A1439" s="78"/>
      <c r="B1439" s="78"/>
      <c r="C1439" s="78"/>
      <c r="D1439" s="78"/>
      <c r="E1439" s="78"/>
      <c r="F1439" s="78"/>
      <c r="G1439" s="16" t="s">
        <v>1317</v>
      </c>
      <c r="Z1439" s="109"/>
      <c r="AA1439" s="109"/>
      <c r="AB1439" s="109"/>
      <c r="AC1439" s="109"/>
      <c r="AD1439" s="109"/>
      <c r="AE1439" s="109"/>
      <c r="AF1439" s="109"/>
      <c r="AG1439" s="109"/>
      <c r="AH1439" s="109"/>
      <c r="AI1439" s="109"/>
      <c r="AJ1439" s="109"/>
      <c r="AK1439" s="109"/>
      <c r="AL1439" s="109"/>
      <c r="AM1439" s="109"/>
      <c r="AN1439" s="109"/>
      <c r="AO1439" s="109"/>
      <c r="AP1439" s="109"/>
      <c r="AQ1439" s="109"/>
      <c r="AR1439" s="109"/>
      <c r="AS1439" s="109"/>
    </row>
    <row r="1440" spans="1:45" ht="12.6" customHeight="1" x14ac:dyDescent="0.3">
      <c r="A1440" s="68"/>
      <c r="B1440" s="97" t="str">
        <f>" t1 (적재시간) =Cms * n / ("&amp;AD1440&amp;" * "&amp;AF1440&amp;") = "&amp;AI1440&amp;" 분 "</f>
        <v xml:space="preserve"> t1 (적재시간) =Cms * n / (60 * 0.6) = 11.58 분 </v>
      </c>
      <c r="C1440" s="78"/>
      <c r="D1440" s="78"/>
      <c r="E1440" s="78"/>
      <c r="F1440" s="78"/>
      <c r="G1440" s="16" t="s">
        <v>1839</v>
      </c>
      <c r="Z1440" s="112" t="str">
        <f>AH1438</f>
        <v>34.40</v>
      </c>
      <c r="AA1440" s="20" t="s">
        <v>1390</v>
      </c>
      <c r="AB1440" s="112" t="str">
        <f>AG1436</f>
        <v>12.12</v>
      </c>
      <c r="AC1440" s="20" t="s">
        <v>1531</v>
      </c>
      <c r="AD1440" s="111">
        <v>60</v>
      </c>
      <c r="AE1440" s="20" t="s">
        <v>1390</v>
      </c>
      <c r="AF1440" s="110">
        <v>0.6</v>
      </c>
      <c r="AG1440" s="20" t="s">
        <v>1532</v>
      </c>
      <c r="AH1440" s="20" t="s">
        <v>1326</v>
      </c>
      <c r="AI1440" s="112" t="str">
        <f>TEXT(ROUND(AH1438*AG1436/(AD1440*AF1440),2),"0.00")</f>
        <v>11.58</v>
      </c>
      <c r="AJ1440" s="109"/>
      <c r="AK1440" s="109"/>
      <c r="AL1440" s="109"/>
      <c r="AM1440" s="109"/>
      <c r="AN1440" s="109"/>
      <c r="AO1440" s="109"/>
      <c r="AP1440" s="109"/>
      <c r="AQ1440" s="109"/>
      <c r="AR1440" s="109"/>
      <c r="AS1440" s="109"/>
    </row>
    <row r="1441" spans="1:45" ht="12.6" customHeight="1" x14ac:dyDescent="0.3">
      <c r="A1441" s="78"/>
      <c r="B1441" s="78"/>
      <c r="C1441" s="78"/>
      <c r="D1441" s="78"/>
      <c r="E1441" s="78"/>
      <c r="F1441" s="78"/>
      <c r="G1441" s="16" t="s">
        <v>1317</v>
      </c>
      <c r="Z1441" s="109"/>
      <c r="AA1441" s="109"/>
      <c r="AB1441" s="109"/>
      <c r="AC1441" s="109"/>
      <c r="AD1441" s="109"/>
      <c r="AE1441" s="109"/>
      <c r="AF1441" s="109"/>
      <c r="AG1441" s="109"/>
      <c r="AH1441" s="109"/>
      <c r="AI1441" s="109"/>
      <c r="AJ1441" s="109"/>
      <c r="AK1441" s="109"/>
      <c r="AL1441" s="109"/>
      <c r="AM1441" s="109"/>
      <c r="AN1441" s="109"/>
      <c r="AO1441" s="109"/>
      <c r="AP1441" s="109"/>
      <c r="AQ1441" s="109"/>
      <c r="AR1441" s="109"/>
      <c r="AS1441" s="109"/>
    </row>
    <row r="1442" spans="1:45" ht="12.6" customHeight="1" x14ac:dyDescent="0.3">
      <c r="A1442" s="68"/>
      <c r="B1442" s="97" t="str">
        <f>" t2 (왕복시간) =(L1/V1+L1/V2+L2/V3+L2/V4 ) * "&amp;AQ1442&amp;" = "&amp;AS1442&amp;" 분 "</f>
        <v xml:space="preserve"> t2 (왕복시간) =(L1/V1+L1/V2+L2/V3+L2/V4 ) * 60 = 104.91 분 </v>
      </c>
      <c r="C1442" s="78"/>
      <c r="D1442" s="78"/>
      <c r="E1442" s="78"/>
      <c r="F1442" s="78"/>
      <c r="G1442" s="16" t="s">
        <v>1702</v>
      </c>
      <c r="Z1442" s="20" t="s">
        <v>1526</v>
      </c>
      <c r="AA1442" s="112">
        <f>AB1375</f>
        <v>9.4</v>
      </c>
      <c r="AB1442" s="20" t="s">
        <v>1387</v>
      </c>
      <c r="AC1442" s="112">
        <f>AB1430</f>
        <v>30</v>
      </c>
      <c r="AD1442" s="20" t="s">
        <v>1535</v>
      </c>
      <c r="AE1442" s="112">
        <f>AB1375</f>
        <v>9.4</v>
      </c>
      <c r="AF1442" s="20" t="s">
        <v>1387</v>
      </c>
      <c r="AG1442" s="112">
        <f>AF1430</f>
        <v>35</v>
      </c>
      <c r="AH1442" s="20" t="s">
        <v>1535</v>
      </c>
      <c r="AI1442" s="112">
        <f>AB1377</f>
        <v>7</v>
      </c>
      <c r="AJ1442" s="20" t="s">
        <v>1387</v>
      </c>
      <c r="AK1442" s="112">
        <f>AJ1430</f>
        <v>10</v>
      </c>
      <c r="AL1442" s="20" t="s">
        <v>1535</v>
      </c>
      <c r="AM1442" s="112">
        <f>AB1377</f>
        <v>7</v>
      </c>
      <c r="AN1442" s="20" t="s">
        <v>1387</v>
      </c>
      <c r="AO1442" s="112">
        <f>AN1430</f>
        <v>15</v>
      </c>
      <c r="AP1442" s="20" t="s">
        <v>1527</v>
      </c>
      <c r="AQ1442" s="111">
        <v>60</v>
      </c>
      <c r="AR1442" s="20" t="s">
        <v>1326</v>
      </c>
      <c r="AS1442" s="112" t="str">
        <f>TEXT(ROUND((AB1375/AB1430+AB1375/AF1430+AB1377/AJ1430+AB1377/AN1430)*AQ1442,2),"0.00")</f>
        <v>104.91</v>
      </c>
    </row>
    <row r="1443" spans="1:45" ht="12.6" customHeight="1" x14ac:dyDescent="0.3">
      <c r="A1443" s="78"/>
      <c r="B1443" s="78"/>
      <c r="C1443" s="78"/>
      <c r="D1443" s="78"/>
      <c r="E1443" s="78"/>
      <c r="F1443" s="78"/>
      <c r="G1443" s="16" t="s">
        <v>1317</v>
      </c>
      <c r="Z1443" s="109"/>
      <c r="AA1443" s="109"/>
      <c r="AB1443" s="109"/>
      <c r="AC1443" s="109"/>
      <c r="AD1443" s="109"/>
      <c r="AE1443" s="109"/>
      <c r="AF1443" s="109"/>
      <c r="AG1443" s="109"/>
      <c r="AH1443" s="109"/>
      <c r="AI1443" s="109"/>
      <c r="AJ1443" s="109"/>
      <c r="AK1443" s="109"/>
      <c r="AL1443" s="109"/>
      <c r="AM1443" s="109"/>
      <c r="AN1443" s="109"/>
      <c r="AO1443" s="109"/>
      <c r="AP1443" s="109"/>
      <c r="AQ1443" s="109"/>
      <c r="AR1443" s="109"/>
      <c r="AS1443" s="109"/>
    </row>
    <row r="1444" spans="1:45" ht="12.6" customHeight="1" x14ac:dyDescent="0.3">
      <c r="A1444" s="68"/>
      <c r="B1444" s="97" t="str">
        <f>" t3 (적하시간) ="&amp;Z1444&amp;" 분 "</f>
        <v xml:space="preserve"> t3 (적하시간) =0.8 분 </v>
      </c>
      <c r="C1444" s="78"/>
      <c r="D1444" s="78"/>
      <c r="E1444" s="78"/>
      <c r="F1444" s="78"/>
      <c r="G1444" s="16" t="s">
        <v>1807</v>
      </c>
      <c r="Z1444" s="110">
        <v>0.8</v>
      </c>
      <c r="AA1444" s="20" t="s">
        <v>1326</v>
      </c>
      <c r="AB1444" s="112">
        <f>Z1444</f>
        <v>0.8</v>
      </c>
      <c r="AC1444" s="109"/>
      <c r="AD1444" s="109"/>
      <c r="AE1444" s="109"/>
      <c r="AF1444" s="109"/>
      <c r="AG1444" s="109"/>
      <c r="AH1444" s="109"/>
      <c r="AI1444" s="109"/>
      <c r="AJ1444" s="109"/>
      <c r="AK1444" s="109"/>
      <c r="AL1444" s="109"/>
      <c r="AM1444" s="109"/>
      <c r="AN1444" s="109"/>
      <c r="AO1444" s="109"/>
      <c r="AP1444" s="109"/>
      <c r="AQ1444" s="109"/>
      <c r="AR1444" s="109"/>
      <c r="AS1444" s="109"/>
    </row>
    <row r="1445" spans="1:45" ht="12.6" customHeight="1" x14ac:dyDescent="0.3">
      <c r="A1445" s="78"/>
      <c r="B1445" s="78"/>
      <c r="C1445" s="78"/>
      <c r="D1445" s="78"/>
      <c r="E1445" s="78"/>
      <c r="F1445" s="78"/>
      <c r="G1445" s="16" t="s">
        <v>1317</v>
      </c>
      <c r="Z1445" s="109"/>
      <c r="AA1445" s="109"/>
      <c r="AB1445" s="109"/>
      <c r="AC1445" s="109"/>
      <c r="AD1445" s="109"/>
      <c r="AE1445" s="109"/>
      <c r="AF1445" s="109"/>
      <c r="AG1445" s="109"/>
      <c r="AH1445" s="109"/>
      <c r="AI1445" s="109"/>
      <c r="AJ1445" s="109"/>
      <c r="AK1445" s="109"/>
      <c r="AL1445" s="109"/>
      <c r="AM1445" s="109"/>
      <c r="AN1445" s="109"/>
      <c r="AO1445" s="109"/>
      <c r="AP1445" s="109"/>
      <c r="AQ1445" s="109"/>
      <c r="AR1445" s="109"/>
      <c r="AS1445" s="109"/>
    </row>
    <row r="1446" spans="1:45" ht="12.6" customHeight="1" x14ac:dyDescent="0.3">
      <c r="A1446" s="68"/>
      <c r="B1446" s="97" t="str">
        <f>" t4 (적재장소 도착한 때로부터 적재작업이 시작될 때까지의 시간) ="&amp;Z1446&amp;" 분 "</f>
        <v xml:space="preserve"> t4 (적재장소 도착한 때로부터 적재작업이 시작될 때까지의 시간) =0.42 분 </v>
      </c>
      <c r="C1446" s="78"/>
      <c r="D1446" s="78"/>
      <c r="E1446" s="78"/>
      <c r="F1446" s="78"/>
      <c r="G1446" s="16" t="s">
        <v>1808</v>
      </c>
      <c r="Z1446" s="110">
        <v>0.42</v>
      </c>
      <c r="AA1446" s="20" t="s">
        <v>1326</v>
      </c>
      <c r="AB1446" s="112">
        <f>Z1446</f>
        <v>0.42</v>
      </c>
      <c r="AC1446" s="109"/>
      <c r="AD1446" s="109"/>
      <c r="AE1446" s="109"/>
      <c r="AF1446" s="109"/>
      <c r="AG1446" s="109"/>
      <c r="AH1446" s="109"/>
      <c r="AI1446" s="109"/>
      <c r="AJ1446" s="109"/>
      <c r="AK1446" s="109"/>
      <c r="AL1446" s="109"/>
      <c r="AM1446" s="109"/>
      <c r="AN1446" s="109"/>
      <c r="AO1446" s="109"/>
      <c r="AP1446" s="109"/>
      <c r="AQ1446" s="109"/>
      <c r="AR1446" s="109"/>
      <c r="AS1446" s="109"/>
    </row>
    <row r="1447" spans="1:45" ht="12.6" customHeight="1" x14ac:dyDescent="0.3">
      <c r="A1447" s="78"/>
      <c r="B1447" s="78"/>
      <c r="C1447" s="78"/>
      <c r="D1447" s="78"/>
      <c r="E1447" s="78"/>
      <c r="F1447" s="78"/>
      <c r="G1447" s="16" t="s">
        <v>1317</v>
      </c>
      <c r="Z1447" s="109"/>
      <c r="AA1447" s="109"/>
      <c r="AB1447" s="109"/>
      <c r="AC1447" s="109"/>
      <c r="AD1447" s="109"/>
      <c r="AE1447" s="109"/>
      <c r="AF1447" s="109"/>
      <c r="AG1447" s="109"/>
      <c r="AH1447" s="109"/>
      <c r="AI1447" s="109"/>
      <c r="AJ1447" s="109"/>
      <c r="AK1447" s="109"/>
      <c r="AL1447" s="109"/>
      <c r="AM1447" s="109"/>
      <c r="AN1447" s="109"/>
      <c r="AO1447" s="109"/>
      <c r="AP1447" s="109"/>
      <c r="AQ1447" s="109"/>
      <c r="AR1447" s="109"/>
      <c r="AS1447" s="109"/>
    </row>
    <row r="1448" spans="1:45" ht="12.6" customHeight="1" x14ac:dyDescent="0.3">
      <c r="A1448" s="68"/>
      <c r="B1448" s="97" t="str">
        <f>" t5 (적재함 덮개 설치 및 해체시간)  = "&amp;Z1448&amp;" 분 "</f>
        <v xml:space="preserve"> t5 (적재함 덮개 설치 및 해체시간)  = 0.5 분 </v>
      </c>
      <c r="C1448" s="78"/>
      <c r="D1448" s="78"/>
      <c r="E1448" s="78"/>
      <c r="F1448" s="78"/>
      <c r="G1448" s="16" t="s">
        <v>1840</v>
      </c>
      <c r="Z1448" s="110">
        <v>0.5</v>
      </c>
      <c r="AA1448" s="20" t="s">
        <v>1326</v>
      </c>
      <c r="AB1448" s="112">
        <f>Z1448</f>
        <v>0.5</v>
      </c>
      <c r="AC1448" s="109"/>
      <c r="AD1448" s="109"/>
      <c r="AE1448" s="109"/>
      <c r="AF1448" s="109"/>
      <c r="AG1448" s="109"/>
      <c r="AH1448" s="109"/>
      <c r="AI1448" s="109"/>
      <c r="AJ1448" s="109"/>
      <c r="AK1448" s="109"/>
      <c r="AL1448" s="109"/>
      <c r="AM1448" s="109"/>
      <c r="AN1448" s="109"/>
      <c r="AO1448" s="109"/>
      <c r="AP1448" s="109"/>
      <c r="AQ1448" s="109"/>
      <c r="AR1448" s="109"/>
      <c r="AS1448" s="109"/>
    </row>
    <row r="1449" spans="1:45" ht="12.6" customHeight="1" x14ac:dyDescent="0.3">
      <c r="A1449" s="78"/>
      <c r="B1449" s="78"/>
      <c r="C1449" s="78"/>
      <c r="D1449" s="78"/>
      <c r="E1449" s="78"/>
      <c r="F1449" s="78"/>
      <c r="G1449" s="16" t="s">
        <v>1433</v>
      </c>
      <c r="Z1449" s="109"/>
      <c r="AA1449" s="109"/>
      <c r="AB1449" s="109"/>
      <c r="AC1449" s="109"/>
      <c r="AD1449" s="109"/>
      <c r="AE1449" s="109"/>
      <c r="AF1449" s="109"/>
      <c r="AG1449" s="109"/>
      <c r="AH1449" s="109"/>
      <c r="AI1449" s="109"/>
      <c r="AJ1449" s="109"/>
      <c r="AK1449" s="109"/>
      <c r="AL1449" s="109"/>
      <c r="AM1449" s="109"/>
      <c r="AN1449" s="109"/>
      <c r="AO1449" s="109"/>
      <c r="AP1449" s="109"/>
      <c r="AQ1449" s="109"/>
      <c r="AR1449" s="109"/>
      <c r="AS1449" s="109"/>
    </row>
    <row r="1450" spans="1:45" ht="12.6" customHeight="1" x14ac:dyDescent="0.3">
      <c r="A1450" s="68"/>
      <c r="B1450" s="97" t="str">
        <f>" t6 (세륜기통과시간) ="&amp;Z1450&amp;" 분 "</f>
        <v xml:space="preserve"> t6 (세륜기통과시간) =1.5 분 </v>
      </c>
      <c r="C1450" s="78"/>
      <c r="D1450" s="78"/>
      <c r="E1450" s="78"/>
      <c r="F1450" s="78"/>
      <c r="G1450" s="16" t="s">
        <v>1706</v>
      </c>
      <c r="Z1450" s="110">
        <v>1.5</v>
      </c>
      <c r="AA1450" s="20" t="s">
        <v>1326</v>
      </c>
      <c r="AB1450" s="112">
        <f>Z1450</f>
        <v>1.5</v>
      </c>
      <c r="AC1450" s="109"/>
      <c r="AD1450" s="109"/>
      <c r="AE1450" s="109"/>
      <c r="AF1450" s="109"/>
      <c r="AG1450" s="109"/>
      <c r="AH1450" s="109"/>
      <c r="AI1450" s="109"/>
      <c r="AJ1450" s="109"/>
      <c r="AK1450" s="109"/>
      <c r="AL1450" s="109"/>
      <c r="AM1450" s="109"/>
      <c r="AN1450" s="109"/>
      <c r="AO1450" s="109"/>
      <c r="AP1450" s="109"/>
      <c r="AQ1450" s="109"/>
      <c r="AR1450" s="109"/>
      <c r="AS1450" s="109"/>
    </row>
    <row r="1451" spans="1:45" ht="12.6" customHeight="1" x14ac:dyDescent="0.3">
      <c r="A1451" s="78"/>
      <c r="B1451" s="78"/>
      <c r="C1451" s="78"/>
      <c r="D1451" s="78"/>
      <c r="E1451" s="78"/>
      <c r="F1451" s="78"/>
      <c r="G1451" s="16" t="s">
        <v>1317</v>
      </c>
      <c r="Z1451" s="109"/>
      <c r="AA1451" s="109"/>
      <c r="AB1451" s="109"/>
      <c r="AC1451" s="109"/>
      <c r="AD1451" s="109"/>
      <c r="AE1451" s="109"/>
      <c r="AF1451" s="109"/>
      <c r="AG1451" s="109"/>
      <c r="AH1451" s="109"/>
      <c r="AI1451" s="109"/>
      <c r="AJ1451" s="109"/>
      <c r="AK1451" s="109"/>
      <c r="AL1451" s="109"/>
      <c r="AM1451" s="109"/>
      <c r="AN1451" s="109"/>
      <c r="AO1451" s="109"/>
      <c r="AP1451" s="109"/>
      <c r="AQ1451" s="109"/>
      <c r="AR1451" s="109"/>
      <c r="AS1451" s="109"/>
    </row>
    <row r="1452" spans="1:45" ht="12.6" customHeight="1" x14ac:dyDescent="0.3">
      <c r="A1452" s="68"/>
      <c r="B1452" s="97" t="str">
        <f>" Cm (1회 사이클 시간(분))  = t1 + t2 + t3 + t4 + t5 +t6 = "&amp;AL1452&amp;" 분 "</f>
        <v xml:space="preserve"> Cm (1회 사이클 시간(분))  = t1 + t2 + t3 + t4 + t5 +t6 = 119.71 분 </v>
      </c>
      <c r="C1452" s="78"/>
      <c r="D1452" s="78"/>
      <c r="E1452" s="78"/>
      <c r="F1452" s="78"/>
      <c r="G1452" s="16" t="s">
        <v>1707</v>
      </c>
      <c r="Z1452" s="112" t="str">
        <f>AI1440</f>
        <v>11.58</v>
      </c>
      <c r="AA1452" s="20" t="s">
        <v>1535</v>
      </c>
      <c r="AB1452" s="112" t="str">
        <f>AS1442</f>
        <v>104.91</v>
      </c>
      <c r="AC1452" s="20" t="s">
        <v>1535</v>
      </c>
      <c r="AD1452" s="112">
        <f>AB1444</f>
        <v>0.8</v>
      </c>
      <c r="AE1452" s="20" t="s">
        <v>1535</v>
      </c>
      <c r="AF1452" s="112">
        <f>AB1446</f>
        <v>0.42</v>
      </c>
      <c r="AG1452" s="20" t="s">
        <v>1535</v>
      </c>
      <c r="AH1452" s="112">
        <f>AB1448</f>
        <v>0.5</v>
      </c>
      <c r="AI1452" s="20" t="s">
        <v>1535</v>
      </c>
      <c r="AJ1452" s="112">
        <f>AB1450</f>
        <v>1.5</v>
      </c>
      <c r="AK1452" s="20" t="s">
        <v>1326</v>
      </c>
      <c r="AL1452" s="112" t="str">
        <f>TEXT(ROUND(AI1440+AS1442+AB1444+AB1446+AB1448+AB1450,2),"0.00")</f>
        <v>119.71</v>
      </c>
      <c r="AM1452" s="109"/>
      <c r="AN1452" s="109"/>
      <c r="AO1452" s="109"/>
      <c r="AP1452" s="109"/>
      <c r="AQ1452" s="109"/>
      <c r="AR1452" s="109"/>
      <c r="AS1452" s="109"/>
    </row>
    <row r="1453" spans="1:45" ht="12.6" customHeight="1" x14ac:dyDescent="0.3">
      <c r="A1453" s="78"/>
      <c r="B1453" s="78"/>
      <c r="C1453" s="78"/>
      <c r="D1453" s="78"/>
      <c r="E1453" s="78"/>
      <c r="F1453" s="78"/>
      <c r="G1453" s="16" t="s">
        <v>1317</v>
      </c>
      <c r="Z1453" s="109"/>
      <c r="AA1453" s="109"/>
      <c r="AB1453" s="109"/>
      <c r="AC1453" s="109"/>
      <c r="AD1453" s="109"/>
      <c r="AE1453" s="109"/>
      <c r="AF1453" s="109"/>
      <c r="AG1453" s="109"/>
      <c r="AH1453" s="109"/>
      <c r="AI1453" s="109"/>
      <c r="AJ1453" s="109"/>
      <c r="AK1453" s="109"/>
      <c r="AL1453" s="109"/>
      <c r="AM1453" s="109"/>
      <c r="AN1453" s="109"/>
      <c r="AO1453" s="109"/>
      <c r="AP1453" s="109"/>
      <c r="AQ1453" s="109"/>
      <c r="AR1453" s="109"/>
      <c r="AS1453" s="109"/>
    </row>
    <row r="1454" spans="1:45" ht="12.6" customHeight="1" x14ac:dyDescent="0.3">
      <c r="A1454" s="68"/>
      <c r="B1454" s="97" t="str">
        <f>" OH (상차 10분 초과 시 운반기계의 유류보정) =(cm-t1)/Cm= "&amp;AG1454&amp;""</f>
        <v xml:space="preserve"> OH (상차 10분 초과 시 운반기계의 유류보정) =(cm-t1)/Cm= 0.90</v>
      </c>
      <c r="C1454" s="78"/>
      <c r="D1454" s="78"/>
      <c r="E1454" s="78"/>
      <c r="F1454" s="78"/>
      <c r="G1454" s="16" t="s">
        <v>1725</v>
      </c>
      <c r="Z1454" s="20" t="s">
        <v>1526</v>
      </c>
      <c r="AA1454" s="112" t="str">
        <f>AL1452</f>
        <v>119.71</v>
      </c>
      <c r="AB1454" s="20" t="s">
        <v>1407</v>
      </c>
      <c r="AC1454" s="112" t="str">
        <f>AI1440</f>
        <v>11.58</v>
      </c>
      <c r="AD1454" s="20" t="s">
        <v>1727</v>
      </c>
      <c r="AE1454" s="112" t="str">
        <f>AL1452</f>
        <v>119.71</v>
      </c>
      <c r="AF1454" s="20" t="s">
        <v>1326</v>
      </c>
      <c r="AG1454" s="112" t="str">
        <f>TEXT(ROUND((AL1452-AI1440)/AL1452,2),"0.00")</f>
        <v>0.90</v>
      </c>
      <c r="AH1454" s="109"/>
      <c r="AI1454" s="109"/>
      <c r="AJ1454" s="109"/>
      <c r="AK1454" s="109"/>
      <c r="AL1454" s="109"/>
      <c r="AM1454" s="109"/>
      <c r="AN1454" s="109"/>
      <c r="AO1454" s="109"/>
      <c r="AP1454" s="109"/>
      <c r="AQ1454" s="109"/>
      <c r="AR1454" s="109"/>
      <c r="AS1454" s="109"/>
    </row>
    <row r="1455" spans="1:45" ht="12.6" customHeight="1" x14ac:dyDescent="0.3">
      <c r="A1455" s="78"/>
      <c r="B1455" s="78"/>
      <c r="C1455" s="78"/>
      <c r="D1455" s="78"/>
      <c r="E1455" s="78"/>
      <c r="F1455" s="78"/>
      <c r="G1455" s="16" t="s">
        <v>1317</v>
      </c>
      <c r="Z1455" s="109"/>
      <c r="AA1455" s="109"/>
      <c r="AB1455" s="109"/>
      <c r="AC1455" s="109"/>
      <c r="AD1455" s="109"/>
      <c r="AE1455" s="109"/>
      <c r="AF1455" s="109"/>
      <c r="AG1455" s="109"/>
      <c r="AH1455" s="109"/>
      <c r="AI1455" s="109"/>
      <c r="AJ1455" s="109"/>
      <c r="AK1455" s="109"/>
      <c r="AL1455" s="109"/>
      <c r="AM1455" s="109"/>
      <c r="AN1455" s="109"/>
      <c r="AO1455" s="109"/>
      <c r="AP1455" s="109"/>
      <c r="AQ1455" s="109"/>
      <c r="AR1455" s="109"/>
      <c r="AS1455" s="109"/>
    </row>
    <row r="1456" spans="1:45" ht="12.6" customHeight="1" x14ac:dyDescent="0.3">
      <c r="A1456" s="68"/>
      <c r="B1456" s="97" t="str">
        <f>" Q (시간당 작업량) = "&amp;Z1456&amp;" * q1 * F * E / Cm = "&amp;AJ1456&amp;" m3/hr "</f>
        <v xml:space="preserve"> Q (시간당 작업량) = 60 * q1 * F * E / Cm = 6.37 m3/hr </v>
      </c>
      <c r="C1456" s="78"/>
      <c r="D1456" s="78"/>
      <c r="E1456" s="78"/>
      <c r="F1456" s="78"/>
      <c r="G1456" s="16" t="s">
        <v>1841</v>
      </c>
      <c r="Z1456" s="111">
        <v>60</v>
      </c>
      <c r="AA1456" s="20" t="s">
        <v>1390</v>
      </c>
      <c r="AB1456" s="112" t="str">
        <f>AG1432</f>
        <v>16.24</v>
      </c>
      <c r="AC1456" s="20" t="s">
        <v>1390</v>
      </c>
      <c r="AD1456" s="112">
        <f>AD1428</f>
        <v>0.86956521739129999</v>
      </c>
      <c r="AE1456" s="20" t="s">
        <v>1390</v>
      </c>
      <c r="AF1456" s="112">
        <f>AH1428</f>
        <v>0.9</v>
      </c>
      <c r="AG1456" s="20" t="s">
        <v>1387</v>
      </c>
      <c r="AH1456" s="112" t="str">
        <f>AL1452</f>
        <v>119.71</v>
      </c>
      <c r="AI1456" s="20" t="s">
        <v>1326</v>
      </c>
      <c r="AJ1456" s="112" t="str">
        <f>TEXT(ROUND(Z1456*AG1432*AD1428*AH1428/AL1452,2),"0.00")</f>
        <v>6.37</v>
      </c>
      <c r="AK1456" s="109"/>
      <c r="AL1456" s="109"/>
      <c r="AM1456" s="109"/>
      <c r="AN1456" s="109"/>
      <c r="AO1456" s="109"/>
      <c r="AP1456" s="109"/>
      <c r="AQ1456" s="109"/>
      <c r="AR1456" s="109"/>
      <c r="AS1456" s="109"/>
    </row>
    <row r="1457" spans="1:45" ht="12.6" customHeight="1" x14ac:dyDescent="0.3">
      <c r="A1457" s="78"/>
      <c r="B1457" s="78"/>
      <c r="C1457" s="78"/>
      <c r="D1457" s="78"/>
      <c r="E1457" s="78"/>
      <c r="F1457" s="78"/>
      <c r="G1457" s="16" t="s">
        <v>1317</v>
      </c>
      <c r="Z1457" s="109"/>
      <c r="AA1457" s="109"/>
      <c r="AB1457" s="109"/>
      <c r="AC1457" s="109"/>
      <c r="AD1457" s="109"/>
      <c r="AE1457" s="109"/>
      <c r="AF1457" s="109"/>
      <c r="AG1457" s="109"/>
      <c r="AH1457" s="109"/>
      <c r="AI1457" s="109"/>
      <c r="AJ1457" s="109"/>
      <c r="AK1457" s="109"/>
      <c r="AL1457" s="109"/>
      <c r="AM1457" s="109"/>
      <c r="AN1457" s="109"/>
      <c r="AO1457" s="109"/>
      <c r="AP1457" s="109"/>
      <c r="AQ1457" s="109"/>
      <c r="AR1457" s="109"/>
      <c r="AS1457" s="109"/>
    </row>
    <row r="1458" spans="1:45" ht="12.6" customHeight="1" x14ac:dyDescent="0.3">
      <c r="A1458" s="68" t="s">
        <v>1728</v>
      </c>
      <c r="B1458" s="97" t="str">
        <f>"  노 무 비  :   "&amp;TEXT(I1458,"#,##0"&amp;IF(I1458&lt;&gt;INT(I1458),".###",""))&amp;" / Q = "&amp;TEXT(C1458,"#,##0.0")&amp;""</f>
        <v xml:space="preserve">  노 무 비  :   55,700 / Q = 8,744.1</v>
      </c>
      <c r="C1458" s="99">
        <f>E1458+D1458+F1458</f>
        <v>8744.1</v>
      </c>
      <c r="D1458" s="99">
        <f>IF(H1458=0,0,ROUNDDOWN(J1458*H1458,1))</f>
        <v>8744.1</v>
      </c>
      <c r="E1458" s="99">
        <f>IF(H1458=0,0,ROUNDDOWN(K1458*H1458,1))</f>
        <v>0</v>
      </c>
      <c r="F1458" s="99">
        <f>IF(H1458=0,0,ROUNDDOWN(L1458*H1458,1))</f>
        <v>0</v>
      </c>
      <c r="G1458" s="16" t="s">
        <v>1726</v>
      </c>
      <c r="H1458" s="105">
        <f>AC1458</f>
        <v>0.15698587127158556</v>
      </c>
      <c r="I1458" s="106">
        <f>K1458+J1458+L1458</f>
        <v>55700</v>
      </c>
      <c r="J1458" s="39">
        <f>중기목록표!F22</f>
        <v>55700</v>
      </c>
      <c r="M1458" s="20" t="s">
        <v>1729</v>
      </c>
      <c r="N1458" s="20" t="s">
        <v>1332</v>
      </c>
      <c r="X1458" s="108" t="str">
        <f>중기목록표!B22&amp;" / "&amp;중기목록표!C22</f>
        <v xml:space="preserve">덤프트럭24ton(토사) / </v>
      </c>
      <c r="Y1458" s="19" t="str">
        <f ca="1">HYPERLINK("#"&amp;중기목록표!J2&amp;"!A"&amp;ROW(중기목록표!A22),"중기   19 →")</f>
        <v>중기   19 →</v>
      </c>
      <c r="Z1458" s="20" t="s">
        <v>1393</v>
      </c>
      <c r="AA1458" s="112" t="str">
        <f>AJ1456</f>
        <v>6.37</v>
      </c>
      <c r="AB1458" s="20" t="s">
        <v>1326</v>
      </c>
      <c r="AC1458" s="113">
        <f>1/AJ1456</f>
        <v>0.15698587127158556</v>
      </c>
      <c r="AD1458" s="109"/>
      <c r="AE1458" s="109"/>
      <c r="AF1458" s="109"/>
      <c r="AG1458" s="109"/>
      <c r="AH1458" s="109"/>
      <c r="AI1458" s="109"/>
      <c r="AJ1458" s="109"/>
      <c r="AK1458" s="109"/>
      <c r="AL1458" s="109"/>
      <c r="AM1458" s="109"/>
      <c r="AN1458" s="109"/>
      <c r="AO1458" s="109"/>
      <c r="AP1458" s="109"/>
      <c r="AQ1458" s="109"/>
      <c r="AR1458" s="109"/>
      <c r="AS1458" s="109"/>
    </row>
    <row r="1459" spans="1:45" ht="12.6" customHeight="1" x14ac:dyDescent="0.3">
      <c r="A1459" s="78"/>
      <c r="B1459" s="78"/>
      <c r="C1459" s="78"/>
      <c r="D1459" s="78"/>
      <c r="E1459" s="78"/>
      <c r="F1459" s="78"/>
      <c r="G1459" s="16" t="s">
        <v>1317</v>
      </c>
      <c r="Z1459" s="109"/>
      <c r="AA1459" s="109"/>
      <c r="AB1459" s="109"/>
      <c r="AC1459" s="109"/>
      <c r="AD1459" s="109"/>
      <c r="AE1459" s="109"/>
      <c r="AF1459" s="109"/>
      <c r="AG1459" s="109"/>
      <c r="AH1459" s="109"/>
      <c r="AI1459" s="109"/>
      <c r="AJ1459" s="109"/>
      <c r="AK1459" s="109"/>
      <c r="AL1459" s="109"/>
      <c r="AM1459" s="109"/>
      <c r="AN1459" s="109"/>
      <c r="AO1459" s="109"/>
      <c r="AP1459" s="109"/>
      <c r="AQ1459" s="109"/>
      <c r="AR1459" s="109"/>
      <c r="AS1459" s="109"/>
    </row>
    <row r="1460" spans="1:45" ht="12.6" customHeight="1" x14ac:dyDescent="0.3">
      <c r="A1460" s="68" t="s">
        <v>1731</v>
      </c>
      <c r="B1460" s="97" t="str">
        <f>"  재 료 비  :   "&amp;TEXT(I1460,"#,##0"&amp;IF(I1460&lt;&gt;INT(I1460),".###",""))&amp;" / Q * OH= "&amp;TEXT(C1460,"#,##0.0")&amp;""</f>
        <v xml:space="preserve">  재 료 비  :   40,373 / Q * OH= 5,704.1</v>
      </c>
      <c r="C1460" s="99">
        <f>E1460+D1460+F1460</f>
        <v>5704.1</v>
      </c>
      <c r="D1460" s="99">
        <f>IF(H1460=0,0,ROUNDDOWN(J1460*H1460,1))</f>
        <v>0</v>
      </c>
      <c r="E1460" s="99">
        <f>IF(H1460=0,0,ROUNDDOWN(K1460*H1460,1))</f>
        <v>5704.1</v>
      </c>
      <c r="F1460" s="99">
        <f>IF(H1460=0,0,ROUNDDOWN(L1460*H1460,1))</f>
        <v>0</v>
      </c>
      <c r="G1460" s="16" t="s">
        <v>1845</v>
      </c>
      <c r="H1460" s="105">
        <f>AE1460</f>
        <v>0.14128728414442701</v>
      </c>
      <c r="I1460" s="106">
        <f>K1460+J1460+L1460</f>
        <v>40373</v>
      </c>
      <c r="K1460" s="39">
        <f>중기목록표!G22</f>
        <v>40373</v>
      </c>
      <c r="M1460" s="20" t="s">
        <v>1729</v>
      </c>
      <c r="N1460" s="20" t="s">
        <v>1332</v>
      </c>
      <c r="X1460" s="108" t="str">
        <f>중기목록표!B22&amp;" / "&amp;중기목록표!C22</f>
        <v xml:space="preserve">덤프트럭24ton(토사) / </v>
      </c>
      <c r="Y1460" s="19" t="str">
        <f ca="1">HYPERLINK("#"&amp;중기목록표!J2&amp;"!A"&amp;ROW(중기목록표!A22),"중기   19 →")</f>
        <v>중기   19 →</v>
      </c>
      <c r="Z1460" s="20" t="s">
        <v>1393</v>
      </c>
      <c r="AA1460" s="112" t="str">
        <f>AJ1456</f>
        <v>6.37</v>
      </c>
      <c r="AB1460" s="20" t="s">
        <v>1390</v>
      </c>
      <c r="AC1460" s="112" t="str">
        <f>AG1454</f>
        <v>0.90</v>
      </c>
      <c r="AD1460" s="20" t="s">
        <v>1326</v>
      </c>
      <c r="AE1460" s="113">
        <f>1/AJ1456*AG1454</f>
        <v>0.14128728414442701</v>
      </c>
      <c r="AF1460" s="109"/>
      <c r="AG1460" s="109"/>
      <c r="AH1460" s="109"/>
      <c r="AI1460" s="109"/>
      <c r="AJ1460" s="109"/>
      <c r="AK1460" s="109"/>
      <c r="AL1460" s="109"/>
      <c r="AM1460" s="109"/>
      <c r="AN1460" s="109"/>
      <c r="AO1460" s="109"/>
      <c r="AP1460" s="109"/>
      <c r="AQ1460" s="109"/>
      <c r="AR1460" s="109"/>
      <c r="AS1460" s="109"/>
    </row>
    <row r="1461" spans="1:45" ht="12.6" customHeight="1" x14ac:dyDescent="0.3">
      <c r="A1461" s="78"/>
      <c r="B1461" s="78"/>
      <c r="C1461" s="78"/>
      <c r="D1461" s="78"/>
      <c r="E1461" s="78"/>
      <c r="F1461" s="78"/>
      <c r="G1461" s="16" t="s">
        <v>1317</v>
      </c>
      <c r="Z1461" s="109"/>
      <c r="AA1461" s="109"/>
      <c r="AB1461" s="109"/>
      <c r="AC1461" s="109"/>
      <c r="AD1461" s="109"/>
      <c r="AE1461" s="109"/>
      <c r="AF1461" s="109"/>
      <c r="AG1461" s="109"/>
      <c r="AH1461" s="109"/>
      <c r="AI1461" s="109"/>
      <c r="AJ1461" s="109"/>
      <c r="AK1461" s="109"/>
      <c r="AL1461" s="109"/>
      <c r="AM1461" s="109"/>
      <c r="AN1461" s="109"/>
      <c r="AO1461" s="109"/>
      <c r="AP1461" s="109"/>
      <c r="AQ1461" s="109"/>
      <c r="AR1461" s="109"/>
      <c r="AS1461" s="109"/>
    </row>
    <row r="1462" spans="1:45" ht="12.6" customHeight="1" x14ac:dyDescent="0.3">
      <c r="A1462" s="68" t="s">
        <v>1733</v>
      </c>
      <c r="B1462" s="97" t="str">
        <f>"  경    비  :   "&amp;TEXT(I1462,"#,##0"&amp;IF(I1462&lt;&gt;INT(I1462),".###",""))&amp;" / Q = "&amp;TEXT(C1462,"#,##0.0")&amp;""</f>
        <v xml:space="preserve">  경    비  :   31,406 / Q = 4,930.2</v>
      </c>
      <c r="C1462" s="99">
        <f>E1462+D1462+F1462</f>
        <v>4930.2</v>
      </c>
      <c r="D1462" s="99">
        <f>IF(H1462=0,0,ROUNDDOWN(J1462*H1462,1))</f>
        <v>0</v>
      </c>
      <c r="E1462" s="99">
        <f>IF(H1462=0,0,ROUNDDOWN(K1462*H1462,1))</f>
        <v>0</v>
      </c>
      <c r="F1462" s="99">
        <f>IF(H1462=0,0,ROUNDDOWN(L1462*H1462,1))</f>
        <v>4930.2</v>
      </c>
      <c r="G1462" s="16" t="s">
        <v>1732</v>
      </c>
      <c r="H1462" s="105">
        <f>AC1462</f>
        <v>0.15698587127158556</v>
      </c>
      <c r="I1462" s="106">
        <f>K1462+J1462+L1462</f>
        <v>31406</v>
      </c>
      <c r="L1462" s="39">
        <f>중기목록표!H22</f>
        <v>31406</v>
      </c>
      <c r="M1462" s="20" t="s">
        <v>1729</v>
      </c>
      <c r="N1462" s="20" t="s">
        <v>1332</v>
      </c>
      <c r="X1462" s="108" t="str">
        <f>중기목록표!B22&amp;" / "&amp;중기목록표!C22</f>
        <v xml:space="preserve">덤프트럭24ton(토사) / </v>
      </c>
      <c r="Y1462" s="19" t="str">
        <f ca="1">HYPERLINK("#"&amp;중기목록표!J2&amp;"!A"&amp;ROW(중기목록표!A22),"중기   19 →")</f>
        <v>중기   19 →</v>
      </c>
      <c r="Z1462" s="20" t="s">
        <v>1393</v>
      </c>
      <c r="AA1462" s="112" t="str">
        <f>AJ1456</f>
        <v>6.37</v>
      </c>
      <c r="AB1462" s="20" t="s">
        <v>1326</v>
      </c>
      <c r="AC1462" s="113">
        <f>1/AJ1456</f>
        <v>0.15698587127158556</v>
      </c>
      <c r="AD1462" s="109"/>
      <c r="AE1462" s="109"/>
      <c r="AF1462" s="109"/>
      <c r="AG1462" s="109"/>
      <c r="AH1462" s="109"/>
      <c r="AI1462" s="109"/>
      <c r="AJ1462" s="109"/>
      <c r="AK1462" s="109"/>
      <c r="AL1462" s="109"/>
      <c r="AM1462" s="109"/>
      <c r="AN1462" s="109"/>
      <c r="AO1462" s="109"/>
      <c r="AP1462" s="109"/>
      <c r="AQ1462" s="109"/>
      <c r="AR1462" s="109"/>
      <c r="AS1462" s="109"/>
    </row>
    <row r="1463" spans="1:45" ht="12.6" customHeight="1" x14ac:dyDescent="0.3">
      <c r="A1463" s="78"/>
      <c r="B1463" s="78"/>
      <c r="C1463" s="78"/>
      <c r="D1463" s="78"/>
      <c r="E1463" s="78"/>
      <c r="F1463" s="78"/>
      <c r="G1463" s="16" t="s">
        <v>1317</v>
      </c>
      <c r="Z1463" s="109"/>
      <c r="AA1463" s="109"/>
      <c r="AB1463" s="109"/>
      <c r="AC1463" s="109"/>
      <c r="AD1463" s="109"/>
      <c r="AE1463" s="109"/>
      <c r="AF1463" s="109"/>
      <c r="AG1463" s="109"/>
      <c r="AH1463" s="109"/>
      <c r="AI1463" s="109"/>
      <c r="AJ1463" s="109"/>
      <c r="AK1463" s="109"/>
      <c r="AL1463" s="109"/>
      <c r="AM1463" s="109"/>
      <c r="AN1463" s="109"/>
      <c r="AO1463" s="109"/>
      <c r="AP1463" s="109"/>
      <c r="AQ1463" s="109"/>
      <c r="AR1463" s="109"/>
      <c r="AS1463" s="109"/>
    </row>
    <row r="1464" spans="1:45" ht="12.6" customHeight="1" x14ac:dyDescent="0.3">
      <c r="A1464" s="68" t="s">
        <v>1823</v>
      </c>
      <c r="B1464" s="97" t="str">
        <f>"                "&amp;TEXT(I1464,"#,##0"&amp;IF(I1464&lt;&gt;INT(I1464),".###",""))&amp;" / Q = "&amp;TEXT(C1464,"#,##0.0")&amp;""</f>
        <v xml:space="preserve">                481 / Q = 75.5</v>
      </c>
      <c r="C1464" s="99">
        <f>E1464+D1464+F1464</f>
        <v>75.5</v>
      </c>
      <c r="D1464" s="99">
        <f>IF(H1464=0,0,ROUNDDOWN(J1464*H1464,1))</f>
        <v>0</v>
      </c>
      <c r="E1464" s="99">
        <f>IF(H1464=0,0,ROUNDDOWN(K1464*H1464,1))</f>
        <v>0</v>
      </c>
      <c r="F1464" s="99">
        <f>IF(H1464=0,0,ROUNDDOWN(L1464*H1464,1))</f>
        <v>75.5</v>
      </c>
      <c r="G1464" s="16" t="s">
        <v>1822</v>
      </c>
      <c r="H1464" s="105">
        <f>AC1464</f>
        <v>0.15698587127158556</v>
      </c>
      <c r="I1464" s="106">
        <f>K1464+J1464+L1464</f>
        <v>481</v>
      </c>
      <c r="L1464" s="39">
        <f>중기목록표!H21</f>
        <v>481</v>
      </c>
      <c r="M1464" s="20" t="s">
        <v>1824</v>
      </c>
      <c r="N1464" s="20" t="s">
        <v>1332</v>
      </c>
      <c r="X1464" s="108" t="str">
        <f>중기목록표!B21&amp;" / "&amp;중기목록표!C21</f>
        <v>덤프자동덮개 / 24톤</v>
      </c>
      <c r="Y1464" s="19" t="str">
        <f ca="1">HYPERLINK("#"&amp;중기목록표!J2&amp;"!A"&amp;ROW(중기목록표!A21),"중기   18 →")</f>
        <v>중기   18 →</v>
      </c>
      <c r="Z1464" s="20" t="s">
        <v>1393</v>
      </c>
      <c r="AA1464" s="112" t="str">
        <f>AJ1456</f>
        <v>6.37</v>
      </c>
      <c r="AB1464" s="20" t="s">
        <v>1326</v>
      </c>
      <c r="AC1464" s="113">
        <f>1/AJ1456</f>
        <v>0.15698587127158556</v>
      </c>
      <c r="AD1464" s="109"/>
      <c r="AE1464" s="109"/>
      <c r="AF1464" s="109"/>
      <c r="AG1464" s="109"/>
      <c r="AH1464" s="109"/>
      <c r="AI1464" s="109"/>
      <c r="AJ1464" s="109"/>
      <c r="AK1464" s="109"/>
      <c r="AL1464" s="109"/>
      <c r="AM1464" s="109"/>
      <c r="AN1464" s="109"/>
      <c r="AO1464" s="109"/>
      <c r="AP1464" s="109"/>
      <c r="AQ1464" s="109"/>
      <c r="AR1464" s="109"/>
      <c r="AS1464" s="109"/>
    </row>
    <row r="1465" spans="1:45" ht="12.6" customHeight="1" x14ac:dyDescent="0.3">
      <c r="A1465" s="78"/>
      <c r="B1465" s="78"/>
      <c r="C1465" s="78"/>
      <c r="D1465" s="78"/>
      <c r="E1465" s="78"/>
      <c r="F1465" s="78"/>
      <c r="G1465" s="16" t="s">
        <v>1317</v>
      </c>
      <c r="Z1465" s="109"/>
      <c r="AA1465" s="109"/>
      <c r="AB1465" s="109"/>
      <c r="AC1465" s="109"/>
      <c r="AD1465" s="109"/>
      <c r="AE1465" s="109"/>
      <c r="AF1465" s="109"/>
      <c r="AG1465" s="109"/>
      <c r="AH1465" s="109"/>
      <c r="AI1465" s="109"/>
      <c r="AJ1465" s="109"/>
      <c r="AK1465" s="109"/>
      <c r="AL1465" s="109"/>
      <c r="AM1465" s="109"/>
      <c r="AN1465" s="109"/>
      <c r="AO1465" s="109"/>
      <c r="AP1465" s="109"/>
      <c r="AQ1465" s="109"/>
      <c r="AR1465" s="109"/>
      <c r="AS1465" s="109"/>
    </row>
    <row r="1466" spans="1:45" ht="12.6" customHeight="1" x14ac:dyDescent="0.3">
      <c r="A1466" s="68"/>
      <c r="B1466" s="77" t="s">
        <v>1331</v>
      </c>
      <c r="C1466" s="100">
        <f>E1466+D1466+F1466</f>
        <v>19453.900000000001</v>
      </c>
      <c r="D1466" s="100">
        <f>SUMIF(N1425:N1465,M1466,D1425:D1465)</f>
        <v>8744.1</v>
      </c>
      <c r="E1466" s="100">
        <f>SUMIF(N1425:N1465,M1466,E1425:E1465)</f>
        <v>5704.1</v>
      </c>
      <c r="F1466" s="100">
        <f>SUMIF(N1425:N1465,M1466,F1425:F1465)</f>
        <v>5005.7</v>
      </c>
      <c r="G1466" s="16" t="s">
        <v>1415</v>
      </c>
      <c r="M1466" s="20" t="s">
        <v>1332</v>
      </c>
      <c r="N1466" s="20" t="s">
        <v>1341</v>
      </c>
      <c r="Z1466" s="109"/>
      <c r="AA1466" s="109"/>
      <c r="AB1466" s="109"/>
      <c r="AC1466" s="109"/>
      <c r="AD1466" s="109"/>
      <c r="AE1466" s="109"/>
      <c r="AF1466" s="109"/>
      <c r="AG1466" s="109"/>
      <c r="AH1466" s="109"/>
      <c r="AI1466" s="109"/>
      <c r="AJ1466" s="109"/>
      <c r="AK1466" s="109"/>
      <c r="AL1466" s="109"/>
      <c r="AM1466" s="109"/>
      <c r="AN1466" s="109"/>
      <c r="AO1466" s="109"/>
      <c r="AP1466" s="109"/>
      <c r="AQ1466" s="109"/>
      <c r="AR1466" s="109"/>
      <c r="AS1466" s="109"/>
    </row>
    <row r="1467" spans="1:45" ht="12.6" customHeight="1" x14ac:dyDescent="0.3">
      <c r="A1467" s="78"/>
      <c r="B1467" s="78"/>
      <c r="C1467" s="98"/>
      <c r="D1467" s="98"/>
      <c r="E1467" s="98"/>
      <c r="F1467" s="98"/>
      <c r="G1467" s="16" t="s">
        <v>1317</v>
      </c>
      <c r="Z1467" s="109"/>
      <c r="AA1467" s="109"/>
      <c r="AB1467" s="109"/>
      <c r="AC1467" s="109"/>
      <c r="AD1467" s="109"/>
      <c r="AE1467" s="109"/>
      <c r="AF1467" s="109"/>
      <c r="AG1467" s="109"/>
      <c r="AH1467" s="109"/>
      <c r="AI1467" s="109"/>
      <c r="AJ1467" s="109"/>
      <c r="AK1467" s="109"/>
      <c r="AL1467" s="109"/>
      <c r="AM1467" s="109"/>
      <c r="AN1467" s="109"/>
      <c r="AO1467" s="109"/>
      <c r="AP1467" s="109"/>
      <c r="AQ1467" s="109"/>
      <c r="AR1467" s="109"/>
      <c r="AS1467" s="109"/>
    </row>
    <row r="1468" spans="1:45" ht="12.6" customHeight="1" x14ac:dyDescent="0.3">
      <c r="A1468" s="68"/>
      <c r="B1468" s="77" t="s">
        <v>1340</v>
      </c>
      <c r="C1468" s="100">
        <f>E1468+D1468+F1468</f>
        <v>19453.900000000001</v>
      </c>
      <c r="D1468" s="100">
        <f>SUMIF(N1372:N1467,M1468,D1372:D1467)</f>
        <v>8744.1</v>
      </c>
      <c r="E1468" s="100">
        <f>SUMIF(N1372:N1467,M1468,E1372:E1467)</f>
        <v>5704.1</v>
      </c>
      <c r="F1468" s="100">
        <f>SUMIF(N1372:N1467,M1468,F1372:F1467)</f>
        <v>5005.7</v>
      </c>
      <c r="G1468" s="16" t="s">
        <v>1380</v>
      </c>
      <c r="M1468" s="20" t="s">
        <v>1341</v>
      </c>
      <c r="N1468" s="20" t="s">
        <v>1128</v>
      </c>
      <c r="Z1468" s="109"/>
      <c r="AA1468" s="109"/>
      <c r="AB1468" s="109"/>
      <c r="AC1468" s="109"/>
      <c r="AD1468" s="109"/>
      <c r="AE1468" s="109"/>
      <c r="AF1468" s="109"/>
      <c r="AG1468" s="109"/>
      <c r="AH1468" s="109"/>
      <c r="AI1468" s="109"/>
      <c r="AJ1468" s="109"/>
      <c r="AK1468" s="109"/>
      <c r="AL1468" s="109"/>
      <c r="AM1468" s="109"/>
      <c r="AN1468" s="109"/>
      <c r="AO1468" s="109"/>
      <c r="AP1468" s="109"/>
      <c r="AQ1468" s="109"/>
      <c r="AR1468" s="109"/>
      <c r="AS1468" s="109"/>
    </row>
    <row r="1469" spans="1:45" ht="12.6" customHeight="1" x14ac:dyDescent="0.3">
      <c r="A1469" s="78"/>
      <c r="B1469" s="78"/>
      <c r="C1469" s="98"/>
      <c r="D1469" s="98"/>
      <c r="E1469" s="98"/>
      <c r="F1469" s="98"/>
      <c r="Z1469" s="109"/>
      <c r="AA1469" s="109"/>
      <c r="AB1469" s="109"/>
      <c r="AC1469" s="109"/>
      <c r="AD1469" s="109"/>
      <c r="AE1469" s="109"/>
      <c r="AF1469" s="109"/>
      <c r="AG1469" s="109"/>
      <c r="AH1469" s="109"/>
      <c r="AI1469" s="109"/>
      <c r="AJ1469" s="109"/>
      <c r="AK1469" s="109"/>
      <c r="AL1469" s="109"/>
      <c r="AM1469" s="109"/>
      <c r="AN1469" s="109"/>
      <c r="AO1469" s="109"/>
      <c r="AP1469" s="109"/>
      <c r="AQ1469" s="109"/>
      <c r="AR1469" s="109"/>
      <c r="AS1469" s="109"/>
    </row>
    <row r="1470" spans="1:45" ht="12.6" customHeight="1" x14ac:dyDescent="0.3">
      <c r="A1470" s="78"/>
      <c r="B1470" s="78"/>
      <c r="C1470" s="78"/>
      <c r="D1470" s="78"/>
      <c r="E1470" s="78"/>
      <c r="F1470" s="78"/>
      <c r="Z1470" s="109"/>
      <c r="AA1470" s="109"/>
      <c r="AB1470" s="109"/>
      <c r="AC1470" s="109"/>
      <c r="AD1470" s="109"/>
      <c r="AE1470" s="109"/>
      <c r="AF1470" s="109"/>
      <c r="AG1470" s="109"/>
      <c r="AH1470" s="109"/>
      <c r="AI1470" s="109"/>
      <c r="AJ1470" s="109"/>
      <c r="AK1470" s="109"/>
      <c r="AL1470" s="109"/>
      <c r="AM1470" s="109"/>
      <c r="AN1470" s="109"/>
      <c r="AO1470" s="109"/>
      <c r="AP1470" s="109"/>
      <c r="AQ1470" s="109"/>
      <c r="AR1470" s="109"/>
      <c r="AS1470" s="109"/>
    </row>
    <row r="1471" spans="1:45" ht="12.6" customHeight="1" x14ac:dyDescent="0.3">
      <c r="A1471" s="78"/>
      <c r="B1471" s="78"/>
      <c r="C1471" s="78"/>
      <c r="D1471" s="78"/>
      <c r="E1471" s="78"/>
      <c r="F1471" s="78"/>
      <c r="Z1471" s="109"/>
      <c r="AA1471" s="109"/>
      <c r="AB1471" s="109"/>
      <c r="AC1471" s="109"/>
      <c r="AD1471" s="109"/>
      <c r="AE1471" s="109"/>
      <c r="AF1471" s="109"/>
      <c r="AG1471" s="109"/>
      <c r="AH1471" s="109"/>
      <c r="AI1471" s="109"/>
      <c r="AJ1471" s="109"/>
      <c r="AK1471" s="109"/>
      <c r="AL1471" s="109"/>
      <c r="AM1471" s="109"/>
      <c r="AN1471" s="109"/>
      <c r="AO1471" s="109"/>
      <c r="AP1471" s="109"/>
      <c r="AQ1471" s="109"/>
      <c r="AR1471" s="109"/>
      <c r="AS1471" s="109"/>
    </row>
    <row r="1472" spans="1:45" ht="12.6" customHeight="1" x14ac:dyDescent="0.3">
      <c r="A1472" s="78"/>
      <c r="B1472" s="78"/>
      <c r="C1472" s="78"/>
      <c r="D1472" s="78"/>
      <c r="E1472" s="78"/>
      <c r="F1472" s="78"/>
      <c r="Z1472" s="109"/>
      <c r="AA1472" s="109"/>
      <c r="AB1472" s="109"/>
      <c r="AC1472" s="109"/>
      <c r="AD1472" s="109"/>
      <c r="AE1472" s="109"/>
      <c r="AF1472" s="109"/>
      <c r="AG1472" s="109"/>
      <c r="AH1472" s="109"/>
      <c r="AI1472" s="109"/>
      <c r="AJ1472" s="109"/>
      <c r="AK1472" s="109"/>
      <c r="AL1472" s="109"/>
      <c r="AM1472" s="109"/>
      <c r="AN1472" s="109"/>
      <c r="AO1472" s="109"/>
      <c r="AP1472" s="109"/>
      <c r="AQ1472" s="109"/>
      <c r="AR1472" s="109"/>
      <c r="AS1472" s="109"/>
    </row>
    <row r="1473" spans="1:45" ht="12.6" customHeight="1" x14ac:dyDescent="0.3">
      <c r="A1473" s="58"/>
      <c r="B1473" s="58"/>
      <c r="C1473" s="58"/>
      <c r="D1473" s="58"/>
      <c r="E1473" s="58"/>
      <c r="F1473" s="58"/>
      <c r="Z1473" s="109"/>
      <c r="AA1473" s="109"/>
      <c r="AB1473" s="109"/>
      <c r="AC1473" s="109"/>
      <c r="AD1473" s="109"/>
      <c r="AE1473" s="109"/>
      <c r="AF1473" s="109"/>
      <c r="AG1473" s="109"/>
      <c r="AH1473" s="109"/>
      <c r="AI1473" s="109"/>
      <c r="AJ1473" s="109"/>
      <c r="AK1473" s="109"/>
      <c r="AL1473" s="109"/>
      <c r="AM1473" s="109"/>
      <c r="AN1473" s="109"/>
      <c r="AO1473" s="109"/>
      <c r="AP1473" s="109"/>
      <c r="AQ1473" s="109"/>
      <c r="AR1473" s="109"/>
      <c r="AS1473" s="109"/>
    </row>
    <row r="1474" spans="1:45" ht="12.6" customHeight="1" x14ac:dyDescent="0.3">
      <c r="A1474" s="159" t="s">
        <v>1737</v>
      </c>
      <c r="B1474" s="152"/>
      <c r="C1474" s="55">
        <f>E1474+D1474+F1474</f>
        <v>19453</v>
      </c>
      <c r="D1474" s="11">
        <v>0</v>
      </c>
      <c r="E1474" s="12">
        <v>0</v>
      </c>
      <c r="F1474" s="55">
        <f>ROUNDDOWN(SUMIF(N1372:N1468,M1474,E1372:E1468),0)+ROUNDDOWN(SUMIF(N1372:N1468,M1474,D1372:D1468),0)+ROUNDDOWN(SUMIF(N1372:N1468,M1474,F1372:F1468),0)</f>
        <v>19453</v>
      </c>
      <c r="M1474" s="20" t="s">
        <v>1128</v>
      </c>
      <c r="Z1474" s="109"/>
      <c r="AA1474" s="109"/>
      <c r="AB1474" s="109"/>
      <c r="AC1474" s="109"/>
      <c r="AD1474" s="109"/>
      <c r="AE1474" s="109"/>
      <c r="AF1474" s="109"/>
      <c r="AG1474" s="109"/>
      <c r="AH1474" s="109"/>
      <c r="AI1474" s="109"/>
      <c r="AJ1474" s="109"/>
      <c r="AK1474" s="109"/>
      <c r="AL1474" s="109"/>
      <c r="AM1474" s="109"/>
      <c r="AN1474" s="109"/>
      <c r="AO1474" s="109"/>
      <c r="AP1474" s="109"/>
      <c r="AQ1474" s="109"/>
      <c r="AR1474" s="109"/>
      <c r="AS1474" s="109"/>
    </row>
    <row r="1475" spans="1:45" ht="12.6" customHeight="1" x14ac:dyDescent="0.3">
      <c r="A1475" s="95" t="s">
        <v>122</v>
      </c>
      <c r="B1475" s="96" t="s">
        <v>122</v>
      </c>
      <c r="C1475" s="158">
        <f>C1544</f>
        <v>2499</v>
      </c>
      <c r="D1475" s="158">
        <f>D1544</f>
        <v>0</v>
      </c>
      <c r="E1475" s="158">
        <f>E1544</f>
        <v>0</v>
      </c>
      <c r="F1475" s="158">
        <f>F1544</f>
        <v>2499</v>
      </c>
      <c r="G1475" s="36" t="str">
        <f>HYPERLINK("#G"&amp;ROW(G1510),"_x0005_`BDCOD|D02157_x0007_`POSS|"&amp;ROW(G1477)&amp;"_x0007_`POSE|"&amp;ROW(G1510)&amp;"_x0007_`")</f>
        <v>_x0005_`BDCOD|D02157_x0007_`POSS|1477_x0007_`POSE|1510_x0007_`</v>
      </c>
      <c r="Z1475" s="109"/>
      <c r="AA1475" s="109"/>
      <c r="AB1475" s="109"/>
      <c r="AC1475" s="109"/>
      <c r="AD1475" s="109"/>
      <c r="AE1475" s="109"/>
      <c r="AF1475" s="109"/>
      <c r="AG1475" s="109"/>
      <c r="AH1475" s="109"/>
      <c r="AI1475" s="109"/>
      <c r="AJ1475" s="109"/>
      <c r="AK1475" s="109"/>
      <c r="AL1475" s="109"/>
      <c r="AM1475" s="109"/>
      <c r="AN1475" s="109"/>
      <c r="AO1475" s="109"/>
      <c r="AP1475" s="109"/>
      <c r="AQ1475" s="109"/>
      <c r="AR1475" s="109"/>
      <c r="AS1475" s="109"/>
    </row>
    <row r="1476" spans="1:45" ht="12.6" customHeight="1" x14ac:dyDescent="0.3">
      <c r="A1476" s="84"/>
      <c r="B1476" s="96" t="s">
        <v>252</v>
      </c>
      <c r="C1476" s="141"/>
      <c r="D1476" s="141"/>
      <c r="E1476" s="141"/>
      <c r="F1476" s="141"/>
      <c r="M1476" s="20" t="s">
        <v>251</v>
      </c>
      <c r="Z1476" s="109"/>
      <c r="AA1476" s="109"/>
      <c r="AB1476" s="109"/>
      <c r="AC1476" s="109"/>
      <c r="AD1476" s="109"/>
      <c r="AE1476" s="109"/>
      <c r="AF1476" s="109"/>
      <c r="AG1476" s="109"/>
      <c r="AH1476" s="109"/>
      <c r="AI1476" s="109"/>
      <c r="AJ1476" s="109"/>
      <c r="AK1476" s="109"/>
      <c r="AL1476" s="109"/>
      <c r="AM1476" s="109"/>
      <c r="AN1476" s="109"/>
      <c r="AO1476" s="109"/>
      <c r="AP1476" s="109"/>
      <c r="AQ1476" s="109"/>
      <c r="AR1476" s="109"/>
      <c r="AS1476" s="109"/>
    </row>
    <row r="1477" spans="1:45" ht="12.6" customHeight="1" x14ac:dyDescent="0.3">
      <c r="A1477" s="78"/>
      <c r="B1477" s="78"/>
      <c r="C1477" s="98"/>
      <c r="D1477" s="98"/>
      <c r="E1477" s="98"/>
      <c r="F1477" s="98"/>
      <c r="G1477" s="16" t="s">
        <v>1317</v>
      </c>
      <c r="Z1477" s="109"/>
      <c r="AA1477" s="109"/>
      <c r="AB1477" s="109"/>
      <c r="AC1477" s="109"/>
      <c r="AD1477" s="109"/>
      <c r="AE1477" s="109"/>
      <c r="AF1477" s="109"/>
      <c r="AG1477" s="109"/>
      <c r="AH1477" s="109"/>
      <c r="AI1477" s="109"/>
      <c r="AJ1477" s="109"/>
      <c r="AK1477" s="109"/>
      <c r="AL1477" s="109"/>
      <c r="AM1477" s="109"/>
      <c r="AN1477" s="109"/>
      <c r="AO1477" s="109"/>
      <c r="AP1477" s="109"/>
      <c r="AQ1477" s="109"/>
      <c r="AR1477" s="109"/>
      <c r="AS1477" s="109"/>
    </row>
    <row r="1478" spans="1:45" ht="12.6" customHeight="1" x14ac:dyDescent="0.3">
      <c r="A1478" s="68"/>
      <c r="B1478" s="77" t="s">
        <v>1847</v>
      </c>
      <c r="C1478" s="78"/>
      <c r="D1478" s="78"/>
      <c r="E1478" s="78"/>
      <c r="F1478" s="78"/>
      <c r="G1478" s="16" t="s">
        <v>1846</v>
      </c>
      <c r="Z1478" s="109"/>
      <c r="AA1478" s="109"/>
      <c r="AB1478" s="109"/>
      <c r="AC1478" s="109"/>
      <c r="AD1478" s="109"/>
      <c r="AE1478" s="109"/>
      <c r="AF1478" s="109"/>
      <c r="AG1478" s="109"/>
      <c r="AH1478" s="109"/>
      <c r="AI1478" s="109"/>
      <c r="AJ1478" s="109"/>
      <c r="AK1478" s="109"/>
      <c r="AL1478" s="109"/>
      <c r="AM1478" s="109"/>
      <c r="AN1478" s="109"/>
      <c r="AO1478" s="109"/>
      <c r="AP1478" s="109"/>
      <c r="AQ1478" s="109"/>
      <c r="AR1478" s="109"/>
      <c r="AS1478" s="109"/>
    </row>
    <row r="1479" spans="1:45" ht="12.6" customHeight="1" x14ac:dyDescent="0.3">
      <c r="A1479" s="78"/>
      <c r="B1479" s="78"/>
      <c r="C1479" s="78"/>
      <c r="D1479" s="78"/>
      <c r="E1479" s="78"/>
      <c r="F1479" s="78"/>
      <c r="G1479" s="16" t="s">
        <v>1317</v>
      </c>
      <c r="Z1479" s="109"/>
      <c r="AA1479" s="109"/>
      <c r="AB1479" s="109"/>
      <c r="AC1479" s="109"/>
      <c r="AD1479" s="109"/>
      <c r="AE1479" s="109"/>
      <c r="AF1479" s="109"/>
      <c r="AG1479" s="109"/>
      <c r="AH1479" s="109"/>
      <c r="AI1479" s="109"/>
      <c r="AJ1479" s="109"/>
      <c r="AK1479" s="109"/>
      <c r="AL1479" s="109"/>
      <c r="AM1479" s="109"/>
      <c r="AN1479" s="109"/>
      <c r="AO1479" s="109"/>
      <c r="AP1479" s="109"/>
      <c r="AQ1479" s="109"/>
      <c r="AR1479" s="109"/>
      <c r="AS1479" s="109"/>
    </row>
    <row r="1480" spans="1:45" ht="12.6" customHeight="1" x14ac:dyDescent="0.3">
      <c r="A1480" s="68"/>
      <c r="B1480" s="77" t="s">
        <v>1849</v>
      </c>
      <c r="C1480" s="78"/>
      <c r="D1480" s="78"/>
      <c r="E1480" s="78"/>
      <c r="F1480" s="78"/>
      <c r="G1480" s="16" t="s">
        <v>1848</v>
      </c>
      <c r="Z1480" s="109"/>
      <c r="AA1480" s="109"/>
      <c r="AB1480" s="109"/>
      <c r="AC1480" s="109"/>
      <c r="AD1480" s="109"/>
      <c r="AE1480" s="109"/>
      <c r="AF1480" s="109"/>
      <c r="AG1480" s="109"/>
      <c r="AH1480" s="109"/>
      <c r="AI1480" s="109"/>
      <c r="AJ1480" s="109"/>
      <c r="AK1480" s="109"/>
      <c r="AL1480" s="109"/>
      <c r="AM1480" s="109"/>
      <c r="AN1480" s="109"/>
      <c r="AO1480" s="109"/>
      <c r="AP1480" s="109"/>
      <c r="AQ1480" s="109"/>
      <c r="AR1480" s="109"/>
      <c r="AS1480" s="109"/>
    </row>
    <row r="1481" spans="1:45" ht="12.6" customHeight="1" x14ac:dyDescent="0.3">
      <c r="A1481" s="78"/>
      <c r="B1481" s="78"/>
      <c r="C1481" s="78"/>
      <c r="D1481" s="78"/>
      <c r="E1481" s="78"/>
      <c r="F1481" s="78"/>
      <c r="G1481" s="16" t="s">
        <v>1317</v>
      </c>
      <c r="Z1481" s="109"/>
      <c r="AA1481" s="109"/>
      <c r="AB1481" s="109"/>
      <c r="AC1481" s="109"/>
      <c r="AD1481" s="109"/>
      <c r="AE1481" s="109"/>
      <c r="AF1481" s="109"/>
      <c r="AG1481" s="109"/>
      <c r="AH1481" s="109"/>
      <c r="AI1481" s="109"/>
      <c r="AJ1481" s="109"/>
      <c r="AK1481" s="109"/>
      <c r="AL1481" s="109"/>
      <c r="AM1481" s="109"/>
      <c r="AN1481" s="109"/>
      <c r="AO1481" s="109"/>
      <c r="AP1481" s="109"/>
      <c r="AQ1481" s="109"/>
      <c r="AR1481" s="109"/>
      <c r="AS1481" s="109"/>
    </row>
    <row r="1482" spans="1:45" ht="12.6" customHeight="1" x14ac:dyDescent="0.3">
      <c r="A1482" s="68"/>
      <c r="B1482" s="77" t="s">
        <v>1851</v>
      </c>
      <c r="C1482" s="78"/>
      <c r="D1482" s="78"/>
      <c r="E1482" s="78"/>
      <c r="F1482" s="78"/>
      <c r="G1482" s="16" t="s">
        <v>1850</v>
      </c>
      <c r="Z1482" s="109"/>
      <c r="AA1482" s="109"/>
      <c r="AB1482" s="109"/>
      <c r="AC1482" s="109"/>
      <c r="AD1482" s="109"/>
      <c r="AE1482" s="109"/>
      <c r="AF1482" s="109"/>
      <c r="AG1482" s="109"/>
      <c r="AH1482" s="109"/>
      <c r="AI1482" s="109"/>
      <c r="AJ1482" s="109"/>
      <c r="AK1482" s="109"/>
      <c r="AL1482" s="109"/>
      <c r="AM1482" s="109"/>
      <c r="AN1482" s="109"/>
      <c r="AO1482" s="109"/>
      <c r="AP1482" s="109"/>
      <c r="AQ1482" s="109"/>
      <c r="AR1482" s="109"/>
      <c r="AS1482" s="109"/>
    </row>
    <row r="1483" spans="1:45" ht="12.6" customHeight="1" x14ac:dyDescent="0.3">
      <c r="A1483" s="78"/>
      <c r="B1483" s="78"/>
      <c r="C1483" s="78"/>
      <c r="D1483" s="78"/>
      <c r="E1483" s="78"/>
      <c r="F1483" s="78"/>
      <c r="G1483" s="16" t="s">
        <v>1317</v>
      </c>
      <c r="Z1483" s="109"/>
      <c r="AA1483" s="109"/>
      <c r="AB1483" s="109"/>
      <c r="AC1483" s="109"/>
      <c r="AD1483" s="109"/>
      <c r="AE1483" s="109"/>
      <c r="AF1483" s="109"/>
      <c r="AG1483" s="109"/>
      <c r="AH1483" s="109"/>
      <c r="AI1483" s="109"/>
      <c r="AJ1483" s="109"/>
      <c r="AK1483" s="109"/>
      <c r="AL1483" s="109"/>
      <c r="AM1483" s="109"/>
      <c r="AN1483" s="109"/>
      <c r="AO1483" s="109"/>
      <c r="AP1483" s="109"/>
      <c r="AQ1483" s="109"/>
      <c r="AR1483" s="109"/>
      <c r="AS1483" s="109"/>
    </row>
    <row r="1484" spans="1:45" ht="12.6" customHeight="1" x14ac:dyDescent="0.3">
      <c r="A1484" s="78"/>
      <c r="B1484" s="78"/>
      <c r="C1484" s="78"/>
      <c r="D1484" s="78"/>
      <c r="E1484" s="78"/>
      <c r="F1484" s="78"/>
      <c r="G1484" s="16" t="s">
        <v>1317</v>
      </c>
      <c r="Z1484" s="109"/>
      <c r="AA1484" s="109"/>
      <c r="AB1484" s="109"/>
      <c r="AC1484" s="109"/>
      <c r="AD1484" s="109"/>
      <c r="AE1484" s="109"/>
      <c r="AF1484" s="109"/>
      <c r="AG1484" s="109"/>
      <c r="AH1484" s="109"/>
      <c r="AI1484" s="109"/>
      <c r="AJ1484" s="109"/>
      <c r="AK1484" s="109"/>
      <c r="AL1484" s="109"/>
      <c r="AM1484" s="109"/>
      <c r="AN1484" s="109"/>
      <c r="AO1484" s="109"/>
      <c r="AP1484" s="109"/>
      <c r="AQ1484" s="109"/>
      <c r="AR1484" s="109"/>
      <c r="AS1484" s="109"/>
    </row>
    <row r="1485" spans="1:45" ht="12.6" customHeight="1" x14ac:dyDescent="0.3">
      <c r="A1485" s="68"/>
      <c r="B1485" s="77" t="s">
        <v>1853</v>
      </c>
      <c r="C1485" s="78"/>
      <c r="D1485" s="78"/>
      <c r="E1485" s="78"/>
      <c r="F1485" s="78"/>
      <c r="G1485" s="16" t="s">
        <v>1852</v>
      </c>
      <c r="Z1485" s="109"/>
      <c r="AA1485" s="109"/>
      <c r="AB1485" s="109"/>
      <c r="AC1485" s="109"/>
      <c r="AD1485" s="109"/>
      <c r="AE1485" s="109"/>
      <c r="AF1485" s="109"/>
      <c r="AG1485" s="109"/>
      <c r="AH1485" s="109"/>
      <c r="AI1485" s="109"/>
      <c r="AJ1485" s="109"/>
      <c r="AK1485" s="109"/>
      <c r="AL1485" s="109"/>
      <c r="AM1485" s="109"/>
      <c r="AN1485" s="109"/>
      <c r="AO1485" s="109"/>
      <c r="AP1485" s="109"/>
      <c r="AQ1485" s="109"/>
      <c r="AR1485" s="109"/>
      <c r="AS1485" s="109"/>
    </row>
    <row r="1486" spans="1:45" ht="12.6" customHeight="1" x14ac:dyDescent="0.3">
      <c r="A1486" s="78"/>
      <c r="B1486" s="78"/>
      <c r="C1486" s="78"/>
      <c r="D1486" s="78"/>
      <c r="E1486" s="78"/>
      <c r="F1486" s="78"/>
      <c r="G1486" s="16" t="s">
        <v>1317</v>
      </c>
      <c r="Z1486" s="109"/>
      <c r="AA1486" s="109"/>
      <c r="AB1486" s="109"/>
      <c r="AC1486" s="109"/>
      <c r="AD1486" s="109"/>
      <c r="AE1486" s="109"/>
      <c r="AF1486" s="109"/>
      <c r="AG1486" s="109"/>
      <c r="AH1486" s="109"/>
      <c r="AI1486" s="109"/>
      <c r="AJ1486" s="109"/>
      <c r="AK1486" s="109"/>
      <c r="AL1486" s="109"/>
      <c r="AM1486" s="109"/>
      <c r="AN1486" s="109"/>
      <c r="AO1486" s="109"/>
      <c r="AP1486" s="109"/>
      <c r="AQ1486" s="109"/>
      <c r="AR1486" s="109"/>
      <c r="AS1486" s="109"/>
    </row>
    <row r="1487" spans="1:45" ht="12.6" customHeight="1" x14ac:dyDescent="0.3">
      <c r="A1487" s="68"/>
      <c r="B1487" s="77" t="s">
        <v>1855</v>
      </c>
      <c r="C1487" s="78"/>
      <c r="D1487" s="78"/>
      <c r="E1487" s="78"/>
      <c r="F1487" s="78"/>
      <c r="G1487" s="16" t="s">
        <v>1854</v>
      </c>
      <c r="Z1487" s="109"/>
      <c r="AA1487" s="109"/>
      <c r="AB1487" s="109"/>
      <c r="AC1487" s="109"/>
      <c r="AD1487" s="109"/>
      <c r="AE1487" s="109"/>
      <c r="AF1487" s="109"/>
      <c r="AG1487" s="109"/>
      <c r="AH1487" s="109"/>
      <c r="AI1487" s="109"/>
      <c r="AJ1487" s="109"/>
      <c r="AK1487" s="109"/>
      <c r="AL1487" s="109"/>
      <c r="AM1487" s="109"/>
      <c r="AN1487" s="109"/>
      <c r="AO1487" s="109"/>
      <c r="AP1487" s="109"/>
      <c r="AQ1487" s="109"/>
      <c r="AR1487" s="109"/>
      <c r="AS1487" s="109"/>
    </row>
    <row r="1488" spans="1:45" ht="12.6" customHeight="1" x14ac:dyDescent="0.3">
      <c r="A1488" s="78"/>
      <c r="B1488" s="78"/>
      <c r="C1488" s="78"/>
      <c r="D1488" s="78"/>
      <c r="E1488" s="78"/>
      <c r="F1488" s="78"/>
      <c r="G1488" s="16" t="s">
        <v>1317</v>
      </c>
      <c r="Z1488" s="109"/>
      <c r="AA1488" s="109"/>
      <c r="AB1488" s="109"/>
      <c r="AC1488" s="109"/>
      <c r="AD1488" s="109"/>
      <c r="AE1488" s="109"/>
      <c r="AF1488" s="109"/>
      <c r="AG1488" s="109"/>
      <c r="AH1488" s="109"/>
      <c r="AI1488" s="109"/>
      <c r="AJ1488" s="109"/>
      <c r="AK1488" s="109"/>
      <c r="AL1488" s="109"/>
      <c r="AM1488" s="109"/>
      <c r="AN1488" s="109"/>
      <c r="AO1488" s="109"/>
      <c r="AP1488" s="109"/>
      <c r="AQ1488" s="109"/>
      <c r="AR1488" s="109"/>
      <c r="AS1488" s="109"/>
    </row>
    <row r="1489" spans="1:45" ht="12.6" customHeight="1" x14ac:dyDescent="0.3">
      <c r="A1489" s="78"/>
      <c r="B1489" s="78"/>
      <c r="C1489" s="78"/>
      <c r="D1489" s="78"/>
      <c r="E1489" s="78"/>
      <c r="F1489" s="78"/>
      <c r="G1489" s="16" t="s">
        <v>1317</v>
      </c>
      <c r="Z1489" s="109"/>
      <c r="AA1489" s="109"/>
      <c r="AB1489" s="109"/>
      <c r="AC1489" s="109"/>
      <c r="AD1489" s="109"/>
      <c r="AE1489" s="109"/>
      <c r="AF1489" s="109"/>
      <c r="AG1489" s="109"/>
      <c r="AH1489" s="109"/>
      <c r="AI1489" s="109"/>
      <c r="AJ1489" s="109"/>
      <c r="AK1489" s="109"/>
      <c r="AL1489" s="109"/>
      <c r="AM1489" s="109"/>
      <c r="AN1489" s="109"/>
      <c r="AO1489" s="109"/>
      <c r="AP1489" s="109"/>
      <c r="AQ1489" s="109"/>
      <c r="AR1489" s="109"/>
      <c r="AS1489" s="109"/>
    </row>
    <row r="1490" spans="1:45" ht="12.6" customHeight="1" x14ac:dyDescent="0.3">
      <c r="A1490" s="68" t="s">
        <v>728</v>
      </c>
      <c r="B1490" s="97" t="str">
        <f>" "&amp;TEXT(I1490,"#,##0"&amp;IF(I1490&lt;&gt;INT(I1490),".###",""))&amp;" / "&amp;AA1490&amp;" / "&amp;AC1490&amp;" / "&amp;AE1490&amp;" = "&amp;TEXT(C1490,"#,##0.0")&amp;""</f>
        <v xml:space="preserve"> 61,500 / 1.1 / 5 / 25 = 447.2</v>
      </c>
      <c r="C1490" s="99">
        <f>E1490+D1490+F1490</f>
        <v>447.2</v>
      </c>
      <c r="D1490" s="99">
        <f>IF(H1490=0,0,ROUNDDOWN(J1490*H1490,1))</f>
        <v>0</v>
      </c>
      <c r="E1490" s="99">
        <f>IF(H1490=0,0,ROUNDDOWN(K1490*H1490,1))</f>
        <v>0</v>
      </c>
      <c r="F1490" s="99">
        <f>IF(H1490=0,0,ROUNDDOWN(L1490*H1490,1))</f>
        <v>447.2</v>
      </c>
      <c r="G1490" s="16" t="s">
        <v>1856</v>
      </c>
      <c r="H1490" s="105">
        <f>AG1490</f>
        <v>7.2727272727272727E-3</v>
      </c>
      <c r="I1490" s="106">
        <f>K1490+J1490+L1490</f>
        <v>61500</v>
      </c>
      <c r="L1490" s="39">
        <f>경비목록표!E19</f>
        <v>61500</v>
      </c>
      <c r="M1490" s="20" t="s">
        <v>1857</v>
      </c>
      <c r="N1490" s="20" t="s">
        <v>1332</v>
      </c>
      <c r="X1490" s="108" t="str">
        <f>경비목록표!B19&amp;" / "&amp;경비목록표!C19</f>
        <v>구역화물자동차 / 5톤(20km 이내)</v>
      </c>
      <c r="Y1490" s="19" t="str">
        <f ca="1">HYPERLINK("#"&amp;경비목록표!G2&amp;"!A"&amp;ROW(경비목록표!A19),"경비   16 →")</f>
        <v>경비   16 →</v>
      </c>
      <c r="Z1490" s="20" t="s">
        <v>1393</v>
      </c>
      <c r="AA1490" s="110">
        <v>1.1000000000000001</v>
      </c>
      <c r="AB1490" s="20" t="s">
        <v>1387</v>
      </c>
      <c r="AC1490" s="111">
        <v>5</v>
      </c>
      <c r="AD1490" s="20" t="s">
        <v>1387</v>
      </c>
      <c r="AE1490" s="111">
        <v>25</v>
      </c>
      <c r="AF1490" s="20" t="s">
        <v>1326</v>
      </c>
      <c r="AG1490" s="113">
        <f>1/AA1490/AC1490/AE1490</f>
        <v>7.2727272727272727E-3</v>
      </c>
      <c r="AH1490" s="109"/>
      <c r="AI1490" s="109"/>
      <c r="AJ1490" s="109"/>
      <c r="AK1490" s="109"/>
      <c r="AL1490" s="109"/>
      <c r="AM1490" s="109"/>
      <c r="AN1490" s="109"/>
      <c r="AO1490" s="109"/>
      <c r="AP1490" s="109"/>
      <c r="AQ1490" s="109"/>
      <c r="AR1490" s="109"/>
      <c r="AS1490" s="109"/>
    </row>
    <row r="1491" spans="1:45" ht="12.6" customHeight="1" x14ac:dyDescent="0.3">
      <c r="A1491" s="78"/>
      <c r="B1491" s="78"/>
      <c r="C1491" s="78"/>
      <c r="D1491" s="78"/>
      <c r="E1491" s="78"/>
      <c r="F1491" s="78"/>
      <c r="G1491" s="16" t="s">
        <v>1433</v>
      </c>
      <c r="Z1491" s="109"/>
      <c r="AA1491" s="109"/>
      <c r="AB1491" s="109"/>
      <c r="AC1491" s="109"/>
      <c r="AD1491" s="109"/>
      <c r="AE1491" s="109"/>
      <c r="AF1491" s="109"/>
      <c r="AG1491" s="109"/>
      <c r="AH1491" s="109"/>
      <c r="AI1491" s="109"/>
      <c r="AJ1491" s="109"/>
      <c r="AK1491" s="109"/>
      <c r="AL1491" s="109"/>
      <c r="AM1491" s="109"/>
      <c r="AN1491" s="109"/>
      <c r="AO1491" s="109"/>
      <c r="AP1491" s="109"/>
      <c r="AQ1491" s="109"/>
      <c r="AR1491" s="109"/>
      <c r="AS1491" s="109"/>
    </row>
    <row r="1492" spans="1:45" ht="12.6" customHeight="1" x14ac:dyDescent="0.3">
      <c r="A1492" s="68"/>
      <c r="B1492" s="77" t="s">
        <v>1331</v>
      </c>
      <c r="C1492" s="100">
        <f>E1492+D1492+F1492</f>
        <v>447.2</v>
      </c>
      <c r="D1492" s="100">
        <f>SUMIF(N1477:N1491,M1492,D1477:D1491)</f>
        <v>0</v>
      </c>
      <c r="E1492" s="100">
        <f>SUMIF(N1477:N1491,M1492,E1477:E1491)</f>
        <v>0</v>
      </c>
      <c r="F1492" s="100">
        <f>SUMIF(N1477:N1491,M1492,F1477:F1491)</f>
        <v>447.2</v>
      </c>
      <c r="G1492" s="16" t="s">
        <v>1415</v>
      </c>
      <c r="M1492" s="20" t="s">
        <v>1332</v>
      </c>
      <c r="N1492" s="20" t="s">
        <v>1341</v>
      </c>
      <c r="Z1492" s="109"/>
      <c r="AA1492" s="109"/>
      <c r="AB1492" s="109"/>
      <c r="AC1492" s="109"/>
      <c r="AD1492" s="109"/>
      <c r="AE1492" s="109"/>
      <c r="AF1492" s="109"/>
      <c r="AG1492" s="109"/>
      <c r="AH1492" s="109"/>
      <c r="AI1492" s="109"/>
      <c r="AJ1492" s="109"/>
      <c r="AK1492" s="109"/>
      <c r="AL1492" s="109"/>
      <c r="AM1492" s="109"/>
      <c r="AN1492" s="109"/>
      <c r="AO1492" s="109"/>
      <c r="AP1492" s="109"/>
      <c r="AQ1492" s="109"/>
      <c r="AR1492" s="109"/>
      <c r="AS1492" s="109"/>
    </row>
    <row r="1493" spans="1:45" ht="12.6" customHeight="1" x14ac:dyDescent="0.3">
      <c r="A1493" s="78"/>
      <c r="B1493" s="78"/>
      <c r="C1493" s="98"/>
      <c r="D1493" s="98"/>
      <c r="E1493" s="98"/>
      <c r="F1493" s="98"/>
      <c r="G1493" s="16" t="s">
        <v>1317</v>
      </c>
      <c r="Z1493" s="109"/>
      <c r="AA1493" s="109"/>
      <c r="AB1493" s="109"/>
      <c r="AC1493" s="109"/>
      <c r="AD1493" s="109"/>
      <c r="AE1493" s="109"/>
      <c r="AF1493" s="109"/>
      <c r="AG1493" s="109"/>
      <c r="AH1493" s="109"/>
      <c r="AI1493" s="109"/>
      <c r="AJ1493" s="109"/>
      <c r="AK1493" s="109"/>
      <c r="AL1493" s="109"/>
      <c r="AM1493" s="109"/>
      <c r="AN1493" s="109"/>
      <c r="AO1493" s="109"/>
      <c r="AP1493" s="109"/>
      <c r="AQ1493" s="109"/>
      <c r="AR1493" s="109"/>
      <c r="AS1493" s="109"/>
    </row>
    <row r="1494" spans="1:45" ht="12.6" customHeight="1" x14ac:dyDescent="0.3">
      <c r="A1494" s="78"/>
      <c r="B1494" s="78"/>
      <c r="C1494" s="78"/>
      <c r="D1494" s="78"/>
      <c r="E1494" s="78"/>
      <c r="F1494" s="78"/>
      <c r="G1494" s="16" t="s">
        <v>1317</v>
      </c>
      <c r="Z1494" s="109"/>
      <c r="AA1494" s="109"/>
      <c r="AB1494" s="109"/>
      <c r="AC1494" s="109"/>
      <c r="AD1494" s="109"/>
      <c r="AE1494" s="109"/>
      <c r="AF1494" s="109"/>
      <c r="AG1494" s="109"/>
      <c r="AH1494" s="109"/>
      <c r="AI1494" s="109"/>
      <c r="AJ1494" s="109"/>
      <c r="AK1494" s="109"/>
      <c r="AL1494" s="109"/>
      <c r="AM1494" s="109"/>
      <c r="AN1494" s="109"/>
      <c r="AO1494" s="109"/>
      <c r="AP1494" s="109"/>
      <c r="AQ1494" s="109"/>
      <c r="AR1494" s="109"/>
      <c r="AS1494" s="109"/>
    </row>
    <row r="1495" spans="1:45" ht="12.6" customHeight="1" x14ac:dyDescent="0.3">
      <c r="A1495" s="68"/>
      <c r="B1495" s="77" t="s">
        <v>1859</v>
      </c>
      <c r="C1495" s="78"/>
      <c r="D1495" s="78"/>
      <c r="E1495" s="78"/>
      <c r="F1495" s="78"/>
      <c r="G1495" s="16" t="s">
        <v>1858</v>
      </c>
      <c r="Z1495" s="109"/>
      <c r="AA1495" s="109"/>
      <c r="AB1495" s="109"/>
      <c r="AC1495" s="109"/>
      <c r="AD1495" s="109"/>
      <c r="AE1495" s="109"/>
      <c r="AF1495" s="109"/>
      <c r="AG1495" s="109"/>
      <c r="AH1495" s="109"/>
      <c r="AI1495" s="109"/>
      <c r="AJ1495" s="109"/>
      <c r="AK1495" s="109"/>
      <c r="AL1495" s="109"/>
      <c r="AM1495" s="109"/>
      <c r="AN1495" s="109"/>
      <c r="AO1495" s="109"/>
      <c r="AP1495" s="109"/>
      <c r="AQ1495" s="109"/>
      <c r="AR1495" s="109"/>
      <c r="AS1495" s="109"/>
    </row>
    <row r="1496" spans="1:45" ht="12.6" customHeight="1" x14ac:dyDescent="0.3">
      <c r="A1496" s="78"/>
      <c r="B1496" s="78"/>
      <c r="C1496" s="78"/>
      <c r="D1496" s="78"/>
      <c r="E1496" s="78"/>
      <c r="F1496" s="78"/>
      <c r="G1496" s="16" t="s">
        <v>1317</v>
      </c>
      <c r="Z1496" s="109"/>
      <c r="AA1496" s="109"/>
      <c r="AB1496" s="109"/>
      <c r="AC1496" s="109"/>
      <c r="AD1496" s="109"/>
      <c r="AE1496" s="109"/>
      <c r="AF1496" s="109"/>
      <c r="AG1496" s="109"/>
      <c r="AH1496" s="109"/>
      <c r="AI1496" s="109"/>
      <c r="AJ1496" s="109"/>
      <c r="AK1496" s="109"/>
      <c r="AL1496" s="109"/>
      <c r="AM1496" s="109"/>
      <c r="AN1496" s="109"/>
      <c r="AO1496" s="109"/>
      <c r="AP1496" s="109"/>
      <c r="AQ1496" s="109"/>
      <c r="AR1496" s="109"/>
      <c r="AS1496" s="109"/>
    </row>
    <row r="1497" spans="1:45" ht="12.6" customHeight="1" x14ac:dyDescent="0.3">
      <c r="A1497" s="68"/>
      <c r="B1497" s="77" t="s">
        <v>1861</v>
      </c>
      <c r="C1497" s="78"/>
      <c r="D1497" s="78"/>
      <c r="E1497" s="78"/>
      <c r="F1497" s="78"/>
      <c r="G1497" s="16" t="s">
        <v>1860</v>
      </c>
      <c r="Z1497" s="109"/>
      <c r="AA1497" s="109"/>
      <c r="AB1497" s="109"/>
      <c r="AC1497" s="109"/>
      <c r="AD1497" s="109"/>
      <c r="AE1497" s="109"/>
      <c r="AF1497" s="109"/>
      <c r="AG1497" s="109"/>
      <c r="AH1497" s="109"/>
      <c r="AI1497" s="109"/>
      <c r="AJ1497" s="109"/>
      <c r="AK1497" s="109"/>
      <c r="AL1497" s="109"/>
      <c r="AM1497" s="109"/>
      <c r="AN1497" s="109"/>
      <c r="AO1497" s="109"/>
      <c r="AP1497" s="109"/>
      <c r="AQ1497" s="109"/>
      <c r="AR1497" s="109"/>
      <c r="AS1497" s="109"/>
    </row>
    <row r="1498" spans="1:45" ht="12.6" customHeight="1" x14ac:dyDescent="0.3">
      <c r="A1498" s="78"/>
      <c r="B1498" s="78"/>
      <c r="C1498" s="78"/>
      <c r="D1498" s="78"/>
      <c r="E1498" s="78"/>
      <c r="F1498" s="78"/>
      <c r="G1498" s="16" t="s">
        <v>1317</v>
      </c>
      <c r="Z1498" s="109"/>
      <c r="AA1498" s="109"/>
      <c r="AB1498" s="109"/>
      <c r="AC1498" s="109"/>
      <c r="AD1498" s="109"/>
      <c r="AE1498" s="109"/>
      <c r="AF1498" s="109"/>
      <c r="AG1498" s="109"/>
      <c r="AH1498" s="109"/>
      <c r="AI1498" s="109"/>
      <c r="AJ1498" s="109"/>
      <c r="AK1498" s="109"/>
      <c r="AL1498" s="109"/>
      <c r="AM1498" s="109"/>
      <c r="AN1498" s="109"/>
      <c r="AO1498" s="109"/>
      <c r="AP1498" s="109"/>
      <c r="AQ1498" s="109"/>
      <c r="AR1498" s="109"/>
      <c r="AS1498" s="109"/>
    </row>
    <row r="1499" spans="1:45" ht="12.6" customHeight="1" x14ac:dyDescent="0.3">
      <c r="A1499" s="68"/>
      <c r="B1499" s="77" t="s">
        <v>1863</v>
      </c>
      <c r="C1499" s="78"/>
      <c r="D1499" s="78"/>
      <c r="E1499" s="78"/>
      <c r="F1499" s="78"/>
      <c r="G1499" s="16" t="s">
        <v>1862</v>
      </c>
      <c r="Z1499" s="109"/>
      <c r="AA1499" s="109"/>
      <c r="AB1499" s="109"/>
      <c r="AC1499" s="109"/>
      <c r="AD1499" s="109"/>
      <c r="AE1499" s="109"/>
      <c r="AF1499" s="109"/>
      <c r="AG1499" s="109"/>
      <c r="AH1499" s="109"/>
      <c r="AI1499" s="109"/>
      <c r="AJ1499" s="109"/>
      <c r="AK1499" s="109"/>
      <c r="AL1499" s="109"/>
      <c r="AM1499" s="109"/>
      <c r="AN1499" s="109"/>
      <c r="AO1499" s="109"/>
      <c r="AP1499" s="109"/>
      <c r="AQ1499" s="109"/>
      <c r="AR1499" s="109"/>
      <c r="AS1499" s="109"/>
    </row>
    <row r="1500" spans="1:45" ht="12.6" customHeight="1" x14ac:dyDescent="0.3">
      <c r="A1500" s="78"/>
      <c r="B1500" s="78"/>
      <c r="C1500" s="78"/>
      <c r="D1500" s="78"/>
      <c r="E1500" s="78"/>
      <c r="F1500" s="78"/>
      <c r="G1500" s="16" t="s">
        <v>1317</v>
      </c>
      <c r="Z1500" s="109"/>
      <c r="AA1500" s="109"/>
      <c r="AB1500" s="109"/>
      <c r="AC1500" s="109"/>
      <c r="AD1500" s="109"/>
      <c r="AE1500" s="109"/>
      <c r="AF1500" s="109"/>
      <c r="AG1500" s="109"/>
      <c r="AH1500" s="109"/>
      <c r="AI1500" s="109"/>
      <c r="AJ1500" s="109"/>
      <c r="AK1500" s="109"/>
      <c r="AL1500" s="109"/>
      <c r="AM1500" s="109"/>
      <c r="AN1500" s="109"/>
      <c r="AO1500" s="109"/>
      <c r="AP1500" s="109"/>
      <c r="AQ1500" s="109"/>
      <c r="AR1500" s="109"/>
      <c r="AS1500" s="109"/>
    </row>
    <row r="1501" spans="1:45" ht="12.6" customHeight="1" x14ac:dyDescent="0.3">
      <c r="A1501" s="78"/>
      <c r="B1501" s="78"/>
      <c r="C1501" s="78"/>
      <c r="D1501" s="78"/>
      <c r="E1501" s="78"/>
      <c r="F1501" s="78"/>
      <c r="G1501" s="16" t="s">
        <v>1317</v>
      </c>
      <c r="Z1501" s="109"/>
      <c r="AA1501" s="109"/>
      <c r="AB1501" s="109"/>
      <c r="AC1501" s="109"/>
      <c r="AD1501" s="109"/>
      <c r="AE1501" s="109"/>
      <c r="AF1501" s="109"/>
      <c r="AG1501" s="109"/>
      <c r="AH1501" s="109"/>
      <c r="AI1501" s="109"/>
      <c r="AJ1501" s="109"/>
      <c r="AK1501" s="109"/>
      <c r="AL1501" s="109"/>
      <c r="AM1501" s="109"/>
      <c r="AN1501" s="109"/>
      <c r="AO1501" s="109"/>
      <c r="AP1501" s="109"/>
      <c r="AQ1501" s="109"/>
      <c r="AR1501" s="109"/>
      <c r="AS1501" s="109"/>
    </row>
    <row r="1502" spans="1:45" ht="12.6" customHeight="1" x14ac:dyDescent="0.3">
      <c r="A1502" s="68" t="s">
        <v>663</v>
      </c>
      <c r="B1502" s="97" t="str">
        <f>" ("&amp;AA1502&amp;"+"&amp;AC1502&amp;") * "&amp;TEXT(I1502,"#,##0"&amp;IF(I1502&lt;&gt;INT(I1502),".###",""))&amp;" / "&amp;AE1502&amp;" = "&amp;TEXT(C1502,"#,##0.0")&amp;""</f>
        <v xml:space="preserve"> (0.18+0.13) * 165,545 / 25 = 2,052.7</v>
      </c>
      <c r="C1502" s="99">
        <f>E1502+D1502+F1502</f>
        <v>2052.6999999999998</v>
      </c>
      <c r="D1502" s="99">
        <f>IF(H1502=0,0,ROUNDDOWN(J1502*H1502,1))</f>
        <v>2052.6999999999998</v>
      </c>
      <c r="E1502" s="99">
        <f>IF(H1502=0,0,ROUNDDOWN(K1502*H1502,1))</f>
        <v>0</v>
      </c>
      <c r="F1502" s="99">
        <f>IF(H1502=0,0,ROUNDDOWN(L1502*H1502,1))</f>
        <v>0</v>
      </c>
      <c r="G1502" s="16" t="s">
        <v>1864</v>
      </c>
      <c r="H1502" s="105">
        <f>AG1502</f>
        <v>1.24E-2</v>
      </c>
      <c r="I1502" s="106">
        <f>K1502+J1502+L1502</f>
        <v>165545</v>
      </c>
      <c r="J1502" s="39">
        <f>노무비목록표!E9</f>
        <v>165545</v>
      </c>
      <c r="M1502" s="20" t="s">
        <v>1126</v>
      </c>
      <c r="N1502" s="20" t="s">
        <v>1332</v>
      </c>
      <c r="X1502" s="108" t="str">
        <f>노무비목록표!B9&amp;" / "&amp;노무비목록표!C9</f>
        <v xml:space="preserve">보통인부 / </v>
      </c>
      <c r="Y1502" s="19" t="str">
        <f ca="1">HYPERLINK("#"&amp;노무비목록표!G2&amp;"!A"&amp;ROW(노무비목록표!A9),"노무    6 →")</f>
        <v>노무    6 →</v>
      </c>
      <c r="Z1502" s="20" t="s">
        <v>1526</v>
      </c>
      <c r="AA1502" s="110">
        <v>0.18</v>
      </c>
      <c r="AB1502" s="20" t="s">
        <v>1535</v>
      </c>
      <c r="AC1502" s="110">
        <v>0.13</v>
      </c>
      <c r="AD1502" s="20" t="s">
        <v>1865</v>
      </c>
      <c r="AE1502" s="111">
        <v>25</v>
      </c>
      <c r="AF1502" s="20" t="s">
        <v>1326</v>
      </c>
      <c r="AG1502" s="113">
        <f>(AA1502+AC1502)*1/AE1502</f>
        <v>1.24E-2</v>
      </c>
      <c r="AH1502" s="109"/>
      <c r="AI1502" s="109"/>
      <c r="AJ1502" s="109"/>
      <c r="AK1502" s="109"/>
      <c r="AL1502" s="109"/>
      <c r="AM1502" s="109"/>
      <c r="AN1502" s="109"/>
      <c r="AO1502" s="109"/>
      <c r="AP1502" s="109"/>
      <c r="AQ1502" s="109"/>
      <c r="AR1502" s="109"/>
      <c r="AS1502" s="109"/>
    </row>
    <row r="1503" spans="1:45" ht="12.6" customHeight="1" x14ac:dyDescent="0.3">
      <c r="A1503" s="78"/>
      <c r="B1503" s="78"/>
      <c r="C1503" s="78"/>
      <c r="D1503" s="78"/>
      <c r="E1503" s="78"/>
      <c r="F1503" s="78"/>
      <c r="G1503" s="16" t="s">
        <v>1433</v>
      </c>
      <c r="Z1503" s="109"/>
      <c r="AA1503" s="109"/>
      <c r="AB1503" s="109"/>
      <c r="AC1503" s="109"/>
      <c r="AD1503" s="109"/>
      <c r="AE1503" s="109"/>
      <c r="AF1503" s="109"/>
      <c r="AG1503" s="109"/>
      <c r="AH1503" s="109"/>
      <c r="AI1503" s="109"/>
      <c r="AJ1503" s="109"/>
      <c r="AK1503" s="109"/>
      <c r="AL1503" s="109"/>
      <c r="AM1503" s="109"/>
      <c r="AN1503" s="109"/>
      <c r="AO1503" s="109"/>
      <c r="AP1503" s="109"/>
      <c r="AQ1503" s="109"/>
      <c r="AR1503" s="109"/>
      <c r="AS1503" s="109"/>
    </row>
    <row r="1504" spans="1:45" ht="12.6" customHeight="1" x14ac:dyDescent="0.3">
      <c r="A1504" s="78"/>
      <c r="B1504" s="78"/>
      <c r="C1504" s="78"/>
      <c r="D1504" s="78"/>
      <c r="E1504" s="78"/>
      <c r="F1504" s="78"/>
      <c r="G1504" s="16" t="s">
        <v>1317</v>
      </c>
      <c r="Z1504" s="109"/>
      <c r="AA1504" s="109"/>
      <c r="AB1504" s="109"/>
      <c r="AC1504" s="109"/>
      <c r="AD1504" s="109"/>
      <c r="AE1504" s="109"/>
      <c r="AF1504" s="109"/>
      <c r="AG1504" s="109"/>
      <c r="AH1504" s="109"/>
      <c r="AI1504" s="109"/>
      <c r="AJ1504" s="109"/>
      <c r="AK1504" s="109"/>
      <c r="AL1504" s="109"/>
      <c r="AM1504" s="109"/>
      <c r="AN1504" s="109"/>
      <c r="AO1504" s="109"/>
      <c r="AP1504" s="109"/>
      <c r="AQ1504" s="109"/>
      <c r="AR1504" s="109"/>
      <c r="AS1504" s="109"/>
    </row>
    <row r="1505" spans="1:45" ht="12.6" customHeight="1" x14ac:dyDescent="0.3">
      <c r="A1505" s="68"/>
      <c r="B1505" s="77" t="s">
        <v>1331</v>
      </c>
      <c r="C1505" s="100">
        <f>E1505+D1505+F1505</f>
        <v>2052.6999999999998</v>
      </c>
      <c r="D1505" s="100">
        <f>SUMIF(N1493:N1504,M1505,D1493:D1504)</f>
        <v>2052.6999999999998</v>
      </c>
      <c r="E1505" s="100">
        <f>SUMIF(N1493:N1504,M1505,E1493:E1504)</f>
        <v>0</v>
      </c>
      <c r="F1505" s="100">
        <f>SUMIF(N1493:N1504,M1505,F1493:F1504)</f>
        <v>0</v>
      </c>
      <c r="G1505" s="16" t="s">
        <v>1415</v>
      </c>
      <c r="M1505" s="20" t="s">
        <v>1332</v>
      </c>
      <c r="N1505" s="20" t="s">
        <v>1341</v>
      </c>
      <c r="Z1505" s="109"/>
      <c r="AA1505" s="109"/>
      <c r="AB1505" s="109"/>
      <c r="AC1505" s="109"/>
      <c r="AD1505" s="109"/>
      <c r="AE1505" s="109"/>
      <c r="AF1505" s="109"/>
      <c r="AG1505" s="109"/>
      <c r="AH1505" s="109"/>
      <c r="AI1505" s="109"/>
      <c r="AJ1505" s="109"/>
      <c r="AK1505" s="109"/>
      <c r="AL1505" s="109"/>
      <c r="AM1505" s="109"/>
      <c r="AN1505" s="109"/>
      <c r="AO1505" s="109"/>
      <c r="AP1505" s="109"/>
      <c r="AQ1505" s="109"/>
      <c r="AR1505" s="109"/>
      <c r="AS1505" s="109"/>
    </row>
    <row r="1506" spans="1:45" ht="12.6" customHeight="1" x14ac:dyDescent="0.3">
      <c r="A1506" s="78"/>
      <c r="B1506" s="78"/>
      <c r="C1506" s="98"/>
      <c r="D1506" s="98"/>
      <c r="E1506" s="98"/>
      <c r="F1506" s="98"/>
      <c r="G1506" s="16" t="s">
        <v>1317</v>
      </c>
      <c r="Z1506" s="109"/>
      <c r="AA1506" s="109"/>
      <c r="AB1506" s="109"/>
      <c r="AC1506" s="109"/>
      <c r="AD1506" s="109"/>
      <c r="AE1506" s="109"/>
      <c r="AF1506" s="109"/>
      <c r="AG1506" s="109"/>
      <c r="AH1506" s="109"/>
      <c r="AI1506" s="109"/>
      <c r="AJ1506" s="109"/>
      <c r="AK1506" s="109"/>
      <c r="AL1506" s="109"/>
      <c r="AM1506" s="109"/>
      <c r="AN1506" s="109"/>
      <c r="AO1506" s="109"/>
      <c r="AP1506" s="109"/>
      <c r="AQ1506" s="109"/>
      <c r="AR1506" s="109"/>
      <c r="AS1506" s="109"/>
    </row>
    <row r="1507" spans="1:45" ht="12.6" customHeight="1" x14ac:dyDescent="0.3">
      <c r="A1507" s="78"/>
      <c r="B1507" s="78"/>
      <c r="C1507" s="78"/>
      <c r="D1507" s="78"/>
      <c r="E1507" s="78"/>
      <c r="F1507" s="78"/>
      <c r="G1507" s="16" t="s">
        <v>1317</v>
      </c>
      <c r="Z1507" s="109"/>
      <c r="AA1507" s="109"/>
      <c r="AB1507" s="109"/>
      <c r="AC1507" s="109"/>
      <c r="AD1507" s="109"/>
      <c r="AE1507" s="109"/>
      <c r="AF1507" s="109"/>
      <c r="AG1507" s="109"/>
      <c r="AH1507" s="109"/>
      <c r="AI1507" s="109"/>
      <c r="AJ1507" s="109"/>
      <c r="AK1507" s="109"/>
      <c r="AL1507" s="109"/>
      <c r="AM1507" s="109"/>
      <c r="AN1507" s="109"/>
      <c r="AO1507" s="109"/>
      <c r="AP1507" s="109"/>
      <c r="AQ1507" s="109"/>
      <c r="AR1507" s="109"/>
      <c r="AS1507" s="109"/>
    </row>
    <row r="1508" spans="1:45" ht="12.6" customHeight="1" x14ac:dyDescent="0.3">
      <c r="A1508" s="78"/>
      <c r="B1508" s="78"/>
      <c r="C1508" s="78"/>
      <c r="D1508" s="78"/>
      <c r="E1508" s="78"/>
      <c r="F1508" s="78"/>
      <c r="G1508" s="16" t="s">
        <v>1317</v>
      </c>
      <c r="Z1508" s="109"/>
      <c r="AA1508" s="109"/>
      <c r="AB1508" s="109"/>
      <c r="AC1508" s="109"/>
      <c r="AD1508" s="109"/>
      <c r="AE1508" s="109"/>
      <c r="AF1508" s="109"/>
      <c r="AG1508" s="109"/>
      <c r="AH1508" s="109"/>
      <c r="AI1508" s="109"/>
      <c r="AJ1508" s="109"/>
      <c r="AK1508" s="109"/>
      <c r="AL1508" s="109"/>
      <c r="AM1508" s="109"/>
      <c r="AN1508" s="109"/>
      <c r="AO1508" s="109"/>
      <c r="AP1508" s="109"/>
      <c r="AQ1508" s="109"/>
      <c r="AR1508" s="109"/>
      <c r="AS1508" s="109"/>
    </row>
    <row r="1509" spans="1:45" ht="12.6" customHeight="1" x14ac:dyDescent="0.3">
      <c r="A1509" s="78"/>
      <c r="B1509" s="78"/>
      <c r="C1509" s="78"/>
      <c r="D1509" s="78"/>
      <c r="E1509" s="78"/>
      <c r="F1509" s="78"/>
      <c r="G1509" s="16" t="s">
        <v>1317</v>
      </c>
      <c r="Z1509" s="109"/>
      <c r="AA1509" s="109"/>
      <c r="AB1509" s="109"/>
      <c r="AC1509" s="109"/>
      <c r="AD1509" s="109"/>
      <c r="AE1509" s="109"/>
      <c r="AF1509" s="109"/>
      <c r="AG1509" s="109"/>
      <c r="AH1509" s="109"/>
      <c r="AI1509" s="109"/>
      <c r="AJ1509" s="109"/>
      <c r="AK1509" s="109"/>
      <c r="AL1509" s="109"/>
      <c r="AM1509" s="109"/>
      <c r="AN1509" s="109"/>
      <c r="AO1509" s="109"/>
      <c r="AP1509" s="109"/>
      <c r="AQ1509" s="109"/>
      <c r="AR1509" s="109"/>
      <c r="AS1509" s="109"/>
    </row>
    <row r="1510" spans="1:45" ht="12.6" customHeight="1" x14ac:dyDescent="0.3">
      <c r="A1510" s="68"/>
      <c r="B1510" s="77" t="s">
        <v>1340</v>
      </c>
      <c r="C1510" s="100">
        <f>E1510+D1510+F1510</f>
        <v>2499.8999999999996</v>
      </c>
      <c r="D1510" s="100">
        <f>SUMIF(N1477:N1509,M1510,D1477:D1509)</f>
        <v>2052.6999999999998</v>
      </c>
      <c r="E1510" s="100">
        <f>SUMIF(N1477:N1509,M1510,E1477:E1509)</f>
        <v>0</v>
      </c>
      <c r="F1510" s="100">
        <f>SUMIF(N1477:N1509,M1510,F1477:F1509)</f>
        <v>447.2</v>
      </c>
      <c r="G1510" s="16" t="s">
        <v>1380</v>
      </c>
      <c r="M1510" s="20" t="s">
        <v>1341</v>
      </c>
      <c r="N1510" s="20" t="s">
        <v>1128</v>
      </c>
      <c r="Z1510" s="109"/>
      <c r="AA1510" s="109"/>
      <c r="AB1510" s="109"/>
      <c r="AC1510" s="109"/>
      <c r="AD1510" s="109"/>
      <c r="AE1510" s="109"/>
      <c r="AF1510" s="109"/>
      <c r="AG1510" s="109"/>
      <c r="AH1510" s="109"/>
      <c r="AI1510" s="109"/>
      <c r="AJ1510" s="109"/>
      <c r="AK1510" s="109"/>
      <c r="AL1510" s="109"/>
      <c r="AM1510" s="109"/>
      <c r="AN1510" s="109"/>
      <c r="AO1510" s="109"/>
      <c r="AP1510" s="109"/>
      <c r="AQ1510" s="109"/>
      <c r="AR1510" s="109"/>
      <c r="AS1510" s="109"/>
    </row>
    <row r="1511" spans="1:45" ht="12.6" customHeight="1" x14ac:dyDescent="0.3">
      <c r="A1511" s="78"/>
      <c r="B1511" s="78"/>
      <c r="C1511" s="98"/>
      <c r="D1511" s="98"/>
      <c r="E1511" s="98"/>
      <c r="F1511" s="98"/>
      <c r="Z1511" s="109"/>
      <c r="AA1511" s="109"/>
      <c r="AB1511" s="109"/>
      <c r="AC1511" s="109"/>
      <c r="AD1511" s="109"/>
      <c r="AE1511" s="109"/>
      <c r="AF1511" s="109"/>
      <c r="AG1511" s="109"/>
      <c r="AH1511" s="109"/>
      <c r="AI1511" s="109"/>
      <c r="AJ1511" s="109"/>
      <c r="AK1511" s="109"/>
      <c r="AL1511" s="109"/>
      <c r="AM1511" s="109"/>
      <c r="AN1511" s="109"/>
      <c r="AO1511" s="109"/>
      <c r="AP1511" s="109"/>
      <c r="AQ1511" s="109"/>
      <c r="AR1511" s="109"/>
      <c r="AS1511" s="109"/>
    </row>
    <row r="1512" spans="1:45" ht="12.6" customHeight="1" x14ac:dyDescent="0.3">
      <c r="A1512" s="78"/>
      <c r="B1512" s="78"/>
      <c r="C1512" s="78"/>
      <c r="D1512" s="78"/>
      <c r="E1512" s="78"/>
      <c r="F1512" s="78"/>
      <c r="Z1512" s="109"/>
      <c r="AA1512" s="109"/>
      <c r="AB1512" s="109"/>
      <c r="AC1512" s="109"/>
      <c r="AD1512" s="109"/>
      <c r="AE1512" s="109"/>
      <c r="AF1512" s="109"/>
      <c r="AG1512" s="109"/>
      <c r="AH1512" s="109"/>
      <c r="AI1512" s="109"/>
      <c r="AJ1512" s="109"/>
      <c r="AK1512" s="109"/>
      <c r="AL1512" s="109"/>
      <c r="AM1512" s="109"/>
      <c r="AN1512" s="109"/>
      <c r="AO1512" s="109"/>
      <c r="AP1512" s="109"/>
      <c r="AQ1512" s="109"/>
      <c r="AR1512" s="109"/>
      <c r="AS1512" s="109"/>
    </row>
    <row r="1513" spans="1:45" ht="12.6" customHeight="1" x14ac:dyDescent="0.3">
      <c r="A1513" s="78"/>
      <c r="B1513" s="78"/>
      <c r="C1513" s="78"/>
      <c r="D1513" s="78"/>
      <c r="E1513" s="78"/>
      <c r="F1513" s="78"/>
      <c r="Z1513" s="109"/>
      <c r="AA1513" s="109"/>
      <c r="AB1513" s="109"/>
      <c r="AC1513" s="109"/>
      <c r="AD1513" s="109"/>
      <c r="AE1513" s="109"/>
      <c r="AF1513" s="109"/>
      <c r="AG1513" s="109"/>
      <c r="AH1513" s="109"/>
      <c r="AI1513" s="109"/>
      <c r="AJ1513" s="109"/>
      <c r="AK1513" s="109"/>
      <c r="AL1513" s="109"/>
      <c r="AM1513" s="109"/>
      <c r="AN1513" s="109"/>
      <c r="AO1513" s="109"/>
      <c r="AP1513" s="109"/>
      <c r="AQ1513" s="109"/>
      <c r="AR1513" s="109"/>
      <c r="AS1513" s="109"/>
    </row>
    <row r="1514" spans="1:45" ht="12.6" customHeight="1" x14ac:dyDescent="0.3">
      <c r="A1514" s="78"/>
      <c r="B1514" s="78"/>
      <c r="C1514" s="78"/>
      <c r="D1514" s="78"/>
      <c r="E1514" s="78"/>
      <c r="F1514" s="78"/>
      <c r="Z1514" s="109"/>
      <c r="AA1514" s="109"/>
      <c r="AB1514" s="109"/>
      <c r="AC1514" s="109"/>
      <c r="AD1514" s="109"/>
      <c r="AE1514" s="109"/>
      <c r="AF1514" s="109"/>
      <c r="AG1514" s="109"/>
      <c r="AH1514" s="109"/>
      <c r="AI1514" s="109"/>
      <c r="AJ1514" s="109"/>
      <c r="AK1514" s="109"/>
      <c r="AL1514" s="109"/>
      <c r="AM1514" s="109"/>
      <c r="AN1514" s="109"/>
      <c r="AO1514" s="109"/>
      <c r="AP1514" s="109"/>
      <c r="AQ1514" s="109"/>
      <c r="AR1514" s="109"/>
      <c r="AS1514" s="109"/>
    </row>
    <row r="1515" spans="1:45" ht="12.6" customHeight="1" x14ac:dyDescent="0.3">
      <c r="A1515" s="78"/>
      <c r="B1515" s="78"/>
      <c r="C1515" s="78"/>
      <c r="D1515" s="78"/>
      <c r="E1515" s="78"/>
      <c r="F1515" s="78"/>
      <c r="Z1515" s="109"/>
      <c r="AA1515" s="109"/>
      <c r="AB1515" s="109"/>
      <c r="AC1515" s="109"/>
      <c r="AD1515" s="109"/>
      <c r="AE1515" s="109"/>
      <c r="AF1515" s="109"/>
      <c r="AG1515" s="109"/>
      <c r="AH1515" s="109"/>
      <c r="AI1515" s="109"/>
      <c r="AJ1515" s="109"/>
      <c r="AK1515" s="109"/>
      <c r="AL1515" s="109"/>
      <c r="AM1515" s="109"/>
      <c r="AN1515" s="109"/>
      <c r="AO1515" s="109"/>
      <c r="AP1515" s="109"/>
      <c r="AQ1515" s="109"/>
      <c r="AR1515" s="109"/>
      <c r="AS1515" s="109"/>
    </row>
    <row r="1516" spans="1:45" ht="12.6" customHeight="1" x14ac:dyDescent="0.3">
      <c r="A1516" s="78"/>
      <c r="B1516" s="78"/>
      <c r="C1516" s="78"/>
      <c r="D1516" s="78"/>
      <c r="E1516" s="78"/>
      <c r="F1516" s="78"/>
      <c r="Z1516" s="109"/>
      <c r="AA1516" s="109"/>
      <c r="AB1516" s="109"/>
      <c r="AC1516" s="109"/>
      <c r="AD1516" s="109"/>
      <c r="AE1516" s="109"/>
      <c r="AF1516" s="109"/>
      <c r="AG1516" s="109"/>
      <c r="AH1516" s="109"/>
      <c r="AI1516" s="109"/>
      <c r="AJ1516" s="109"/>
      <c r="AK1516" s="109"/>
      <c r="AL1516" s="109"/>
      <c r="AM1516" s="109"/>
      <c r="AN1516" s="109"/>
      <c r="AO1516" s="109"/>
      <c r="AP1516" s="109"/>
      <c r="AQ1516" s="109"/>
      <c r="AR1516" s="109"/>
      <c r="AS1516" s="109"/>
    </row>
    <row r="1517" spans="1:45" ht="12.6" customHeight="1" x14ac:dyDescent="0.3">
      <c r="A1517" s="78"/>
      <c r="B1517" s="78"/>
      <c r="C1517" s="78"/>
      <c r="D1517" s="78"/>
      <c r="E1517" s="78"/>
      <c r="F1517" s="78"/>
      <c r="Z1517" s="109"/>
      <c r="AA1517" s="109"/>
      <c r="AB1517" s="109"/>
      <c r="AC1517" s="109"/>
      <c r="AD1517" s="109"/>
      <c r="AE1517" s="109"/>
      <c r="AF1517" s="109"/>
      <c r="AG1517" s="109"/>
      <c r="AH1517" s="109"/>
      <c r="AI1517" s="109"/>
      <c r="AJ1517" s="109"/>
      <c r="AK1517" s="109"/>
      <c r="AL1517" s="109"/>
      <c r="AM1517" s="109"/>
      <c r="AN1517" s="109"/>
      <c r="AO1517" s="109"/>
      <c r="AP1517" s="109"/>
      <c r="AQ1517" s="109"/>
      <c r="AR1517" s="109"/>
      <c r="AS1517" s="109"/>
    </row>
    <row r="1518" spans="1:45" ht="12.6" customHeight="1" x14ac:dyDescent="0.3">
      <c r="A1518" s="78"/>
      <c r="B1518" s="78"/>
      <c r="C1518" s="78"/>
      <c r="D1518" s="78"/>
      <c r="E1518" s="78"/>
      <c r="F1518" s="78"/>
      <c r="Z1518" s="109"/>
      <c r="AA1518" s="109"/>
      <c r="AB1518" s="109"/>
      <c r="AC1518" s="109"/>
      <c r="AD1518" s="109"/>
      <c r="AE1518" s="109"/>
      <c r="AF1518" s="109"/>
      <c r="AG1518" s="109"/>
      <c r="AH1518" s="109"/>
      <c r="AI1518" s="109"/>
      <c r="AJ1518" s="109"/>
      <c r="AK1518" s="109"/>
      <c r="AL1518" s="109"/>
      <c r="AM1518" s="109"/>
      <c r="AN1518" s="109"/>
      <c r="AO1518" s="109"/>
      <c r="AP1518" s="109"/>
      <c r="AQ1518" s="109"/>
      <c r="AR1518" s="109"/>
      <c r="AS1518" s="109"/>
    </row>
    <row r="1519" spans="1:45" ht="12.6" customHeight="1" x14ac:dyDescent="0.3">
      <c r="A1519" s="78"/>
      <c r="B1519" s="78"/>
      <c r="C1519" s="78"/>
      <c r="D1519" s="78"/>
      <c r="E1519" s="78"/>
      <c r="F1519" s="78"/>
      <c r="Z1519" s="109"/>
      <c r="AA1519" s="109"/>
      <c r="AB1519" s="109"/>
      <c r="AC1519" s="109"/>
      <c r="AD1519" s="109"/>
      <c r="AE1519" s="109"/>
      <c r="AF1519" s="109"/>
      <c r="AG1519" s="109"/>
      <c r="AH1519" s="109"/>
      <c r="AI1519" s="109"/>
      <c r="AJ1519" s="109"/>
      <c r="AK1519" s="109"/>
      <c r="AL1519" s="109"/>
      <c r="AM1519" s="109"/>
      <c r="AN1519" s="109"/>
      <c r="AO1519" s="109"/>
      <c r="AP1519" s="109"/>
      <c r="AQ1519" s="109"/>
      <c r="AR1519" s="109"/>
      <c r="AS1519" s="109"/>
    </row>
    <row r="1520" spans="1:45" ht="12.6" customHeight="1" x14ac:dyDescent="0.3">
      <c r="A1520" s="78"/>
      <c r="B1520" s="78"/>
      <c r="C1520" s="78"/>
      <c r="D1520" s="78"/>
      <c r="E1520" s="78"/>
      <c r="F1520" s="78"/>
      <c r="Z1520" s="109"/>
      <c r="AA1520" s="109"/>
      <c r="AB1520" s="109"/>
      <c r="AC1520" s="109"/>
      <c r="AD1520" s="109"/>
      <c r="AE1520" s="109"/>
      <c r="AF1520" s="109"/>
      <c r="AG1520" s="109"/>
      <c r="AH1520" s="109"/>
      <c r="AI1520" s="109"/>
      <c r="AJ1520" s="109"/>
      <c r="AK1520" s="109"/>
      <c r="AL1520" s="109"/>
      <c r="AM1520" s="109"/>
      <c r="AN1520" s="109"/>
      <c r="AO1520" s="109"/>
      <c r="AP1520" s="109"/>
      <c r="AQ1520" s="109"/>
      <c r="AR1520" s="109"/>
      <c r="AS1520" s="109"/>
    </row>
    <row r="1521" spans="1:45" ht="12.6" customHeight="1" x14ac:dyDescent="0.3">
      <c r="A1521" s="78"/>
      <c r="B1521" s="78"/>
      <c r="C1521" s="78"/>
      <c r="D1521" s="78"/>
      <c r="E1521" s="78"/>
      <c r="F1521" s="78"/>
      <c r="Z1521" s="109"/>
      <c r="AA1521" s="109"/>
      <c r="AB1521" s="109"/>
      <c r="AC1521" s="109"/>
      <c r="AD1521" s="109"/>
      <c r="AE1521" s="109"/>
      <c r="AF1521" s="109"/>
      <c r="AG1521" s="109"/>
      <c r="AH1521" s="109"/>
      <c r="AI1521" s="109"/>
      <c r="AJ1521" s="109"/>
      <c r="AK1521" s="109"/>
      <c r="AL1521" s="109"/>
      <c r="AM1521" s="109"/>
      <c r="AN1521" s="109"/>
      <c r="AO1521" s="109"/>
      <c r="AP1521" s="109"/>
      <c r="AQ1521" s="109"/>
      <c r="AR1521" s="109"/>
      <c r="AS1521" s="109"/>
    </row>
    <row r="1522" spans="1:45" ht="12.6" customHeight="1" x14ac:dyDescent="0.3">
      <c r="A1522" s="78"/>
      <c r="B1522" s="78"/>
      <c r="C1522" s="78"/>
      <c r="D1522" s="78"/>
      <c r="E1522" s="78"/>
      <c r="F1522" s="78"/>
      <c r="Z1522" s="109"/>
      <c r="AA1522" s="109"/>
      <c r="AB1522" s="109"/>
      <c r="AC1522" s="109"/>
      <c r="AD1522" s="109"/>
      <c r="AE1522" s="109"/>
      <c r="AF1522" s="109"/>
      <c r="AG1522" s="109"/>
      <c r="AH1522" s="109"/>
      <c r="AI1522" s="109"/>
      <c r="AJ1522" s="109"/>
      <c r="AK1522" s="109"/>
      <c r="AL1522" s="109"/>
      <c r="AM1522" s="109"/>
      <c r="AN1522" s="109"/>
      <c r="AO1522" s="109"/>
      <c r="AP1522" s="109"/>
      <c r="AQ1522" s="109"/>
      <c r="AR1522" s="109"/>
      <c r="AS1522" s="109"/>
    </row>
    <row r="1523" spans="1:45" ht="12.6" customHeight="1" x14ac:dyDescent="0.3">
      <c r="A1523" s="78"/>
      <c r="B1523" s="78"/>
      <c r="C1523" s="78"/>
      <c r="D1523" s="78"/>
      <c r="E1523" s="78"/>
      <c r="F1523" s="78"/>
      <c r="Z1523" s="109"/>
      <c r="AA1523" s="109"/>
      <c r="AB1523" s="109"/>
      <c r="AC1523" s="109"/>
      <c r="AD1523" s="109"/>
      <c r="AE1523" s="109"/>
      <c r="AF1523" s="109"/>
      <c r="AG1523" s="109"/>
      <c r="AH1523" s="109"/>
      <c r="AI1523" s="109"/>
      <c r="AJ1523" s="109"/>
      <c r="AK1523" s="109"/>
      <c r="AL1523" s="109"/>
      <c r="AM1523" s="109"/>
      <c r="AN1523" s="109"/>
      <c r="AO1523" s="109"/>
      <c r="AP1523" s="109"/>
      <c r="AQ1523" s="109"/>
      <c r="AR1523" s="109"/>
      <c r="AS1523" s="109"/>
    </row>
    <row r="1524" spans="1:45" ht="12.6" customHeight="1" x14ac:dyDescent="0.3">
      <c r="A1524" s="78"/>
      <c r="B1524" s="78"/>
      <c r="C1524" s="78"/>
      <c r="D1524" s="78"/>
      <c r="E1524" s="78"/>
      <c r="F1524" s="78"/>
      <c r="Z1524" s="109"/>
      <c r="AA1524" s="109"/>
      <c r="AB1524" s="109"/>
      <c r="AC1524" s="109"/>
      <c r="AD1524" s="109"/>
      <c r="AE1524" s="109"/>
      <c r="AF1524" s="109"/>
      <c r="AG1524" s="109"/>
      <c r="AH1524" s="109"/>
      <c r="AI1524" s="109"/>
      <c r="AJ1524" s="109"/>
      <c r="AK1524" s="109"/>
      <c r="AL1524" s="109"/>
      <c r="AM1524" s="109"/>
      <c r="AN1524" s="109"/>
      <c r="AO1524" s="109"/>
      <c r="AP1524" s="109"/>
      <c r="AQ1524" s="109"/>
      <c r="AR1524" s="109"/>
      <c r="AS1524" s="109"/>
    </row>
    <row r="1525" spans="1:45" ht="12.6" customHeight="1" x14ac:dyDescent="0.3">
      <c r="A1525" s="78"/>
      <c r="B1525" s="78"/>
      <c r="C1525" s="78"/>
      <c r="D1525" s="78"/>
      <c r="E1525" s="78"/>
      <c r="F1525" s="78"/>
      <c r="Z1525" s="109"/>
      <c r="AA1525" s="109"/>
      <c r="AB1525" s="109"/>
      <c r="AC1525" s="109"/>
      <c r="AD1525" s="109"/>
      <c r="AE1525" s="109"/>
      <c r="AF1525" s="109"/>
      <c r="AG1525" s="109"/>
      <c r="AH1525" s="109"/>
      <c r="AI1525" s="109"/>
      <c r="AJ1525" s="109"/>
      <c r="AK1525" s="109"/>
      <c r="AL1525" s="109"/>
      <c r="AM1525" s="109"/>
      <c r="AN1525" s="109"/>
      <c r="AO1525" s="109"/>
      <c r="AP1525" s="109"/>
      <c r="AQ1525" s="109"/>
      <c r="AR1525" s="109"/>
      <c r="AS1525" s="109"/>
    </row>
    <row r="1526" spans="1:45" ht="12.6" customHeight="1" x14ac:dyDescent="0.3">
      <c r="A1526" s="78"/>
      <c r="B1526" s="78"/>
      <c r="C1526" s="78"/>
      <c r="D1526" s="78"/>
      <c r="E1526" s="78"/>
      <c r="F1526" s="78"/>
      <c r="Z1526" s="109"/>
      <c r="AA1526" s="109"/>
      <c r="AB1526" s="109"/>
      <c r="AC1526" s="109"/>
      <c r="AD1526" s="109"/>
      <c r="AE1526" s="109"/>
      <c r="AF1526" s="109"/>
      <c r="AG1526" s="109"/>
      <c r="AH1526" s="109"/>
      <c r="AI1526" s="109"/>
      <c r="AJ1526" s="109"/>
      <c r="AK1526" s="109"/>
      <c r="AL1526" s="109"/>
      <c r="AM1526" s="109"/>
      <c r="AN1526" s="109"/>
      <c r="AO1526" s="109"/>
      <c r="AP1526" s="109"/>
      <c r="AQ1526" s="109"/>
      <c r="AR1526" s="109"/>
      <c r="AS1526" s="109"/>
    </row>
    <row r="1527" spans="1:45" ht="12.6" customHeight="1" x14ac:dyDescent="0.3">
      <c r="A1527" s="78"/>
      <c r="B1527" s="78"/>
      <c r="C1527" s="78"/>
      <c r="D1527" s="78"/>
      <c r="E1527" s="78"/>
      <c r="F1527" s="78"/>
      <c r="Z1527" s="109"/>
      <c r="AA1527" s="109"/>
      <c r="AB1527" s="109"/>
      <c r="AC1527" s="109"/>
      <c r="AD1527" s="109"/>
      <c r="AE1527" s="109"/>
      <c r="AF1527" s="109"/>
      <c r="AG1527" s="109"/>
      <c r="AH1527" s="109"/>
      <c r="AI1527" s="109"/>
      <c r="AJ1527" s="109"/>
      <c r="AK1527" s="109"/>
      <c r="AL1527" s="109"/>
      <c r="AM1527" s="109"/>
      <c r="AN1527" s="109"/>
      <c r="AO1527" s="109"/>
      <c r="AP1527" s="109"/>
      <c r="AQ1527" s="109"/>
      <c r="AR1527" s="109"/>
      <c r="AS1527" s="109"/>
    </row>
    <row r="1528" spans="1:45" ht="12.6" customHeight="1" x14ac:dyDescent="0.3">
      <c r="A1528" s="78"/>
      <c r="B1528" s="78"/>
      <c r="C1528" s="78"/>
      <c r="D1528" s="78"/>
      <c r="E1528" s="78"/>
      <c r="F1528" s="78"/>
      <c r="Z1528" s="109"/>
      <c r="AA1528" s="109"/>
      <c r="AB1528" s="109"/>
      <c r="AC1528" s="109"/>
      <c r="AD1528" s="109"/>
      <c r="AE1528" s="109"/>
      <c r="AF1528" s="109"/>
      <c r="AG1528" s="109"/>
      <c r="AH1528" s="109"/>
      <c r="AI1528" s="109"/>
      <c r="AJ1528" s="109"/>
      <c r="AK1528" s="109"/>
      <c r="AL1528" s="109"/>
      <c r="AM1528" s="109"/>
      <c r="AN1528" s="109"/>
      <c r="AO1528" s="109"/>
      <c r="AP1528" s="109"/>
      <c r="AQ1528" s="109"/>
      <c r="AR1528" s="109"/>
      <c r="AS1528" s="109"/>
    </row>
    <row r="1529" spans="1:45" ht="12.6" customHeight="1" x14ac:dyDescent="0.3">
      <c r="A1529" s="78"/>
      <c r="B1529" s="78"/>
      <c r="C1529" s="78"/>
      <c r="D1529" s="78"/>
      <c r="E1529" s="78"/>
      <c r="F1529" s="78"/>
      <c r="Z1529" s="109"/>
      <c r="AA1529" s="109"/>
      <c r="AB1529" s="109"/>
      <c r="AC1529" s="109"/>
      <c r="AD1529" s="109"/>
      <c r="AE1529" s="109"/>
      <c r="AF1529" s="109"/>
      <c r="AG1529" s="109"/>
      <c r="AH1529" s="109"/>
      <c r="AI1529" s="109"/>
      <c r="AJ1529" s="109"/>
      <c r="AK1529" s="109"/>
      <c r="AL1529" s="109"/>
      <c r="AM1529" s="109"/>
      <c r="AN1529" s="109"/>
      <c r="AO1529" s="109"/>
      <c r="AP1529" s="109"/>
      <c r="AQ1529" s="109"/>
      <c r="AR1529" s="109"/>
      <c r="AS1529" s="109"/>
    </row>
    <row r="1530" spans="1:45" ht="12.6" customHeight="1" x14ac:dyDescent="0.3">
      <c r="A1530" s="78"/>
      <c r="B1530" s="78"/>
      <c r="C1530" s="78"/>
      <c r="D1530" s="78"/>
      <c r="E1530" s="78"/>
      <c r="F1530" s="78"/>
      <c r="Z1530" s="109"/>
      <c r="AA1530" s="109"/>
      <c r="AB1530" s="109"/>
      <c r="AC1530" s="109"/>
      <c r="AD1530" s="109"/>
      <c r="AE1530" s="109"/>
      <c r="AF1530" s="109"/>
      <c r="AG1530" s="109"/>
      <c r="AH1530" s="109"/>
      <c r="AI1530" s="109"/>
      <c r="AJ1530" s="109"/>
      <c r="AK1530" s="109"/>
      <c r="AL1530" s="109"/>
      <c r="AM1530" s="109"/>
      <c r="AN1530" s="109"/>
      <c r="AO1530" s="109"/>
      <c r="AP1530" s="109"/>
      <c r="AQ1530" s="109"/>
      <c r="AR1530" s="109"/>
      <c r="AS1530" s="109"/>
    </row>
    <row r="1531" spans="1:45" ht="12.6" customHeight="1" x14ac:dyDescent="0.3">
      <c r="A1531" s="78"/>
      <c r="B1531" s="78"/>
      <c r="C1531" s="78"/>
      <c r="D1531" s="78"/>
      <c r="E1531" s="78"/>
      <c r="F1531" s="78"/>
      <c r="Z1531" s="109"/>
      <c r="AA1531" s="109"/>
      <c r="AB1531" s="109"/>
      <c r="AC1531" s="109"/>
      <c r="AD1531" s="109"/>
      <c r="AE1531" s="109"/>
      <c r="AF1531" s="109"/>
      <c r="AG1531" s="109"/>
      <c r="AH1531" s="109"/>
      <c r="AI1531" s="109"/>
      <c r="AJ1531" s="109"/>
      <c r="AK1531" s="109"/>
      <c r="AL1531" s="109"/>
      <c r="AM1531" s="109"/>
      <c r="AN1531" s="109"/>
      <c r="AO1531" s="109"/>
      <c r="AP1531" s="109"/>
      <c r="AQ1531" s="109"/>
      <c r="AR1531" s="109"/>
      <c r="AS1531" s="109"/>
    </row>
    <row r="1532" spans="1:45" ht="12.6" customHeight="1" x14ac:dyDescent="0.3">
      <c r="A1532" s="78"/>
      <c r="B1532" s="78"/>
      <c r="C1532" s="78"/>
      <c r="D1532" s="78"/>
      <c r="E1532" s="78"/>
      <c r="F1532" s="78"/>
      <c r="Z1532" s="109"/>
      <c r="AA1532" s="109"/>
      <c r="AB1532" s="109"/>
      <c r="AC1532" s="109"/>
      <c r="AD1532" s="109"/>
      <c r="AE1532" s="109"/>
      <c r="AF1532" s="109"/>
      <c r="AG1532" s="109"/>
      <c r="AH1532" s="109"/>
      <c r="AI1532" s="109"/>
      <c r="AJ1532" s="109"/>
      <c r="AK1532" s="109"/>
      <c r="AL1532" s="109"/>
      <c r="AM1532" s="109"/>
      <c r="AN1532" s="109"/>
      <c r="AO1532" s="109"/>
      <c r="AP1532" s="109"/>
      <c r="AQ1532" s="109"/>
      <c r="AR1532" s="109"/>
      <c r="AS1532" s="109"/>
    </row>
    <row r="1533" spans="1:45" ht="12.6" customHeight="1" x14ac:dyDescent="0.3">
      <c r="A1533" s="78"/>
      <c r="B1533" s="78"/>
      <c r="C1533" s="78"/>
      <c r="D1533" s="78"/>
      <c r="E1533" s="78"/>
      <c r="F1533" s="78"/>
      <c r="Z1533" s="109"/>
      <c r="AA1533" s="109"/>
      <c r="AB1533" s="109"/>
      <c r="AC1533" s="109"/>
      <c r="AD1533" s="109"/>
      <c r="AE1533" s="109"/>
      <c r="AF1533" s="109"/>
      <c r="AG1533" s="109"/>
      <c r="AH1533" s="109"/>
      <c r="AI1533" s="109"/>
      <c r="AJ1533" s="109"/>
      <c r="AK1533" s="109"/>
      <c r="AL1533" s="109"/>
      <c r="AM1533" s="109"/>
      <c r="AN1533" s="109"/>
      <c r="AO1533" s="109"/>
      <c r="AP1533" s="109"/>
      <c r="AQ1533" s="109"/>
      <c r="AR1533" s="109"/>
      <c r="AS1533" s="109"/>
    </row>
    <row r="1534" spans="1:45" ht="12.6" customHeight="1" x14ac:dyDescent="0.3">
      <c r="A1534" s="78"/>
      <c r="B1534" s="78"/>
      <c r="C1534" s="78"/>
      <c r="D1534" s="78"/>
      <c r="E1534" s="78"/>
      <c r="F1534" s="78"/>
      <c r="Z1534" s="109"/>
      <c r="AA1534" s="109"/>
      <c r="AB1534" s="109"/>
      <c r="AC1534" s="109"/>
      <c r="AD1534" s="109"/>
      <c r="AE1534" s="109"/>
      <c r="AF1534" s="109"/>
      <c r="AG1534" s="109"/>
      <c r="AH1534" s="109"/>
      <c r="AI1534" s="109"/>
      <c r="AJ1534" s="109"/>
      <c r="AK1534" s="109"/>
      <c r="AL1534" s="109"/>
      <c r="AM1534" s="109"/>
      <c r="AN1534" s="109"/>
      <c r="AO1534" s="109"/>
      <c r="AP1534" s="109"/>
      <c r="AQ1534" s="109"/>
      <c r="AR1534" s="109"/>
      <c r="AS1534" s="109"/>
    </row>
    <row r="1535" spans="1:45" ht="12.6" customHeight="1" x14ac:dyDescent="0.3">
      <c r="A1535" s="78"/>
      <c r="B1535" s="78"/>
      <c r="C1535" s="78"/>
      <c r="D1535" s="78"/>
      <c r="E1535" s="78"/>
      <c r="F1535" s="78"/>
      <c r="Z1535" s="109"/>
      <c r="AA1535" s="109"/>
      <c r="AB1535" s="109"/>
      <c r="AC1535" s="109"/>
      <c r="AD1535" s="109"/>
      <c r="AE1535" s="109"/>
      <c r="AF1535" s="109"/>
      <c r="AG1535" s="109"/>
      <c r="AH1535" s="109"/>
      <c r="AI1535" s="109"/>
      <c r="AJ1535" s="109"/>
      <c r="AK1535" s="109"/>
      <c r="AL1535" s="109"/>
      <c r="AM1535" s="109"/>
      <c r="AN1535" s="109"/>
      <c r="AO1535" s="109"/>
      <c r="AP1535" s="109"/>
      <c r="AQ1535" s="109"/>
      <c r="AR1535" s="109"/>
      <c r="AS1535" s="109"/>
    </row>
    <row r="1536" spans="1:45" ht="12.6" customHeight="1" x14ac:dyDescent="0.3">
      <c r="A1536" s="78"/>
      <c r="B1536" s="78"/>
      <c r="C1536" s="78"/>
      <c r="D1536" s="78"/>
      <c r="E1536" s="78"/>
      <c r="F1536" s="78"/>
      <c r="Z1536" s="109"/>
      <c r="AA1536" s="109"/>
      <c r="AB1536" s="109"/>
      <c r="AC1536" s="109"/>
      <c r="AD1536" s="109"/>
      <c r="AE1536" s="109"/>
      <c r="AF1536" s="109"/>
      <c r="AG1536" s="109"/>
      <c r="AH1536" s="109"/>
      <c r="AI1536" s="109"/>
      <c r="AJ1536" s="109"/>
      <c r="AK1536" s="109"/>
      <c r="AL1536" s="109"/>
      <c r="AM1536" s="109"/>
      <c r="AN1536" s="109"/>
      <c r="AO1536" s="109"/>
      <c r="AP1536" s="109"/>
      <c r="AQ1536" s="109"/>
      <c r="AR1536" s="109"/>
      <c r="AS1536" s="109"/>
    </row>
    <row r="1537" spans="1:45" ht="12.6" customHeight="1" x14ac:dyDescent="0.3">
      <c r="A1537" s="78"/>
      <c r="B1537" s="78"/>
      <c r="C1537" s="78"/>
      <c r="D1537" s="78"/>
      <c r="E1537" s="78"/>
      <c r="F1537" s="78"/>
      <c r="Z1537" s="109"/>
      <c r="AA1537" s="109"/>
      <c r="AB1537" s="109"/>
      <c r="AC1537" s="109"/>
      <c r="AD1537" s="109"/>
      <c r="AE1537" s="109"/>
      <c r="AF1537" s="109"/>
      <c r="AG1537" s="109"/>
      <c r="AH1537" s="109"/>
      <c r="AI1537" s="109"/>
      <c r="AJ1537" s="109"/>
      <c r="AK1537" s="109"/>
      <c r="AL1537" s="109"/>
      <c r="AM1537" s="109"/>
      <c r="AN1537" s="109"/>
      <c r="AO1537" s="109"/>
      <c r="AP1537" s="109"/>
      <c r="AQ1537" s="109"/>
      <c r="AR1537" s="109"/>
      <c r="AS1537" s="109"/>
    </row>
    <row r="1538" spans="1:45" ht="12.6" customHeight="1" x14ac:dyDescent="0.3">
      <c r="A1538" s="78"/>
      <c r="B1538" s="78"/>
      <c r="C1538" s="78"/>
      <c r="D1538" s="78"/>
      <c r="E1538" s="78"/>
      <c r="F1538" s="78"/>
      <c r="Z1538" s="109"/>
      <c r="AA1538" s="109"/>
      <c r="AB1538" s="109"/>
      <c r="AC1538" s="109"/>
      <c r="AD1538" s="109"/>
      <c r="AE1538" s="109"/>
      <c r="AF1538" s="109"/>
      <c r="AG1538" s="109"/>
      <c r="AH1538" s="109"/>
      <c r="AI1538" s="109"/>
      <c r="AJ1538" s="109"/>
      <c r="AK1538" s="109"/>
      <c r="AL1538" s="109"/>
      <c r="AM1538" s="109"/>
      <c r="AN1538" s="109"/>
      <c r="AO1538" s="109"/>
      <c r="AP1538" s="109"/>
      <c r="AQ1538" s="109"/>
      <c r="AR1538" s="109"/>
      <c r="AS1538" s="109"/>
    </row>
    <row r="1539" spans="1:45" ht="12.6" customHeight="1" x14ac:dyDescent="0.3">
      <c r="A1539" s="78"/>
      <c r="B1539" s="78"/>
      <c r="C1539" s="78"/>
      <c r="D1539" s="78"/>
      <c r="E1539" s="78"/>
      <c r="F1539" s="78"/>
      <c r="Z1539" s="109"/>
      <c r="AA1539" s="109"/>
      <c r="AB1539" s="109"/>
      <c r="AC1539" s="109"/>
      <c r="AD1539" s="109"/>
      <c r="AE1539" s="109"/>
      <c r="AF1539" s="109"/>
      <c r="AG1539" s="109"/>
      <c r="AH1539" s="109"/>
      <c r="AI1539" s="109"/>
      <c r="AJ1539" s="109"/>
      <c r="AK1539" s="109"/>
      <c r="AL1539" s="109"/>
      <c r="AM1539" s="109"/>
      <c r="AN1539" s="109"/>
      <c r="AO1539" s="109"/>
      <c r="AP1539" s="109"/>
      <c r="AQ1539" s="109"/>
      <c r="AR1539" s="109"/>
      <c r="AS1539" s="109"/>
    </row>
    <row r="1540" spans="1:45" ht="12.6" customHeight="1" x14ac:dyDescent="0.3">
      <c r="A1540" s="78"/>
      <c r="B1540" s="78"/>
      <c r="C1540" s="78"/>
      <c r="D1540" s="78"/>
      <c r="E1540" s="78"/>
      <c r="F1540" s="78"/>
      <c r="Z1540" s="109"/>
      <c r="AA1540" s="109"/>
      <c r="AB1540" s="109"/>
      <c r="AC1540" s="109"/>
      <c r="AD1540" s="109"/>
      <c r="AE1540" s="109"/>
      <c r="AF1540" s="109"/>
      <c r="AG1540" s="109"/>
      <c r="AH1540" s="109"/>
      <c r="AI1540" s="109"/>
      <c r="AJ1540" s="109"/>
      <c r="AK1540" s="109"/>
      <c r="AL1540" s="109"/>
      <c r="AM1540" s="109"/>
      <c r="AN1540" s="109"/>
      <c r="AO1540" s="109"/>
      <c r="AP1540" s="109"/>
      <c r="AQ1540" s="109"/>
      <c r="AR1540" s="109"/>
      <c r="AS1540" s="109"/>
    </row>
    <row r="1541" spans="1:45" ht="12.6" customHeight="1" x14ac:dyDescent="0.3">
      <c r="A1541" s="78"/>
      <c r="B1541" s="78"/>
      <c r="C1541" s="78"/>
      <c r="D1541" s="78"/>
      <c r="E1541" s="78"/>
      <c r="F1541" s="78"/>
      <c r="Z1541" s="109"/>
      <c r="AA1541" s="109"/>
      <c r="AB1541" s="109"/>
      <c r="AC1541" s="109"/>
      <c r="AD1541" s="109"/>
      <c r="AE1541" s="109"/>
      <c r="AF1541" s="109"/>
      <c r="AG1541" s="109"/>
      <c r="AH1541" s="109"/>
      <c r="AI1541" s="109"/>
      <c r="AJ1541" s="109"/>
      <c r="AK1541" s="109"/>
      <c r="AL1541" s="109"/>
      <c r="AM1541" s="109"/>
      <c r="AN1541" s="109"/>
      <c r="AO1541" s="109"/>
      <c r="AP1541" s="109"/>
      <c r="AQ1541" s="109"/>
      <c r="AR1541" s="109"/>
      <c r="AS1541" s="109"/>
    </row>
    <row r="1542" spans="1:45" ht="12.6" customHeight="1" x14ac:dyDescent="0.3">
      <c r="A1542" s="78"/>
      <c r="B1542" s="78"/>
      <c r="C1542" s="78"/>
      <c r="D1542" s="78"/>
      <c r="E1542" s="78"/>
      <c r="F1542" s="78"/>
      <c r="Z1542" s="109"/>
      <c r="AA1542" s="109"/>
      <c r="AB1542" s="109"/>
      <c r="AC1542" s="109"/>
      <c r="AD1542" s="109"/>
      <c r="AE1542" s="109"/>
      <c r="AF1542" s="109"/>
      <c r="AG1542" s="109"/>
      <c r="AH1542" s="109"/>
      <c r="AI1542" s="109"/>
      <c r="AJ1542" s="109"/>
      <c r="AK1542" s="109"/>
      <c r="AL1542" s="109"/>
      <c r="AM1542" s="109"/>
      <c r="AN1542" s="109"/>
      <c r="AO1542" s="109"/>
      <c r="AP1542" s="109"/>
      <c r="AQ1542" s="109"/>
      <c r="AR1542" s="109"/>
      <c r="AS1542" s="109"/>
    </row>
    <row r="1543" spans="1:45" ht="12.6" customHeight="1" x14ac:dyDescent="0.3">
      <c r="A1543" s="58"/>
      <c r="B1543" s="58"/>
      <c r="C1543" s="58"/>
      <c r="D1543" s="58"/>
      <c r="E1543" s="58"/>
      <c r="F1543" s="58"/>
      <c r="Z1543" s="109"/>
      <c r="AA1543" s="109"/>
      <c r="AB1543" s="109"/>
      <c r="AC1543" s="109"/>
      <c r="AD1543" s="109"/>
      <c r="AE1543" s="109"/>
      <c r="AF1543" s="109"/>
      <c r="AG1543" s="109"/>
      <c r="AH1543" s="109"/>
      <c r="AI1543" s="109"/>
      <c r="AJ1543" s="109"/>
      <c r="AK1543" s="109"/>
      <c r="AL1543" s="109"/>
      <c r="AM1543" s="109"/>
      <c r="AN1543" s="109"/>
      <c r="AO1543" s="109"/>
      <c r="AP1543" s="109"/>
      <c r="AQ1543" s="109"/>
      <c r="AR1543" s="109"/>
      <c r="AS1543" s="109"/>
    </row>
    <row r="1544" spans="1:45" ht="12.6" customHeight="1" x14ac:dyDescent="0.3">
      <c r="A1544" s="159" t="s">
        <v>1737</v>
      </c>
      <c r="B1544" s="152"/>
      <c r="C1544" s="55">
        <f>E1544+D1544+F1544</f>
        <v>2499</v>
      </c>
      <c r="D1544" s="11">
        <v>0</v>
      </c>
      <c r="E1544" s="12">
        <v>0</v>
      </c>
      <c r="F1544" s="55">
        <f>ROUNDDOWN(SUMIF(N1477:N1510,M1544,E1477:E1510),0)+ROUNDDOWN(SUMIF(N1477:N1510,M1544,D1477:D1510),0)+ROUNDDOWN(SUMIF(N1477:N1510,M1544,F1477:F1510),0)</f>
        <v>2499</v>
      </c>
      <c r="M1544" s="20" t="s">
        <v>1128</v>
      </c>
      <c r="Z1544" s="109"/>
      <c r="AA1544" s="109"/>
      <c r="AB1544" s="109"/>
      <c r="AC1544" s="109"/>
      <c r="AD1544" s="109"/>
      <c r="AE1544" s="109"/>
      <c r="AF1544" s="109"/>
      <c r="AG1544" s="109"/>
      <c r="AH1544" s="109"/>
      <c r="AI1544" s="109"/>
      <c r="AJ1544" s="109"/>
      <c r="AK1544" s="109"/>
      <c r="AL1544" s="109"/>
      <c r="AM1544" s="109"/>
      <c r="AN1544" s="109"/>
      <c r="AO1544" s="109"/>
      <c r="AP1544" s="109"/>
      <c r="AQ1544" s="109"/>
      <c r="AR1544" s="109"/>
      <c r="AS1544" s="109"/>
    </row>
    <row r="1545" spans="1:45" ht="12.6" customHeight="1" x14ac:dyDescent="0.3">
      <c r="A1545" s="95" t="s">
        <v>125</v>
      </c>
      <c r="B1545" s="96" t="s">
        <v>125</v>
      </c>
      <c r="C1545" s="158">
        <f>C1614</f>
        <v>2049</v>
      </c>
      <c r="D1545" s="158">
        <f>D1614</f>
        <v>906</v>
      </c>
      <c r="E1545" s="158">
        <f>E1614</f>
        <v>600</v>
      </c>
      <c r="F1545" s="158">
        <f>F1614</f>
        <v>543</v>
      </c>
      <c r="G1545" s="36" t="str">
        <f>HYPERLINK("#G"&amp;ROW(G1578),"_x0005_`BDCOD|D02172_x0007_`POSS|"&amp;ROW(G1547)&amp;"_x0007_`POSE|"&amp;ROW(G1578)&amp;"_x0007_`")</f>
        <v>_x0005_`BDCOD|D02172_x0007_`POSS|1547_x0007_`POSE|1578_x0007_`</v>
      </c>
      <c r="Z1545" s="109"/>
      <c r="AA1545" s="109"/>
      <c r="AB1545" s="109"/>
      <c r="AC1545" s="109"/>
      <c r="AD1545" s="109"/>
      <c r="AE1545" s="109"/>
      <c r="AF1545" s="109"/>
      <c r="AG1545" s="109"/>
      <c r="AH1545" s="109"/>
      <c r="AI1545" s="109"/>
      <c r="AJ1545" s="109"/>
      <c r="AK1545" s="109"/>
      <c r="AL1545" s="109"/>
      <c r="AM1545" s="109"/>
      <c r="AN1545" s="109"/>
      <c r="AO1545" s="109"/>
      <c r="AP1545" s="109"/>
      <c r="AQ1545" s="109"/>
      <c r="AR1545" s="109"/>
      <c r="AS1545" s="109"/>
    </row>
    <row r="1546" spans="1:45" ht="12.6" customHeight="1" x14ac:dyDescent="0.3">
      <c r="A1546" s="84"/>
      <c r="B1546" s="96" t="s">
        <v>255</v>
      </c>
      <c r="C1546" s="141"/>
      <c r="D1546" s="141"/>
      <c r="E1546" s="141"/>
      <c r="F1546" s="141"/>
      <c r="M1546" s="20" t="s">
        <v>254</v>
      </c>
      <c r="Z1546" s="109"/>
      <c r="AA1546" s="109"/>
      <c r="AB1546" s="109"/>
      <c r="AC1546" s="109"/>
      <c r="AD1546" s="109"/>
      <c r="AE1546" s="109"/>
      <c r="AF1546" s="109"/>
      <c r="AG1546" s="109"/>
      <c r="AH1546" s="109"/>
      <c r="AI1546" s="109"/>
      <c r="AJ1546" s="109"/>
      <c r="AK1546" s="109"/>
      <c r="AL1546" s="109"/>
      <c r="AM1546" s="109"/>
      <c r="AN1546" s="109"/>
      <c r="AO1546" s="109"/>
      <c r="AP1546" s="109"/>
      <c r="AQ1546" s="109"/>
      <c r="AR1546" s="109"/>
      <c r="AS1546" s="109"/>
    </row>
    <row r="1547" spans="1:45" ht="12.6" customHeight="1" x14ac:dyDescent="0.3">
      <c r="A1547" s="68"/>
      <c r="B1547" s="77" t="s">
        <v>1867</v>
      </c>
      <c r="C1547" s="98"/>
      <c r="D1547" s="98"/>
      <c r="E1547" s="98"/>
      <c r="F1547" s="98"/>
      <c r="G1547" s="16" t="s">
        <v>1866</v>
      </c>
      <c r="Z1547" s="109"/>
      <c r="AA1547" s="109"/>
      <c r="AB1547" s="109"/>
      <c r="AC1547" s="109"/>
      <c r="AD1547" s="109"/>
      <c r="AE1547" s="109"/>
      <c r="AF1547" s="109"/>
      <c r="AG1547" s="109"/>
      <c r="AH1547" s="109"/>
      <c r="AI1547" s="109"/>
      <c r="AJ1547" s="109"/>
      <c r="AK1547" s="109"/>
      <c r="AL1547" s="109"/>
      <c r="AM1547" s="109"/>
      <c r="AN1547" s="109"/>
      <c r="AO1547" s="109"/>
      <c r="AP1547" s="109"/>
      <c r="AQ1547" s="109"/>
      <c r="AR1547" s="109"/>
      <c r="AS1547" s="109"/>
    </row>
    <row r="1548" spans="1:45" ht="12.6" customHeight="1" x14ac:dyDescent="0.3">
      <c r="A1548" s="78"/>
      <c r="B1548" s="78"/>
      <c r="C1548" s="78"/>
      <c r="D1548" s="78"/>
      <c r="E1548" s="78"/>
      <c r="F1548" s="78"/>
      <c r="G1548" s="16" t="s">
        <v>1317</v>
      </c>
      <c r="Z1548" s="109"/>
      <c r="AA1548" s="109"/>
      <c r="AB1548" s="109"/>
      <c r="AC1548" s="109"/>
      <c r="AD1548" s="109"/>
      <c r="AE1548" s="109"/>
      <c r="AF1548" s="109"/>
      <c r="AG1548" s="109"/>
      <c r="AH1548" s="109"/>
      <c r="AI1548" s="109"/>
      <c r="AJ1548" s="109"/>
      <c r="AK1548" s="109"/>
      <c r="AL1548" s="109"/>
      <c r="AM1548" s="109"/>
      <c r="AN1548" s="109"/>
      <c r="AO1548" s="109"/>
      <c r="AP1548" s="109"/>
      <c r="AQ1548" s="109"/>
      <c r="AR1548" s="109"/>
      <c r="AS1548" s="109"/>
    </row>
    <row r="1549" spans="1:45" ht="12.6" customHeight="1" x14ac:dyDescent="0.3">
      <c r="A1549" s="68"/>
      <c r="B1549" s="97" t="str">
        <f>"   도자 19 Ton     ( L1="&amp;Z1549&amp;" m) "</f>
        <v xml:space="preserve">   도자 19 Ton     ( L1=40.94 m) </v>
      </c>
      <c r="C1549" s="78"/>
      <c r="D1549" s="78"/>
      <c r="E1549" s="78"/>
      <c r="F1549" s="78"/>
      <c r="G1549" s="16" t="s">
        <v>1868</v>
      </c>
      <c r="Z1549" s="110">
        <v>40.94</v>
      </c>
      <c r="AA1549" s="20" t="s">
        <v>1326</v>
      </c>
      <c r="AB1549" s="112">
        <f>Z1549</f>
        <v>40.94</v>
      </c>
      <c r="AC1549" s="109"/>
      <c r="AD1549" s="109"/>
      <c r="AE1549" s="109"/>
      <c r="AF1549" s="109"/>
      <c r="AG1549" s="109"/>
      <c r="AH1549" s="109"/>
      <c r="AI1549" s="109"/>
      <c r="AJ1549" s="109"/>
      <c r="AK1549" s="109"/>
      <c r="AL1549" s="109"/>
      <c r="AM1549" s="109"/>
      <c r="AN1549" s="109"/>
      <c r="AO1549" s="109"/>
      <c r="AP1549" s="109"/>
      <c r="AQ1549" s="109"/>
      <c r="AR1549" s="109"/>
      <c r="AS1549" s="109"/>
    </row>
    <row r="1550" spans="1:45" ht="12.6" customHeight="1" x14ac:dyDescent="0.3">
      <c r="A1550" s="78"/>
      <c r="B1550" s="78"/>
      <c r="C1550" s="78"/>
      <c r="D1550" s="78"/>
      <c r="E1550" s="78"/>
      <c r="F1550" s="78"/>
      <c r="G1550" s="16" t="s">
        <v>1317</v>
      </c>
      <c r="Z1550" s="109"/>
      <c r="AA1550" s="109"/>
      <c r="AB1550" s="109"/>
      <c r="AC1550" s="109"/>
      <c r="AD1550" s="109"/>
      <c r="AE1550" s="109"/>
      <c r="AF1550" s="109"/>
      <c r="AG1550" s="109"/>
      <c r="AH1550" s="109"/>
      <c r="AI1550" s="109"/>
      <c r="AJ1550" s="109"/>
      <c r="AK1550" s="109"/>
      <c r="AL1550" s="109"/>
      <c r="AM1550" s="109"/>
      <c r="AN1550" s="109"/>
      <c r="AO1550" s="109"/>
      <c r="AP1550" s="109"/>
      <c r="AQ1550" s="109"/>
      <c r="AR1550" s="109"/>
      <c r="AS1550" s="109"/>
    </row>
    <row r="1551" spans="1:45" ht="12.6" customHeight="1" x14ac:dyDescent="0.3">
      <c r="A1551" s="68"/>
      <c r="B1551" s="97" t="str">
        <f>" L (운반거리) = L1-"&amp;AB1551&amp;"= "&amp;AD1551&amp;" m "</f>
        <v xml:space="preserve"> L (운반거리) = L1-20= 20.94 m </v>
      </c>
      <c r="C1551" s="78"/>
      <c r="D1551" s="78"/>
      <c r="E1551" s="78"/>
      <c r="F1551" s="78"/>
      <c r="G1551" s="16" t="s">
        <v>1869</v>
      </c>
      <c r="Z1551" s="112">
        <f>AB1549</f>
        <v>40.94</v>
      </c>
      <c r="AA1551" s="20" t="s">
        <v>1407</v>
      </c>
      <c r="AB1551" s="111">
        <v>20</v>
      </c>
      <c r="AC1551" s="20" t="s">
        <v>1326</v>
      </c>
      <c r="AD1551" s="112" t="str">
        <f>TEXT(ROUND(AB1549-AB1551,2),"0.00")</f>
        <v>20.94</v>
      </c>
      <c r="AE1551" s="109"/>
      <c r="AF1551" s="109"/>
      <c r="AG1551" s="109"/>
      <c r="AH1551" s="109"/>
      <c r="AI1551" s="109"/>
      <c r="AJ1551" s="109"/>
      <c r="AK1551" s="109"/>
      <c r="AL1551" s="109"/>
      <c r="AM1551" s="109"/>
      <c r="AN1551" s="109"/>
      <c r="AO1551" s="109"/>
      <c r="AP1551" s="109"/>
      <c r="AQ1551" s="109"/>
      <c r="AR1551" s="109"/>
      <c r="AS1551" s="109"/>
    </row>
    <row r="1552" spans="1:45" ht="12.6" customHeight="1" x14ac:dyDescent="0.3">
      <c r="A1552" s="78"/>
      <c r="B1552" s="78"/>
      <c r="C1552" s="78"/>
      <c r="D1552" s="78"/>
      <c r="E1552" s="78"/>
      <c r="F1552" s="78"/>
      <c r="G1552" s="16" t="s">
        <v>1317</v>
      </c>
      <c r="Z1552" s="109"/>
      <c r="AA1552" s="109"/>
      <c r="AB1552" s="109"/>
      <c r="AC1552" s="109"/>
      <c r="AD1552" s="109"/>
      <c r="AE1552" s="109"/>
      <c r="AF1552" s="109"/>
      <c r="AG1552" s="109"/>
      <c r="AH1552" s="109"/>
      <c r="AI1552" s="109"/>
      <c r="AJ1552" s="109"/>
      <c r="AK1552" s="109"/>
      <c r="AL1552" s="109"/>
      <c r="AM1552" s="109"/>
      <c r="AN1552" s="109"/>
      <c r="AO1552" s="109"/>
      <c r="AP1552" s="109"/>
      <c r="AQ1552" s="109"/>
      <c r="AR1552" s="109"/>
      <c r="AS1552" s="109"/>
    </row>
    <row r="1553" spans="1:45" ht="12.6" customHeight="1" x14ac:dyDescent="0.3">
      <c r="A1553" s="68"/>
      <c r="B1553" s="97" t="str">
        <f>" f (토량의 체적 환산계수)  = "&amp;Z1553&amp;"/"&amp;AB1553&amp;" = "&amp;AD1553&amp;""</f>
        <v xml:space="preserve"> f (토량의 체적 환산계수)  = 0.9/1.25 = 0.72</v>
      </c>
      <c r="C1553" s="78"/>
      <c r="D1553" s="78"/>
      <c r="E1553" s="78"/>
      <c r="F1553" s="78"/>
      <c r="G1553" s="16" t="s">
        <v>1870</v>
      </c>
      <c r="Z1553" s="110">
        <v>0.9</v>
      </c>
      <c r="AA1553" s="20" t="s">
        <v>1387</v>
      </c>
      <c r="AB1553" s="110">
        <v>1.25</v>
      </c>
      <c r="AC1553" s="20" t="s">
        <v>1326</v>
      </c>
      <c r="AD1553" s="112" t="str">
        <f>TEXT(ROUND(Z1553/AB1553,2),"0.00")</f>
        <v>0.72</v>
      </c>
      <c r="AE1553" s="109"/>
      <c r="AF1553" s="109"/>
      <c r="AG1553" s="109"/>
      <c r="AH1553" s="109"/>
      <c r="AI1553" s="109"/>
      <c r="AJ1553" s="109"/>
      <c r="AK1553" s="109"/>
      <c r="AL1553" s="109"/>
      <c r="AM1553" s="109"/>
      <c r="AN1553" s="109"/>
      <c r="AO1553" s="109"/>
      <c r="AP1553" s="109"/>
      <c r="AQ1553" s="109"/>
      <c r="AR1553" s="109"/>
      <c r="AS1553" s="109"/>
    </row>
    <row r="1554" spans="1:45" ht="12.6" customHeight="1" x14ac:dyDescent="0.3">
      <c r="A1554" s="78"/>
      <c r="B1554" s="78"/>
      <c r="C1554" s="78"/>
      <c r="D1554" s="78"/>
      <c r="E1554" s="78"/>
      <c r="F1554" s="78"/>
      <c r="G1554" s="16" t="s">
        <v>1317</v>
      </c>
      <c r="Z1554" s="109"/>
      <c r="AA1554" s="109"/>
      <c r="AB1554" s="109"/>
      <c r="AC1554" s="109"/>
      <c r="AD1554" s="109"/>
      <c r="AE1554" s="109"/>
      <c r="AF1554" s="109"/>
      <c r="AG1554" s="109"/>
      <c r="AH1554" s="109"/>
      <c r="AI1554" s="109"/>
      <c r="AJ1554" s="109"/>
      <c r="AK1554" s="109"/>
      <c r="AL1554" s="109"/>
      <c r="AM1554" s="109"/>
      <c r="AN1554" s="109"/>
      <c r="AO1554" s="109"/>
      <c r="AP1554" s="109"/>
      <c r="AQ1554" s="109"/>
      <c r="AR1554" s="109"/>
      <c r="AS1554" s="109"/>
    </row>
    <row r="1555" spans="1:45" ht="12.6" customHeight="1" x14ac:dyDescent="0.3">
      <c r="A1555" s="68"/>
      <c r="B1555" s="97" t="str">
        <f>" E (작업효율) = "&amp;Z1555&amp;" , qo (거리를 고려하지 않은 삽날의 용량) = "&amp;AD1555&amp;""</f>
        <v xml:space="preserve"> E (작업효율) = 0.45 , qo (거리를 고려하지 않은 삽날의 용량) = 3.2</v>
      </c>
      <c r="C1555" s="78"/>
      <c r="D1555" s="78"/>
      <c r="E1555" s="78"/>
      <c r="F1555" s="78"/>
      <c r="G1555" s="16" t="s">
        <v>1871</v>
      </c>
      <c r="Z1555" s="110">
        <v>0.45</v>
      </c>
      <c r="AA1555" s="20" t="s">
        <v>1326</v>
      </c>
      <c r="AB1555" s="112">
        <f>Z1555</f>
        <v>0.45</v>
      </c>
      <c r="AC1555" s="20" t="s">
        <v>1385</v>
      </c>
      <c r="AD1555" s="110">
        <v>3.2</v>
      </c>
      <c r="AE1555" s="20" t="s">
        <v>1326</v>
      </c>
      <c r="AF1555" s="112">
        <f>AD1555</f>
        <v>3.2</v>
      </c>
      <c r="AG1555" s="20" t="s">
        <v>1385</v>
      </c>
      <c r="AH1555" s="109"/>
      <c r="AI1555" s="109"/>
      <c r="AJ1555" s="109"/>
      <c r="AK1555" s="109"/>
      <c r="AL1555" s="109"/>
      <c r="AM1555" s="109"/>
      <c r="AN1555" s="109"/>
      <c r="AO1555" s="109"/>
      <c r="AP1555" s="109"/>
      <c r="AQ1555" s="109"/>
      <c r="AR1555" s="109"/>
      <c r="AS1555" s="109"/>
    </row>
    <row r="1556" spans="1:45" ht="12.6" customHeight="1" x14ac:dyDescent="0.3">
      <c r="A1556" s="78"/>
      <c r="B1556" s="78"/>
      <c r="C1556" s="78"/>
      <c r="D1556" s="78"/>
      <c r="E1556" s="78"/>
      <c r="F1556" s="78"/>
      <c r="G1556" s="16" t="s">
        <v>1317</v>
      </c>
      <c r="Z1556" s="109"/>
      <c r="AA1556" s="109"/>
      <c r="AB1556" s="109"/>
      <c r="AC1556" s="109"/>
      <c r="AD1556" s="109"/>
      <c r="AE1556" s="109"/>
      <c r="AF1556" s="109"/>
      <c r="AG1556" s="109"/>
      <c r="AH1556" s="109"/>
      <c r="AI1556" s="109"/>
      <c r="AJ1556" s="109"/>
      <c r="AK1556" s="109"/>
      <c r="AL1556" s="109"/>
      <c r="AM1556" s="109"/>
      <c r="AN1556" s="109"/>
      <c r="AO1556" s="109"/>
      <c r="AP1556" s="109"/>
      <c r="AQ1556" s="109"/>
      <c r="AR1556" s="109"/>
      <c r="AS1556" s="109"/>
    </row>
    <row r="1557" spans="1:45" ht="12.6" customHeight="1" x14ac:dyDescent="0.3">
      <c r="A1557" s="68"/>
      <c r="B1557" s="97" t="str">
        <f>" eo (운반거리계수) = "&amp;Z1557&amp;""</f>
        <v xml:space="preserve"> eo (운반거리계수) = 0.92</v>
      </c>
      <c r="C1557" s="78"/>
      <c r="D1557" s="78"/>
      <c r="E1557" s="78"/>
      <c r="F1557" s="78"/>
      <c r="G1557" s="16" t="s">
        <v>1872</v>
      </c>
      <c r="Z1557" s="110">
        <v>0.92</v>
      </c>
      <c r="AA1557" s="20" t="s">
        <v>1326</v>
      </c>
      <c r="AB1557" s="112">
        <f>Z1557</f>
        <v>0.92</v>
      </c>
      <c r="AC1557" s="109"/>
      <c r="AD1557" s="109"/>
      <c r="AE1557" s="109"/>
      <c r="AF1557" s="109"/>
      <c r="AG1557" s="109"/>
      <c r="AH1557" s="109"/>
      <c r="AI1557" s="109"/>
      <c r="AJ1557" s="109"/>
      <c r="AK1557" s="109"/>
      <c r="AL1557" s="109"/>
      <c r="AM1557" s="109"/>
      <c r="AN1557" s="109"/>
      <c r="AO1557" s="109"/>
      <c r="AP1557" s="109"/>
      <c r="AQ1557" s="109"/>
      <c r="AR1557" s="109"/>
      <c r="AS1557" s="109"/>
    </row>
    <row r="1558" spans="1:45" ht="12.6" customHeight="1" x14ac:dyDescent="0.3">
      <c r="A1558" s="78"/>
      <c r="B1558" s="78"/>
      <c r="C1558" s="78"/>
      <c r="D1558" s="78"/>
      <c r="E1558" s="78"/>
      <c r="F1558" s="78"/>
      <c r="G1558" s="16" t="s">
        <v>1317</v>
      </c>
      <c r="Z1558" s="109"/>
      <c r="AA1558" s="109"/>
      <c r="AB1558" s="109"/>
      <c r="AC1558" s="109"/>
      <c r="AD1558" s="109"/>
      <c r="AE1558" s="109"/>
      <c r="AF1558" s="109"/>
      <c r="AG1558" s="109"/>
      <c r="AH1558" s="109"/>
      <c r="AI1558" s="109"/>
      <c r="AJ1558" s="109"/>
      <c r="AK1558" s="109"/>
      <c r="AL1558" s="109"/>
      <c r="AM1558" s="109"/>
      <c r="AN1558" s="109"/>
      <c r="AO1558" s="109"/>
      <c r="AP1558" s="109"/>
      <c r="AQ1558" s="109"/>
      <c r="AR1558" s="109"/>
      <c r="AS1558" s="109"/>
    </row>
    <row r="1559" spans="1:45" ht="12.6" customHeight="1" x14ac:dyDescent="0.3">
      <c r="A1559" s="68"/>
      <c r="B1559" s="77" t="s">
        <v>1874</v>
      </c>
      <c r="C1559" s="78"/>
      <c r="D1559" s="78"/>
      <c r="E1559" s="78"/>
      <c r="F1559" s="78"/>
      <c r="G1559" s="16" t="s">
        <v>1873</v>
      </c>
      <c r="Z1559" s="109"/>
      <c r="AA1559" s="109"/>
      <c r="AB1559" s="109"/>
      <c r="AC1559" s="109"/>
      <c r="AD1559" s="109"/>
      <c r="AE1559" s="109"/>
      <c r="AF1559" s="109"/>
      <c r="AG1559" s="109"/>
      <c r="AH1559" s="109"/>
      <c r="AI1559" s="109"/>
      <c r="AJ1559" s="109"/>
      <c r="AK1559" s="109"/>
      <c r="AL1559" s="109"/>
      <c r="AM1559" s="109"/>
      <c r="AN1559" s="109"/>
      <c r="AO1559" s="109"/>
      <c r="AP1559" s="109"/>
      <c r="AQ1559" s="109"/>
      <c r="AR1559" s="109"/>
      <c r="AS1559" s="109"/>
    </row>
    <row r="1560" spans="1:45" ht="12.6" customHeight="1" x14ac:dyDescent="0.3">
      <c r="A1560" s="78"/>
      <c r="B1560" s="78"/>
      <c r="C1560" s="78"/>
      <c r="D1560" s="78"/>
      <c r="E1560" s="78"/>
      <c r="F1560" s="78"/>
      <c r="G1560" s="16" t="s">
        <v>1317</v>
      </c>
      <c r="Z1560" s="109"/>
      <c r="AA1560" s="109"/>
      <c r="AB1560" s="109"/>
      <c r="AC1560" s="109"/>
      <c r="AD1560" s="109"/>
      <c r="AE1560" s="109"/>
      <c r="AF1560" s="109"/>
      <c r="AG1560" s="109"/>
      <c r="AH1560" s="109"/>
      <c r="AI1560" s="109"/>
      <c r="AJ1560" s="109"/>
      <c r="AK1560" s="109"/>
      <c r="AL1560" s="109"/>
      <c r="AM1560" s="109"/>
      <c r="AN1560" s="109"/>
      <c r="AO1560" s="109"/>
      <c r="AP1560" s="109"/>
      <c r="AQ1560" s="109"/>
      <c r="AR1560" s="109"/>
      <c r="AS1560" s="109"/>
    </row>
    <row r="1561" spans="1:45" ht="12.6" customHeight="1" x14ac:dyDescent="0.3">
      <c r="A1561" s="68"/>
      <c r="B1561" s="77" t="s">
        <v>1876</v>
      </c>
      <c r="C1561" s="78"/>
      <c r="D1561" s="78"/>
      <c r="E1561" s="78"/>
      <c r="F1561" s="78"/>
      <c r="G1561" s="16" t="s">
        <v>1875</v>
      </c>
      <c r="Z1561" s="109"/>
      <c r="AA1561" s="109"/>
      <c r="AB1561" s="109"/>
      <c r="AC1561" s="109"/>
      <c r="AD1561" s="109"/>
      <c r="AE1561" s="109"/>
      <c r="AF1561" s="109"/>
      <c r="AG1561" s="109"/>
      <c r="AH1561" s="109"/>
      <c r="AI1561" s="109"/>
      <c r="AJ1561" s="109"/>
      <c r="AK1561" s="109"/>
      <c r="AL1561" s="109"/>
      <c r="AM1561" s="109"/>
      <c r="AN1561" s="109"/>
      <c r="AO1561" s="109"/>
      <c r="AP1561" s="109"/>
      <c r="AQ1561" s="109"/>
      <c r="AR1561" s="109"/>
      <c r="AS1561" s="109"/>
    </row>
    <row r="1562" spans="1:45" ht="12.6" customHeight="1" x14ac:dyDescent="0.3">
      <c r="A1562" s="78"/>
      <c r="B1562" s="78"/>
      <c r="C1562" s="78"/>
      <c r="D1562" s="78"/>
      <c r="E1562" s="78"/>
      <c r="F1562" s="78"/>
      <c r="G1562" s="16" t="s">
        <v>1317</v>
      </c>
      <c r="Z1562" s="109"/>
      <c r="AA1562" s="109"/>
      <c r="AB1562" s="109"/>
      <c r="AC1562" s="109"/>
      <c r="AD1562" s="109"/>
      <c r="AE1562" s="109"/>
      <c r="AF1562" s="109"/>
      <c r="AG1562" s="109"/>
      <c r="AH1562" s="109"/>
      <c r="AI1562" s="109"/>
      <c r="AJ1562" s="109"/>
      <c r="AK1562" s="109"/>
      <c r="AL1562" s="109"/>
      <c r="AM1562" s="109"/>
      <c r="AN1562" s="109"/>
      <c r="AO1562" s="109"/>
      <c r="AP1562" s="109"/>
      <c r="AQ1562" s="109"/>
      <c r="AR1562" s="109"/>
      <c r="AS1562" s="109"/>
    </row>
    <row r="1563" spans="1:45" ht="12.6" customHeight="1" x14ac:dyDescent="0.3">
      <c r="A1563" s="68"/>
      <c r="B1563" s="97" t="str">
        <f>" P=qo*eo= "&amp;AD1563&amp;""</f>
        <v xml:space="preserve"> P=qo*eo= 2.94</v>
      </c>
      <c r="C1563" s="78"/>
      <c r="D1563" s="78"/>
      <c r="E1563" s="78"/>
      <c r="F1563" s="78"/>
      <c r="G1563" s="16" t="s">
        <v>1877</v>
      </c>
      <c r="Z1563" s="112">
        <f>AF1555</f>
        <v>3.2</v>
      </c>
      <c r="AA1563" s="20" t="s">
        <v>1390</v>
      </c>
      <c r="AB1563" s="112">
        <f>AB1557</f>
        <v>0.92</v>
      </c>
      <c r="AC1563" s="20" t="s">
        <v>1326</v>
      </c>
      <c r="AD1563" s="112" t="str">
        <f>TEXT(ROUND(AF1555*AB1557,2),"0.00")</f>
        <v>2.94</v>
      </c>
      <c r="AE1563" s="109"/>
      <c r="AF1563" s="109"/>
      <c r="AG1563" s="109"/>
      <c r="AH1563" s="109"/>
      <c r="AI1563" s="109"/>
      <c r="AJ1563" s="109"/>
      <c r="AK1563" s="109"/>
      <c r="AL1563" s="109"/>
      <c r="AM1563" s="109"/>
      <c r="AN1563" s="109"/>
      <c r="AO1563" s="109"/>
      <c r="AP1563" s="109"/>
      <c r="AQ1563" s="109"/>
      <c r="AR1563" s="109"/>
      <c r="AS1563" s="109"/>
    </row>
    <row r="1564" spans="1:45" ht="12.6" customHeight="1" x14ac:dyDescent="0.3">
      <c r="A1564" s="78"/>
      <c r="B1564" s="78"/>
      <c r="C1564" s="78"/>
      <c r="D1564" s="78"/>
      <c r="E1564" s="78"/>
      <c r="F1564" s="78"/>
      <c r="G1564" s="16" t="s">
        <v>1317</v>
      </c>
      <c r="Z1564" s="109"/>
      <c r="AA1564" s="109"/>
      <c r="AB1564" s="109"/>
      <c r="AC1564" s="109"/>
      <c r="AD1564" s="109"/>
      <c r="AE1564" s="109"/>
      <c r="AF1564" s="109"/>
      <c r="AG1564" s="109"/>
      <c r="AH1564" s="109"/>
      <c r="AI1564" s="109"/>
      <c r="AJ1564" s="109"/>
      <c r="AK1564" s="109"/>
      <c r="AL1564" s="109"/>
      <c r="AM1564" s="109"/>
      <c r="AN1564" s="109"/>
      <c r="AO1564" s="109"/>
      <c r="AP1564" s="109"/>
      <c r="AQ1564" s="109"/>
      <c r="AR1564" s="109"/>
      <c r="AS1564" s="109"/>
    </row>
    <row r="1565" spans="1:45" ht="12.6" customHeight="1" x14ac:dyDescent="0.3">
      <c r="A1565" s="68"/>
      <c r="B1565" s="97" t="str">
        <f>" V1 (전진속도) = "&amp;Z1565&amp;" m/min  , V2 (후진속도) = "&amp;AD1565&amp;" m/min "</f>
        <v xml:space="preserve"> V1 (전진속도) = 55 m/min  , V2 (후진속도) = 70 m/min </v>
      </c>
      <c r="C1565" s="78"/>
      <c r="D1565" s="78"/>
      <c r="E1565" s="78"/>
      <c r="F1565" s="78"/>
      <c r="G1565" s="16" t="s">
        <v>1878</v>
      </c>
      <c r="Z1565" s="111">
        <v>55</v>
      </c>
      <c r="AA1565" s="20" t="s">
        <v>1326</v>
      </c>
      <c r="AB1565" s="112">
        <f>Z1565</f>
        <v>55</v>
      </c>
      <c r="AC1565" s="20" t="s">
        <v>1385</v>
      </c>
      <c r="AD1565" s="111">
        <v>70</v>
      </c>
      <c r="AE1565" s="20" t="s">
        <v>1326</v>
      </c>
      <c r="AF1565" s="112">
        <f>AD1565</f>
        <v>70</v>
      </c>
      <c r="AG1565" s="20" t="s">
        <v>1385</v>
      </c>
      <c r="AH1565" s="109"/>
      <c r="AI1565" s="109"/>
      <c r="AJ1565" s="109"/>
      <c r="AK1565" s="109"/>
      <c r="AL1565" s="109"/>
      <c r="AM1565" s="109"/>
      <c r="AN1565" s="109"/>
      <c r="AO1565" s="109"/>
      <c r="AP1565" s="109"/>
      <c r="AQ1565" s="109"/>
      <c r="AR1565" s="109"/>
      <c r="AS1565" s="109"/>
    </row>
    <row r="1566" spans="1:45" ht="12.6" customHeight="1" x14ac:dyDescent="0.3">
      <c r="A1566" s="78"/>
      <c r="B1566" s="78"/>
      <c r="C1566" s="78"/>
      <c r="D1566" s="78"/>
      <c r="E1566" s="78"/>
      <c r="F1566" s="78"/>
      <c r="G1566" s="16" t="s">
        <v>1317</v>
      </c>
      <c r="Z1566" s="109"/>
      <c r="AA1566" s="109"/>
      <c r="AB1566" s="109"/>
      <c r="AC1566" s="109"/>
      <c r="AD1566" s="109"/>
      <c r="AE1566" s="109"/>
      <c r="AF1566" s="109"/>
      <c r="AG1566" s="109"/>
      <c r="AH1566" s="109"/>
      <c r="AI1566" s="109"/>
      <c r="AJ1566" s="109"/>
      <c r="AK1566" s="109"/>
      <c r="AL1566" s="109"/>
      <c r="AM1566" s="109"/>
      <c r="AN1566" s="109"/>
      <c r="AO1566" s="109"/>
      <c r="AP1566" s="109"/>
      <c r="AQ1566" s="109"/>
      <c r="AR1566" s="109"/>
      <c r="AS1566" s="109"/>
    </row>
    <row r="1567" spans="1:45" ht="12.6" customHeight="1" x14ac:dyDescent="0.3">
      <c r="A1567" s="68"/>
      <c r="B1567" s="97" t="str">
        <f>" Cm (1회 사이클 시간(분)) = L/V1 + L/V2 + "&amp;AH1567&amp;" = "&amp;AJ1567&amp;" 분 "</f>
        <v xml:space="preserve"> Cm (1회 사이클 시간(분)) = L/V1 + L/V2 + 0.25 = 0.93 분 </v>
      </c>
      <c r="C1567" s="78"/>
      <c r="D1567" s="78"/>
      <c r="E1567" s="78"/>
      <c r="F1567" s="78"/>
      <c r="G1567" s="16" t="s">
        <v>1879</v>
      </c>
      <c r="Z1567" s="112" t="str">
        <f>AD1551</f>
        <v>20.94</v>
      </c>
      <c r="AA1567" s="20" t="s">
        <v>1387</v>
      </c>
      <c r="AB1567" s="112">
        <f>AB1565</f>
        <v>55</v>
      </c>
      <c r="AC1567" s="20" t="s">
        <v>1535</v>
      </c>
      <c r="AD1567" s="112" t="str">
        <f>AD1551</f>
        <v>20.94</v>
      </c>
      <c r="AE1567" s="20" t="s">
        <v>1387</v>
      </c>
      <c r="AF1567" s="112">
        <f>AF1565</f>
        <v>70</v>
      </c>
      <c r="AG1567" s="20" t="s">
        <v>1535</v>
      </c>
      <c r="AH1567" s="110">
        <v>0.25</v>
      </c>
      <c r="AI1567" s="20" t="s">
        <v>1326</v>
      </c>
      <c r="AJ1567" s="112" t="str">
        <f>TEXT(ROUND(AD1551/AB1565+AD1551/AF1565+AH1567,2),"0.00")</f>
        <v>0.93</v>
      </c>
      <c r="AK1567" s="109"/>
      <c r="AL1567" s="109"/>
      <c r="AM1567" s="109"/>
      <c r="AN1567" s="109"/>
      <c r="AO1567" s="109"/>
      <c r="AP1567" s="109"/>
      <c r="AQ1567" s="109"/>
      <c r="AR1567" s="109"/>
      <c r="AS1567" s="109"/>
    </row>
    <row r="1568" spans="1:45" ht="12.6" customHeight="1" x14ac:dyDescent="0.3">
      <c r="A1568" s="78"/>
      <c r="B1568" s="78"/>
      <c r="C1568" s="78"/>
      <c r="D1568" s="78"/>
      <c r="E1568" s="78"/>
      <c r="F1568" s="78"/>
      <c r="G1568" s="16" t="s">
        <v>1317</v>
      </c>
      <c r="Z1568" s="109"/>
      <c r="AA1568" s="109"/>
      <c r="AB1568" s="109"/>
      <c r="AC1568" s="109"/>
      <c r="AD1568" s="109"/>
      <c r="AE1568" s="109"/>
      <c r="AF1568" s="109"/>
      <c r="AG1568" s="109"/>
      <c r="AH1568" s="109"/>
      <c r="AI1568" s="109"/>
      <c r="AJ1568" s="109"/>
      <c r="AK1568" s="109"/>
      <c r="AL1568" s="109"/>
      <c r="AM1568" s="109"/>
      <c r="AN1568" s="109"/>
      <c r="AO1568" s="109"/>
      <c r="AP1568" s="109"/>
      <c r="AQ1568" s="109"/>
      <c r="AR1568" s="109"/>
      <c r="AS1568" s="109"/>
    </row>
    <row r="1569" spans="1:45" ht="12.6" customHeight="1" x14ac:dyDescent="0.3">
      <c r="A1569" s="68"/>
      <c r="B1569" s="97" t="str">
        <f>" Q  (시간당 작업량) = "&amp;Z1569&amp;" * P * f * E / Cm = "&amp;AJ1569&amp;" m3/hr "</f>
        <v xml:space="preserve"> Q  (시간당 작업량) = 60 * P * f * E / Cm = 61.46 m3/hr </v>
      </c>
      <c r="C1569" s="78"/>
      <c r="D1569" s="78"/>
      <c r="E1569" s="78"/>
      <c r="F1569" s="78"/>
      <c r="G1569" s="16" t="s">
        <v>1880</v>
      </c>
      <c r="Z1569" s="111">
        <v>60</v>
      </c>
      <c r="AA1569" s="20" t="s">
        <v>1390</v>
      </c>
      <c r="AB1569" s="112" t="str">
        <f>AD1563</f>
        <v>2.94</v>
      </c>
      <c r="AC1569" s="20" t="s">
        <v>1390</v>
      </c>
      <c r="AD1569" s="112" t="str">
        <f>AD1553</f>
        <v>0.72</v>
      </c>
      <c r="AE1569" s="20" t="s">
        <v>1390</v>
      </c>
      <c r="AF1569" s="112">
        <f>AB1555</f>
        <v>0.45</v>
      </c>
      <c r="AG1569" s="20" t="s">
        <v>1387</v>
      </c>
      <c r="AH1569" s="112" t="str">
        <f>AJ1567</f>
        <v>0.93</v>
      </c>
      <c r="AI1569" s="20" t="s">
        <v>1326</v>
      </c>
      <c r="AJ1569" s="112" t="str">
        <f>TEXT(ROUND(Z1569*AD1563*AD1553*AB1555/AJ1567,2),"0.00")</f>
        <v>61.46</v>
      </c>
      <c r="AK1569" s="109"/>
      <c r="AL1569" s="109"/>
      <c r="AM1569" s="109"/>
      <c r="AN1569" s="109"/>
      <c r="AO1569" s="109"/>
      <c r="AP1569" s="109"/>
      <c r="AQ1569" s="109"/>
      <c r="AR1569" s="109"/>
      <c r="AS1569" s="109"/>
    </row>
    <row r="1570" spans="1:45" ht="12.6" customHeight="1" x14ac:dyDescent="0.3">
      <c r="A1570" s="78"/>
      <c r="B1570" s="78"/>
      <c r="C1570" s="78"/>
      <c r="D1570" s="78"/>
      <c r="E1570" s="78"/>
      <c r="F1570" s="78"/>
      <c r="G1570" s="16" t="s">
        <v>1317</v>
      </c>
      <c r="Z1570" s="109"/>
      <c r="AA1570" s="109"/>
      <c r="AB1570" s="109"/>
      <c r="AC1570" s="109"/>
      <c r="AD1570" s="109"/>
      <c r="AE1570" s="109"/>
      <c r="AF1570" s="109"/>
      <c r="AG1570" s="109"/>
      <c r="AH1570" s="109"/>
      <c r="AI1570" s="109"/>
      <c r="AJ1570" s="109"/>
      <c r="AK1570" s="109"/>
      <c r="AL1570" s="109"/>
      <c r="AM1570" s="109"/>
      <c r="AN1570" s="109"/>
      <c r="AO1570" s="109"/>
      <c r="AP1570" s="109"/>
      <c r="AQ1570" s="109"/>
      <c r="AR1570" s="109"/>
      <c r="AS1570" s="109"/>
    </row>
    <row r="1571" spans="1:45" ht="12.6" customHeight="1" x14ac:dyDescent="0.3">
      <c r="A1571" s="78"/>
      <c r="B1571" s="78"/>
      <c r="C1571" s="78"/>
      <c r="D1571" s="78"/>
      <c r="E1571" s="78"/>
      <c r="F1571" s="78"/>
      <c r="G1571" s="16" t="s">
        <v>1317</v>
      </c>
      <c r="Z1571" s="109"/>
      <c r="AA1571" s="109"/>
      <c r="AB1571" s="109"/>
      <c r="AC1571" s="109"/>
      <c r="AD1571" s="109"/>
      <c r="AE1571" s="109"/>
      <c r="AF1571" s="109"/>
      <c r="AG1571" s="109"/>
      <c r="AH1571" s="109"/>
      <c r="AI1571" s="109"/>
      <c r="AJ1571" s="109"/>
      <c r="AK1571" s="109"/>
      <c r="AL1571" s="109"/>
      <c r="AM1571" s="109"/>
      <c r="AN1571" s="109"/>
      <c r="AO1571" s="109"/>
      <c r="AP1571" s="109"/>
      <c r="AQ1571" s="109"/>
      <c r="AR1571" s="109"/>
      <c r="AS1571" s="109"/>
    </row>
    <row r="1572" spans="1:45" ht="12.6" customHeight="1" x14ac:dyDescent="0.3">
      <c r="A1572" s="68" t="s">
        <v>1882</v>
      </c>
      <c r="B1572" s="97" t="str">
        <f>" 노 무 비  :   "&amp;TEXT(I1572,"#,##0"&amp;IF(I1572&lt;&gt;INT(I1572),".###",""))&amp;" / Q = "&amp;TEXT(C1572,"#,##0.0")&amp;""</f>
        <v xml:space="preserve"> 노 무 비  :   55,700 / Q = 906.2</v>
      </c>
      <c r="C1572" s="99">
        <f>E1572+D1572+F1572</f>
        <v>906.2</v>
      </c>
      <c r="D1572" s="99">
        <f>IF(H1572=0,0,ROUNDDOWN(J1572*H1572,1))</f>
        <v>906.2</v>
      </c>
      <c r="E1572" s="99">
        <f>IF(H1572=0,0,ROUNDDOWN(K1572*H1572,1))</f>
        <v>0</v>
      </c>
      <c r="F1572" s="99">
        <f>IF(H1572=0,0,ROUNDDOWN(L1572*H1572,1))</f>
        <v>0</v>
      </c>
      <c r="G1572" s="16" t="s">
        <v>1881</v>
      </c>
      <c r="H1572" s="105">
        <f>AC1572</f>
        <v>1.6270745200130166E-2</v>
      </c>
      <c r="I1572" s="106">
        <f>K1572+J1572+L1572</f>
        <v>55700</v>
      </c>
      <c r="J1572" s="39">
        <f>중기목록표!F4</f>
        <v>55700</v>
      </c>
      <c r="M1572" s="20" t="s">
        <v>1883</v>
      </c>
      <c r="N1572" s="20" t="s">
        <v>1332</v>
      </c>
      <c r="X1572" s="108" t="str">
        <f>중기목록표!B4&amp;" / "&amp;중기목록표!C4</f>
        <v>불도우저19ton / (토사)</v>
      </c>
      <c r="Y1572" s="19" t="str">
        <f ca="1">HYPERLINK("#"&amp;중기목록표!J2&amp;"!A"&amp;ROW(중기목록표!A4),"중기    1 →")</f>
        <v>중기    1 →</v>
      </c>
      <c r="Z1572" s="20" t="s">
        <v>1393</v>
      </c>
      <c r="AA1572" s="112" t="str">
        <f>AJ1569</f>
        <v>61.46</v>
      </c>
      <c r="AB1572" s="20" t="s">
        <v>1326</v>
      </c>
      <c r="AC1572" s="113">
        <f>1/AJ1569</f>
        <v>1.6270745200130166E-2</v>
      </c>
      <c r="AD1572" s="109"/>
      <c r="AE1572" s="109"/>
      <c r="AF1572" s="109"/>
      <c r="AG1572" s="109"/>
      <c r="AH1572" s="109"/>
      <c r="AI1572" s="109"/>
      <c r="AJ1572" s="109"/>
      <c r="AK1572" s="109"/>
      <c r="AL1572" s="109"/>
      <c r="AM1572" s="109"/>
      <c r="AN1572" s="109"/>
      <c r="AO1572" s="109"/>
      <c r="AP1572" s="109"/>
      <c r="AQ1572" s="109"/>
      <c r="AR1572" s="109"/>
      <c r="AS1572" s="109"/>
    </row>
    <row r="1573" spans="1:45" ht="12.6" customHeight="1" x14ac:dyDescent="0.3">
      <c r="A1573" s="78"/>
      <c r="B1573" s="78"/>
      <c r="C1573" s="78"/>
      <c r="D1573" s="78"/>
      <c r="E1573" s="78"/>
      <c r="F1573" s="78"/>
      <c r="G1573" s="16" t="s">
        <v>1317</v>
      </c>
      <c r="Z1573" s="109"/>
      <c r="AA1573" s="109"/>
      <c r="AB1573" s="109"/>
      <c r="AC1573" s="109"/>
      <c r="AD1573" s="109"/>
      <c r="AE1573" s="109"/>
      <c r="AF1573" s="109"/>
      <c r="AG1573" s="109"/>
      <c r="AH1573" s="109"/>
      <c r="AI1573" s="109"/>
      <c r="AJ1573" s="109"/>
      <c r="AK1573" s="109"/>
      <c r="AL1573" s="109"/>
      <c r="AM1573" s="109"/>
      <c r="AN1573" s="109"/>
      <c r="AO1573" s="109"/>
      <c r="AP1573" s="109"/>
      <c r="AQ1573" s="109"/>
      <c r="AR1573" s="109"/>
      <c r="AS1573" s="109"/>
    </row>
    <row r="1574" spans="1:45" ht="12.6" customHeight="1" x14ac:dyDescent="0.3">
      <c r="A1574" s="68" t="s">
        <v>1885</v>
      </c>
      <c r="B1574" s="97" t="str">
        <f>" 재 료 비  :   "&amp;TEXT(I1574,"#,##0"&amp;IF(I1574&lt;&gt;INT(I1574),".###",""))&amp;" / Q = "&amp;TEXT(C1574,"#,##0.0")&amp;""</f>
        <v xml:space="preserve"> 재 료 비  :   36,888 / Q = 600.1</v>
      </c>
      <c r="C1574" s="99">
        <f>E1574+D1574+F1574</f>
        <v>600.1</v>
      </c>
      <c r="D1574" s="99">
        <f>IF(H1574=0,0,ROUNDDOWN(J1574*H1574,1))</f>
        <v>0</v>
      </c>
      <c r="E1574" s="99">
        <f>IF(H1574=0,0,ROUNDDOWN(K1574*H1574,1))</f>
        <v>600.1</v>
      </c>
      <c r="F1574" s="99">
        <f>IF(H1574=0,0,ROUNDDOWN(L1574*H1574,1))</f>
        <v>0</v>
      </c>
      <c r="G1574" s="16" t="s">
        <v>1884</v>
      </c>
      <c r="H1574" s="105">
        <f>AC1574</f>
        <v>1.6270745200130166E-2</v>
      </c>
      <c r="I1574" s="106">
        <f>K1574+J1574+L1574</f>
        <v>36888</v>
      </c>
      <c r="K1574" s="39">
        <f>중기목록표!G4</f>
        <v>36888</v>
      </c>
      <c r="M1574" s="20" t="s">
        <v>1883</v>
      </c>
      <c r="N1574" s="20" t="s">
        <v>1332</v>
      </c>
      <c r="X1574" s="108" t="str">
        <f>중기목록표!B4&amp;" / "&amp;중기목록표!C4</f>
        <v>불도우저19ton / (토사)</v>
      </c>
      <c r="Y1574" s="19" t="str">
        <f ca="1">HYPERLINK("#"&amp;중기목록표!J2&amp;"!A"&amp;ROW(중기목록표!A4),"중기    1 →")</f>
        <v>중기    1 →</v>
      </c>
      <c r="Z1574" s="20" t="s">
        <v>1393</v>
      </c>
      <c r="AA1574" s="112" t="str">
        <f>AJ1569</f>
        <v>61.46</v>
      </c>
      <c r="AB1574" s="20" t="s">
        <v>1326</v>
      </c>
      <c r="AC1574" s="113">
        <f>1/AJ1569</f>
        <v>1.6270745200130166E-2</v>
      </c>
      <c r="AD1574" s="109"/>
      <c r="AE1574" s="109"/>
      <c r="AF1574" s="109"/>
      <c r="AG1574" s="109"/>
      <c r="AH1574" s="109"/>
      <c r="AI1574" s="109"/>
      <c r="AJ1574" s="109"/>
      <c r="AK1574" s="109"/>
      <c r="AL1574" s="109"/>
      <c r="AM1574" s="109"/>
      <c r="AN1574" s="109"/>
      <c r="AO1574" s="109"/>
      <c r="AP1574" s="109"/>
      <c r="AQ1574" s="109"/>
      <c r="AR1574" s="109"/>
      <c r="AS1574" s="109"/>
    </row>
    <row r="1575" spans="1:45" ht="12.6" customHeight="1" x14ac:dyDescent="0.3">
      <c r="A1575" s="78"/>
      <c r="B1575" s="78"/>
      <c r="C1575" s="78"/>
      <c r="D1575" s="78"/>
      <c r="E1575" s="78"/>
      <c r="F1575" s="78"/>
      <c r="G1575" s="16" t="s">
        <v>1317</v>
      </c>
      <c r="Z1575" s="109"/>
      <c r="AA1575" s="109"/>
      <c r="AB1575" s="109"/>
      <c r="AC1575" s="109"/>
      <c r="AD1575" s="109"/>
      <c r="AE1575" s="109"/>
      <c r="AF1575" s="109"/>
      <c r="AG1575" s="109"/>
      <c r="AH1575" s="109"/>
      <c r="AI1575" s="109"/>
      <c r="AJ1575" s="109"/>
      <c r="AK1575" s="109"/>
      <c r="AL1575" s="109"/>
      <c r="AM1575" s="109"/>
      <c r="AN1575" s="109"/>
      <c r="AO1575" s="109"/>
      <c r="AP1575" s="109"/>
      <c r="AQ1575" s="109"/>
      <c r="AR1575" s="109"/>
      <c r="AS1575" s="109"/>
    </row>
    <row r="1576" spans="1:45" ht="12.6" customHeight="1" x14ac:dyDescent="0.3">
      <c r="A1576" s="68" t="s">
        <v>1887</v>
      </c>
      <c r="B1576" s="97" t="str">
        <f>" 경    비  :   "&amp;TEXT(I1576,"#,##0"&amp;IF(I1576&lt;&gt;INT(I1576),".###",""))&amp;" / Q = "&amp;TEXT(C1576,"#,##0.0")&amp;""</f>
        <v xml:space="preserve"> 경    비  :   33,412 / Q = 543.6</v>
      </c>
      <c r="C1576" s="99">
        <f>E1576+D1576+F1576</f>
        <v>543.6</v>
      </c>
      <c r="D1576" s="99">
        <f>IF(H1576=0,0,ROUNDDOWN(J1576*H1576,1))</f>
        <v>0</v>
      </c>
      <c r="E1576" s="99">
        <f>IF(H1576=0,0,ROUNDDOWN(K1576*H1576,1))</f>
        <v>0</v>
      </c>
      <c r="F1576" s="99">
        <f>IF(H1576=0,0,ROUNDDOWN(L1576*H1576,1))</f>
        <v>543.6</v>
      </c>
      <c r="G1576" s="16" t="s">
        <v>1886</v>
      </c>
      <c r="H1576" s="105">
        <f>AC1576</f>
        <v>1.6270745200130166E-2</v>
      </c>
      <c r="I1576" s="106">
        <f>K1576+J1576+L1576</f>
        <v>33412</v>
      </c>
      <c r="L1576" s="39">
        <f>중기목록표!H4</f>
        <v>33412</v>
      </c>
      <c r="M1576" s="20" t="s">
        <v>1883</v>
      </c>
      <c r="N1576" s="20" t="s">
        <v>1332</v>
      </c>
      <c r="X1576" s="108" t="str">
        <f>중기목록표!B4&amp;" / "&amp;중기목록표!C4</f>
        <v>불도우저19ton / (토사)</v>
      </c>
      <c r="Y1576" s="19" t="str">
        <f ca="1">HYPERLINK("#"&amp;중기목록표!J2&amp;"!A"&amp;ROW(중기목록표!A4),"중기    1 →")</f>
        <v>중기    1 →</v>
      </c>
      <c r="Z1576" s="20" t="s">
        <v>1393</v>
      </c>
      <c r="AA1576" s="112" t="str">
        <f>AJ1569</f>
        <v>61.46</v>
      </c>
      <c r="AB1576" s="20" t="s">
        <v>1326</v>
      </c>
      <c r="AC1576" s="113">
        <f>1/AJ1569</f>
        <v>1.6270745200130166E-2</v>
      </c>
      <c r="AD1576" s="109"/>
      <c r="AE1576" s="109"/>
      <c r="AF1576" s="109"/>
      <c r="AG1576" s="109"/>
      <c r="AH1576" s="109"/>
      <c r="AI1576" s="109"/>
      <c r="AJ1576" s="109"/>
      <c r="AK1576" s="109"/>
      <c r="AL1576" s="109"/>
      <c r="AM1576" s="109"/>
      <c r="AN1576" s="109"/>
      <c r="AO1576" s="109"/>
      <c r="AP1576" s="109"/>
      <c r="AQ1576" s="109"/>
      <c r="AR1576" s="109"/>
      <c r="AS1576" s="109"/>
    </row>
    <row r="1577" spans="1:45" ht="12.6" customHeight="1" x14ac:dyDescent="0.3">
      <c r="A1577" s="78"/>
      <c r="B1577" s="78"/>
      <c r="C1577" s="78"/>
      <c r="D1577" s="78"/>
      <c r="E1577" s="78"/>
      <c r="F1577" s="78"/>
      <c r="G1577" s="16" t="s">
        <v>1317</v>
      </c>
      <c r="Z1577" s="109"/>
      <c r="AA1577" s="109"/>
      <c r="AB1577" s="109"/>
      <c r="AC1577" s="109"/>
      <c r="AD1577" s="109"/>
      <c r="AE1577" s="109"/>
      <c r="AF1577" s="109"/>
      <c r="AG1577" s="109"/>
      <c r="AH1577" s="109"/>
      <c r="AI1577" s="109"/>
      <c r="AJ1577" s="109"/>
      <c r="AK1577" s="109"/>
      <c r="AL1577" s="109"/>
      <c r="AM1577" s="109"/>
      <c r="AN1577" s="109"/>
      <c r="AO1577" s="109"/>
      <c r="AP1577" s="109"/>
      <c r="AQ1577" s="109"/>
      <c r="AR1577" s="109"/>
      <c r="AS1577" s="109"/>
    </row>
    <row r="1578" spans="1:45" ht="12.6" customHeight="1" x14ac:dyDescent="0.3">
      <c r="A1578" s="68"/>
      <c r="B1578" s="77" t="s">
        <v>1331</v>
      </c>
      <c r="C1578" s="100">
        <f>E1578+D1578+F1578</f>
        <v>2049.9</v>
      </c>
      <c r="D1578" s="100">
        <f>SUMIF(N1547:N1577,M1578,D1547:D1577)</f>
        <v>906.2</v>
      </c>
      <c r="E1578" s="100">
        <f>SUMIF(N1547:N1577,M1578,E1547:E1577)</f>
        <v>600.1</v>
      </c>
      <c r="F1578" s="100">
        <f>SUMIF(N1547:N1577,M1578,F1547:F1577)</f>
        <v>543.6</v>
      </c>
      <c r="G1578" s="16" t="s">
        <v>1415</v>
      </c>
      <c r="M1578" s="20" t="s">
        <v>1332</v>
      </c>
      <c r="N1578" s="20" t="s">
        <v>1128</v>
      </c>
      <c r="Z1578" s="109"/>
      <c r="AA1578" s="109"/>
      <c r="AB1578" s="109"/>
      <c r="AC1578" s="109"/>
      <c r="AD1578" s="109"/>
      <c r="AE1578" s="109"/>
      <c r="AF1578" s="109"/>
      <c r="AG1578" s="109"/>
      <c r="AH1578" s="109"/>
      <c r="AI1578" s="109"/>
      <c r="AJ1578" s="109"/>
      <c r="AK1578" s="109"/>
      <c r="AL1578" s="109"/>
      <c r="AM1578" s="109"/>
      <c r="AN1578" s="109"/>
      <c r="AO1578" s="109"/>
      <c r="AP1578" s="109"/>
      <c r="AQ1578" s="109"/>
      <c r="AR1578" s="109"/>
      <c r="AS1578" s="109"/>
    </row>
    <row r="1579" spans="1:45" ht="12.6" customHeight="1" x14ac:dyDescent="0.3">
      <c r="A1579" s="78"/>
      <c r="B1579" s="78"/>
      <c r="C1579" s="98"/>
      <c r="D1579" s="98"/>
      <c r="E1579" s="98"/>
      <c r="F1579" s="98"/>
      <c r="Z1579" s="109"/>
      <c r="AA1579" s="109"/>
      <c r="AB1579" s="109"/>
      <c r="AC1579" s="109"/>
      <c r="AD1579" s="109"/>
      <c r="AE1579" s="109"/>
      <c r="AF1579" s="109"/>
      <c r="AG1579" s="109"/>
      <c r="AH1579" s="109"/>
      <c r="AI1579" s="109"/>
      <c r="AJ1579" s="109"/>
      <c r="AK1579" s="109"/>
      <c r="AL1579" s="109"/>
      <c r="AM1579" s="109"/>
      <c r="AN1579" s="109"/>
      <c r="AO1579" s="109"/>
      <c r="AP1579" s="109"/>
      <c r="AQ1579" s="109"/>
      <c r="AR1579" s="109"/>
      <c r="AS1579" s="109"/>
    </row>
    <row r="1580" spans="1:45" ht="12.6" customHeight="1" x14ac:dyDescent="0.3">
      <c r="A1580" s="78"/>
      <c r="B1580" s="78"/>
      <c r="C1580" s="78"/>
      <c r="D1580" s="78"/>
      <c r="E1580" s="78"/>
      <c r="F1580" s="78"/>
      <c r="Z1580" s="109"/>
      <c r="AA1580" s="109"/>
      <c r="AB1580" s="109"/>
      <c r="AC1580" s="109"/>
      <c r="AD1580" s="109"/>
      <c r="AE1580" s="109"/>
      <c r="AF1580" s="109"/>
      <c r="AG1580" s="109"/>
      <c r="AH1580" s="109"/>
      <c r="AI1580" s="109"/>
      <c r="AJ1580" s="109"/>
      <c r="AK1580" s="109"/>
      <c r="AL1580" s="109"/>
      <c r="AM1580" s="109"/>
      <c r="AN1580" s="109"/>
      <c r="AO1580" s="109"/>
      <c r="AP1580" s="109"/>
      <c r="AQ1580" s="109"/>
      <c r="AR1580" s="109"/>
      <c r="AS1580" s="109"/>
    </row>
    <row r="1581" spans="1:45" ht="12.6" customHeight="1" x14ac:dyDescent="0.3">
      <c r="A1581" s="78"/>
      <c r="B1581" s="78"/>
      <c r="C1581" s="78"/>
      <c r="D1581" s="78"/>
      <c r="E1581" s="78"/>
      <c r="F1581" s="78"/>
      <c r="Z1581" s="109"/>
      <c r="AA1581" s="109"/>
      <c r="AB1581" s="109"/>
      <c r="AC1581" s="109"/>
      <c r="AD1581" s="109"/>
      <c r="AE1581" s="109"/>
      <c r="AF1581" s="109"/>
      <c r="AG1581" s="109"/>
      <c r="AH1581" s="109"/>
      <c r="AI1581" s="109"/>
      <c r="AJ1581" s="109"/>
      <c r="AK1581" s="109"/>
      <c r="AL1581" s="109"/>
      <c r="AM1581" s="109"/>
      <c r="AN1581" s="109"/>
      <c r="AO1581" s="109"/>
      <c r="AP1581" s="109"/>
      <c r="AQ1581" s="109"/>
      <c r="AR1581" s="109"/>
      <c r="AS1581" s="109"/>
    </row>
    <row r="1582" spans="1:45" ht="12.6" customHeight="1" x14ac:dyDescent="0.3">
      <c r="A1582" s="78"/>
      <c r="B1582" s="78"/>
      <c r="C1582" s="78"/>
      <c r="D1582" s="78"/>
      <c r="E1582" s="78"/>
      <c r="F1582" s="78"/>
      <c r="Z1582" s="109"/>
      <c r="AA1582" s="109"/>
      <c r="AB1582" s="109"/>
      <c r="AC1582" s="109"/>
      <c r="AD1582" s="109"/>
      <c r="AE1582" s="109"/>
      <c r="AF1582" s="109"/>
      <c r="AG1582" s="109"/>
      <c r="AH1582" s="109"/>
      <c r="AI1582" s="109"/>
      <c r="AJ1582" s="109"/>
      <c r="AK1582" s="109"/>
      <c r="AL1582" s="109"/>
      <c r="AM1582" s="109"/>
      <c r="AN1582" s="109"/>
      <c r="AO1582" s="109"/>
      <c r="AP1582" s="109"/>
      <c r="AQ1582" s="109"/>
      <c r="AR1582" s="109"/>
      <c r="AS1582" s="109"/>
    </row>
    <row r="1583" spans="1:45" ht="12.6" customHeight="1" x14ac:dyDescent="0.3">
      <c r="A1583" s="78"/>
      <c r="B1583" s="78"/>
      <c r="C1583" s="78"/>
      <c r="D1583" s="78"/>
      <c r="E1583" s="78"/>
      <c r="F1583" s="78"/>
      <c r="Z1583" s="109"/>
      <c r="AA1583" s="109"/>
      <c r="AB1583" s="109"/>
      <c r="AC1583" s="109"/>
      <c r="AD1583" s="109"/>
      <c r="AE1583" s="109"/>
      <c r="AF1583" s="109"/>
      <c r="AG1583" s="109"/>
      <c r="AH1583" s="109"/>
      <c r="AI1583" s="109"/>
      <c r="AJ1583" s="109"/>
      <c r="AK1583" s="109"/>
      <c r="AL1583" s="109"/>
      <c r="AM1583" s="109"/>
      <c r="AN1583" s="109"/>
      <c r="AO1583" s="109"/>
      <c r="AP1583" s="109"/>
      <c r="AQ1583" s="109"/>
      <c r="AR1583" s="109"/>
      <c r="AS1583" s="109"/>
    </row>
    <row r="1584" spans="1:45" ht="12.6" customHeight="1" x14ac:dyDescent="0.3">
      <c r="A1584" s="78"/>
      <c r="B1584" s="78"/>
      <c r="C1584" s="78"/>
      <c r="D1584" s="78"/>
      <c r="E1584" s="78"/>
      <c r="F1584" s="78"/>
      <c r="Z1584" s="109"/>
      <c r="AA1584" s="109"/>
      <c r="AB1584" s="109"/>
      <c r="AC1584" s="109"/>
      <c r="AD1584" s="109"/>
      <c r="AE1584" s="109"/>
      <c r="AF1584" s="109"/>
      <c r="AG1584" s="109"/>
      <c r="AH1584" s="109"/>
      <c r="AI1584" s="109"/>
      <c r="AJ1584" s="109"/>
      <c r="AK1584" s="109"/>
      <c r="AL1584" s="109"/>
      <c r="AM1584" s="109"/>
      <c r="AN1584" s="109"/>
      <c r="AO1584" s="109"/>
      <c r="AP1584" s="109"/>
      <c r="AQ1584" s="109"/>
      <c r="AR1584" s="109"/>
      <c r="AS1584" s="109"/>
    </row>
    <row r="1585" spans="1:45" ht="12.6" customHeight="1" x14ac:dyDescent="0.3">
      <c r="A1585" s="78"/>
      <c r="B1585" s="78"/>
      <c r="C1585" s="78"/>
      <c r="D1585" s="78"/>
      <c r="E1585" s="78"/>
      <c r="F1585" s="78"/>
      <c r="Z1585" s="109"/>
      <c r="AA1585" s="109"/>
      <c r="AB1585" s="109"/>
      <c r="AC1585" s="109"/>
      <c r="AD1585" s="109"/>
      <c r="AE1585" s="109"/>
      <c r="AF1585" s="109"/>
      <c r="AG1585" s="109"/>
      <c r="AH1585" s="109"/>
      <c r="AI1585" s="109"/>
      <c r="AJ1585" s="109"/>
      <c r="AK1585" s="109"/>
      <c r="AL1585" s="109"/>
      <c r="AM1585" s="109"/>
      <c r="AN1585" s="109"/>
      <c r="AO1585" s="109"/>
      <c r="AP1585" s="109"/>
      <c r="AQ1585" s="109"/>
      <c r="AR1585" s="109"/>
      <c r="AS1585" s="109"/>
    </row>
    <row r="1586" spans="1:45" ht="12.6" customHeight="1" x14ac:dyDescent="0.3">
      <c r="A1586" s="78"/>
      <c r="B1586" s="78"/>
      <c r="C1586" s="78"/>
      <c r="D1586" s="78"/>
      <c r="E1586" s="78"/>
      <c r="F1586" s="78"/>
      <c r="Z1586" s="109"/>
      <c r="AA1586" s="109"/>
      <c r="AB1586" s="109"/>
      <c r="AC1586" s="109"/>
      <c r="AD1586" s="109"/>
      <c r="AE1586" s="109"/>
      <c r="AF1586" s="109"/>
      <c r="AG1586" s="109"/>
      <c r="AH1586" s="109"/>
      <c r="AI1586" s="109"/>
      <c r="AJ1586" s="109"/>
      <c r="AK1586" s="109"/>
      <c r="AL1586" s="109"/>
      <c r="AM1586" s="109"/>
      <c r="AN1586" s="109"/>
      <c r="AO1586" s="109"/>
      <c r="AP1586" s="109"/>
      <c r="AQ1586" s="109"/>
      <c r="AR1586" s="109"/>
      <c r="AS1586" s="109"/>
    </row>
    <row r="1587" spans="1:45" ht="12.6" customHeight="1" x14ac:dyDescent="0.3">
      <c r="A1587" s="78"/>
      <c r="B1587" s="78"/>
      <c r="C1587" s="78"/>
      <c r="D1587" s="78"/>
      <c r="E1587" s="78"/>
      <c r="F1587" s="78"/>
      <c r="Z1587" s="109"/>
      <c r="AA1587" s="109"/>
      <c r="AB1587" s="109"/>
      <c r="AC1587" s="109"/>
      <c r="AD1587" s="109"/>
      <c r="AE1587" s="109"/>
      <c r="AF1587" s="109"/>
      <c r="AG1587" s="109"/>
      <c r="AH1587" s="109"/>
      <c r="AI1587" s="109"/>
      <c r="AJ1587" s="109"/>
      <c r="AK1587" s="109"/>
      <c r="AL1587" s="109"/>
      <c r="AM1587" s="109"/>
      <c r="AN1587" s="109"/>
      <c r="AO1587" s="109"/>
      <c r="AP1587" s="109"/>
      <c r="AQ1587" s="109"/>
      <c r="AR1587" s="109"/>
      <c r="AS1587" s="109"/>
    </row>
    <row r="1588" spans="1:45" ht="12.6" customHeight="1" x14ac:dyDescent="0.3">
      <c r="A1588" s="78"/>
      <c r="B1588" s="78"/>
      <c r="C1588" s="78"/>
      <c r="D1588" s="78"/>
      <c r="E1588" s="78"/>
      <c r="F1588" s="78"/>
      <c r="Z1588" s="109"/>
      <c r="AA1588" s="109"/>
      <c r="AB1588" s="109"/>
      <c r="AC1588" s="109"/>
      <c r="AD1588" s="109"/>
      <c r="AE1588" s="109"/>
      <c r="AF1588" s="109"/>
      <c r="AG1588" s="109"/>
      <c r="AH1588" s="109"/>
      <c r="AI1588" s="109"/>
      <c r="AJ1588" s="109"/>
      <c r="AK1588" s="109"/>
      <c r="AL1588" s="109"/>
      <c r="AM1588" s="109"/>
      <c r="AN1588" s="109"/>
      <c r="AO1588" s="109"/>
      <c r="AP1588" s="109"/>
      <c r="AQ1588" s="109"/>
      <c r="AR1588" s="109"/>
      <c r="AS1588" s="109"/>
    </row>
    <row r="1589" spans="1:45" ht="12.6" customHeight="1" x14ac:dyDescent="0.3">
      <c r="A1589" s="78"/>
      <c r="B1589" s="78"/>
      <c r="C1589" s="78"/>
      <c r="D1589" s="78"/>
      <c r="E1589" s="78"/>
      <c r="F1589" s="78"/>
      <c r="Z1589" s="109"/>
      <c r="AA1589" s="109"/>
      <c r="AB1589" s="109"/>
      <c r="AC1589" s="109"/>
      <c r="AD1589" s="109"/>
      <c r="AE1589" s="109"/>
      <c r="AF1589" s="109"/>
      <c r="AG1589" s="109"/>
      <c r="AH1589" s="109"/>
      <c r="AI1589" s="109"/>
      <c r="AJ1589" s="109"/>
      <c r="AK1589" s="109"/>
      <c r="AL1589" s="109"/>
      <c r="AM1589" s="109"/>
      <c r="AN1589" s="109"/>
      <c r="AO1589" s="109"/>
      <c r="AP1589" s="109"/>
      <c r="AQ1589" s="109"/>
      <c r="AR1589" s="109"/>
      <c r="AS1589" s="109"/>
    </row>
    <row r="1590" spans="1:45" ht="12.6" customHeight="1" x14ac:dyDescent="0.3">
      <c r="A1590" s="78"/>
      <c r="B1590" s="78"/>
      <c r="C1590" s="78"/>
      <c r="D1590" s="78"/>
      <c r="E1590" s="78"/>
      <c r="F1590" s="78"/>
      <c r="Z1590" s="109"/>
      <c r="AA1590" s="109"/>
      <c r="AB1590" s="109"/>
      <c r="AC1590" s="109"/>
      <c r="AD1590" s="109"/>
      <c r="AE1590" s="109"/>
      <c r="AF1590" s="109"/>
      <c r="AG1590" s="109"/>
      <c r="AH1590" s="109"/>
      <c r="AI1590" s="109"/>
      <c r="AJ1590" s="109"/>
      <c r="AK1590" s="109"/>
      <c r="AL1590" s="109"/>
      <c r="AM1590" s="109"/>
      <c r="AN1590" s="109"/>
      <c r="AO1590" s="109"/>
      <c r="AP1590" s="109"/>
      <c r="AQ1590" s="109"/>
      <c r="AR1590" s="109"/>
      <c r="AS1590" s="109"/>
    </row>
    <row r="1591" spans="1:45" ht="12.6" customHeight="1" x14ac:dyDescent="0.3">
      <c r="A1591" s="78"/>
      <c r="B1591" s="78"/>
      <c r="C1591" s="78"/>
      <c r="D1591" s="78"/>
      <c r="E1591" s="78"/>
      <c r="F1591" s="78"/>
      <c r="Z1591" s="109"/>
      <c r="AA1591" s="109"/>
      <c r="AB1591" s="109"/>
      <c r="AC1591" s="109"/>
      <c r="AD1591" s="109"/>
      <c r="AE1591" s="109"/>
      <c r="AF1591" s="109"/>
      <c r="AG1591" s="109"/>
      <c r="AH1591" s="109"/>
      <c r="AI1591" s="109"/>
      <c r="AJ1591" s="109"/>
      <c r="AK1591" s="109"/>
      <c r="AL1591" s="109"/>
      <c r="AM1591" s="109"/>
      <c r="AN1591" s="109"/>
      <c r="AO1591" s="109"/>
      <c r="AP1591" s="109"/>
      <c r="AQ1591" s="109"/>
      <c r="AR1591" s="109"/>
      <c r="AS1591" s="109"/>
    </row>
    <row r="1592" spans="1:45" ht="12.6" customHeight="1" x14ac:dyDescent="0.3">
      <c r="A1592" s="78"/>
      <c r="B1592" s="78"/>
      <c r="C1592" s="78"/>
      <c r="D1592" s="78"/>
      <c r="E1592" s="78"/>
      <c r="F1592" s="78"/>
      <c r="Z1592" s="109"/>
      <c r="AA1592" s="109"/>
      <c r="AB1592" s="109"/>
      <c r="AC1592" s="109"/>
      <c r="AD1592" s="109"/>
      <c r="AE1592" s="109"/>
      <c r="AF1592" s="109"/>
      <c r="AG1592" s="109"/>
      <c r="AH1592" s="109"/>
      <c r="AI1592" s="109"/>
      <c r="AJ1592" s="109"/>
      <c r="AK1592" s="109"/>
      <c r="AL1592" s="109"/>
      <c r="AM1592" s="109"/>
      <c r="AN1592" s="109"/>
      <c r="AO1592" s="109"/>
      <c r="AP1592" s="109"/>
      <c r="AQ1592" s="109"/>
      <c r="AR1592" s="109"/>
      <c r="AS1592" s="109"/>
    </row>
    <row r="1593" spans="1:45" ht="12.6" customHeight="1" x14ac:dyDescent="0.3">
      <c r="A1593" s="78"/>
      <c r="B1593" s="78"/>
      <c r="C1593" s="78"/>
      <c r="D1593" s="78"/>
      <c r="E1593" s="78"/>
      <c r="F1593" s="78"/>
      <c r="Z1593" s="109"/>
      <c r="AA1593" s="109"/>
      <c r="AB1593" s="109"/>
      <c r="AC1593" s="109"/>
      <c r="AD1593" s="109"/>
      <c r="AE1593" s="109"/>
      <c r="AF1593" s="109"/>
      <c r="AG1593" s="109"/>
      <c r="AH1593" s="109"/>
      <c r="AI1593" s="109"/>
      <c r="AJ1593" s="109"/>
      <c r="AK1593" s="109"/>
      <c r="AL1593" s="109"/>
      <c r="AM1593" s="109"/>
      <c r="AN1593" s="109"/>
      <c r="AO1593" s="109"/>
      <c r="AP1593" s="109"/>
      <c r="AQ1593" s="109"/>
      <c r="AR1593" s="109"/>
      <c r="AS1593" s="109"/>
    </row>
    <row r="1594" spans="1:45" ht="12.6" customHeight="1" x14ac:dyDescent="0.3">
      <c r="A1594" s="78"/>
      <c r="B1594" s="78"/>
      <c r="C1594" s="78"/>
      <c r="D1594" s="78"/>
      <c r="E1594" s="78"/>
      <c r="F1594" s="78"/>
      <c r="Z1594" s="109"/>
      <c r="AA1594" s="109"/>
      <c r="AB1594" s="109"/>
      <c r="AC1594" s="109"/>
      <c r="AD1594" s="109"/>
      <c r="AE1594" s="109"/>
      <c r="AF1594" s="109"/>
      <c r="AG1594" s="109"/>
      <c r="AH1594" s="109"/>
      <c r="AI1594" s="109"/>
      <c r="AJ1594" s="109"/>
      <c r="AK1594" s="109"/>
      <c r="AL1594" s="109"/>
      <c r="AM1594" s="109"/>
      <c r="AN1594" s="109"/>
      <c r="AO1594" s="109"/>
      <c r="AP1594" s="109"/>
      <c r="AQ1594" s="109"/>
      <c r="AR1594" s="109"/>
      <c r="AS1594" s="109"/>
    </row>
    <row r="1595" spans="1:45" ht="12.6" customHeight="1" x14ac:dyDescent="0.3">
      <c r="A1595" s="78"/>
      <c r="B1595" s="78"/>
      <c r="C1595" s="78"/>
      <c r="D1595" s="78"/>
      <c r="E1595" s="78"/>
      <c r="F1595" s="78"/>
      <c r="Z1595" s="109"/>
      <c r="AA1595" s="109"/>
      <c r="AB1595" s="109"/>
      <c r="AC1595" s="109"/>
      <c r="AD1595" s="109"/>
      <c r="AE1595" s="109"/>
      <c r="AF1595" s="109"/>
      <c r="AG1595" s="109"/>
      <c r="AH1595" s="109"/>
      <c r="AI1595" s="109"/>
      <c r="AJ1595" s="109"/>
      <c r="AK1595" s="109"/>
      <c r="AL1595" s="109"/>
      <c r="AM1595" s="109"/>
      <c r="AN1595" s="109"/>
      <c r="AO1595" s="109"/>
      <c r="AP1595" s="109"/>
      <c r="AQ1595" s="109"/>
      <c r="AR1595" s="109"/>
      <c r="AS1595" s="109"/>
    </row>
    <row r="1596" spans="1:45" ht="12.6" customHeight="1" x14ac:dyDescent="0.3">
      <c r="A1596" s="78"/>
      <c r="B1596" s="78"/>
      <c r="C1596" s="78"/>
      <c r="D1596" s="78"/>
      <c r="E1596" s="78"/>
      <c r="F1596" s="78"/>
      <c r="Z1596" s="109"/>
      <c r="AA1596" s="109"/>
      <c r="AB1596" s="109"/>
      <c r="AC1596" s="109"/>
      <c r="AD1596" s="109"/>
      <c r="AE1596" s="109"/>
      <c r="AF1596" s="109"/>
      <c r="AG1596" s="109"/>
      <c r="AH1596" s="109"/>
      <c r="AI1596" s="109"/>
      <c r="AJ1596" s="109"/>
      <c r="AK1596" s="109"/>
      <c r="AL1596" s="109"/>
      <c r="AM1596" s="109"/>
      <c r="AN1596" s="109"/>
      <c r="AO1596" s="109"/>
      <c r="AP1596" s="109"/>
      <c r="AQ1596" s="109"/>
      <c r="AR1596" s="109"/>
      <c r="AS1596" s="109"/>
    </row>
    <row r="1597" spans="1:45" ht="12.6" customHeight="1" x14ac:dyDescent="0.3">
      <c r="A1597" s="78"/>
      <c r="B1597" s="78"/>
      <c r="C1597" s="78"/>
      <c r="D1597" s="78"/>
      <c r="E1597" s="78"/>
      <c r="F1597" s="78"/>
      <c r="Z1597" s="109"/>
      <c r="AA1597" s="109"/>
      <c r="AB1597" s="109"/>
      <c r="AC1597" s="109"/>
      <c r="AD1597" s="109"/>
      <c r="AE1597" s="109"/>
      <c r="AF1597" s="109"/>
      <c r="AG1597" s="109"/>
      <c r="AH1597" s="109"/>
      <c r="AI1597" s="109"/>
      <c r="AJ1597" s="109"/>
      <c r="AK1597" s="109"/>
      <c r="AL1597" s="109"/>
      <c r="AM1597" s="109"/>
      <c r="AN1597" s="109"/>
      <c r="AO1597" s="109"/>
      <c r="AP1597" s="109"/>
      <c r="AQ1597" s="109"/>
      <c r="AR1597" s="109"/>
      <c r="AS1597" s="109"/>
    </row>
    <row r="1598" spans="1:45" ht="12.6" customHeight="1" x14ac:dyDescent="0.3">
      <c r="A1598" s="78"/>
      <c r="B1598" s="78"/>
      <c r="C1598" s="78"/>
      <c r="D1598" s="78"/>
      <c r="E1598" s="78"/>
      <c r="F1598" s="78"/>
      <c r="Z1598" s="109"/>
      <c r="AA1598" s="109"/>
      <c r="AB1598" s="109"/>
      <c r="AC1598" s="109"/>
      <c r="AD1598" s="109"/>
      <c r="AE1598" s="109"/>
      <c r="AF1598" s="109"/>
      <c r="AG1598" s="109"/>
      <c r="AH1598" s="109"/>
      <c r="AI1598" s="109"/>
      <c r="AJ1598" s="109"/>
      <c r="AK1598" s="109"/>
      <c r="AL1598" s="109"/>
      <c r="AM1598" s="109"/>
      <c r="AN1598" s="109"/>
      <c r="AO1598" s="109"/>
      <c r="AP1598" s="109"/>
      <c r="AQ1598" s="109"/>
      <c r="AR1598" s="109"/>
      <c r="AS1598" s="109"/>
    </row>
    <row r="1599" spans="1:45" ht="12.6" customHeight="1" x14ac:dyDescent="0.3">
      <c r="A1599" s="78"/>
      <c r="B1599" s="78"/>
      <c r="C1599" s="78"/>
      <c r="D1599" s="78"/>
      <c r="E1599" s="78"/>
      <c r="F1599" s="78"/>
      <c r="Z1599" s="109"/>
      <c r="AA1599" s="109"/>
      <c r="AB1599" s="109"/>
      <c r="AC1599" s="109"/>
      <c r="AD1599" s="109"/>
      <c r="AE1599" s="109"/>
      <c r="AF1599" s="109"/>
      <c r="AG1599" s="109"/>
      <c r="AH1599" s="109"/>
      <c r="AI1599" s="109"/>
      <c r="AJ1599" s="109"/>
      <c r="AK1599" s="109"/>
      <c r="AL1599" s="109"/>
      <c r="AM1599" s="109"/>
      <c r="AN1599" s="109"/>
      <c r="AO1599" s="109"/>
      <c r="AP1599" s="109"/>
      <c r="AQ1599" s="109"/>
      <c r="AR1599" s="109"/>
      <c r="AS1599" s="109"/>
    </row>
    <row r="1600" spans="1:45" ht="12.6" customHeight="1" x14ac:dyDescent="0.3">
      <c r="A1600" s="78"/>
      <c r="B1600" s="78"/>
      <c r="C1600" s="78"/>
      <c r="D1600" s="78"/>
      <c r="E1600" s="78"/>
      <c r="F1600" s="78"/>
      <c r="Z1600" s="109"/>
      <c r="AA1600" s="109"/>
      <c r="AB1600" s="109"/>
      <c r="AC1600" s="109"/>
      <c r="AD1600" s="109"/>
      <c r="AE1600" s="109"/>
      <c r="AF1600" s="109"/>
      <c r="AG1600" s="109"/>
      <c r="AH1600" s="109"/>
      <c r="AI1600" s="109"/>
      <c r="AJ1600" s="109"/>
      <c r="AK1600" s="109"/>
      <c r="AL1600" s="109"/>
      <c r="AM1600" s="109"/>
      <c r="AN1600" s="109"/>
      <c r="AO1600" s="109"/>
      <c r="AP1600" s="109"/>
      <c r="AQ1600" s="109"/>
      <c r="AR1600" s="109"/>
      <c r="AS1600" s="109"/>
    </row>
    <row r="1601" spans="1:45" ht="12.6" customHeight="1" x14ac:dyDescent="0.3">
      <c r="A1601" s="78"/>
      <c r="B1601" s="78"/>
      <c r="C1601" s="78"/>
      <c r="D1601" s="78"/>
      <c r="E1601" s="78"/>
      <c r="F1601" s="78"/>
      <c r="Z1601" s="109"/>
      <c r="AA1601" s="109"/>
      <c r="AB1601" s="109"/>
      <c r="AC1601" s="109"/>
      <c r="AD1601" s="109"/>
      <c r="AE1601" s="109"/>
      <c r="AF1601" s="109"/>
      <c r="AG1601" s="109"/>
      <c r="AH1601" s="109"/>
      <c r="AI1601" s="109"/>
      <c r="AJ1601" s="109"/>
      <c r="AK1601" s="109"/>
      <c r="AL1601" s="109"/>
      <c r="AM1601" s="109"/>
      <c r="AN1601" s="109"/>
      <c r="AO1601" s="109"/>
      <c r="AP1601" s="109"/>
      <c r="AQ1601" s="109"/>
      <c r="AR1601" s="109"/>
      <c r="AS1601" s="109"/>
    </row>
    <row r="1602" spans="1:45" ht="12.6" customHeight="1" x14ac:dyDescent="0.3">
      <c r="A1602" s="78"/>
      <c r="B1602" s="78"/>
      <c r="C1602" s="78"/>
      <c r="D1602" s="78"/>
      <c r="E1602" s="78"/>
      <c r="F1602" s="78"/>
      <c r="Z1602" s="109"/>
      <c r="AA1602" s="109"/>
      <c r="AB1602" s="109"/>
      <c r="AC1602" s="109"/>
      <c r="AD1602" s="109"/>
      <c r="AE1602" s="109"/>
      <c r="AF1602" s="109"/>
      <c r="AG1602" s="109"/>
      <c r="AH1602" s="109"/>
      <c r="AI1602" s="109"/>
      <c r="AJ1602" s="109"/>
      <c r="AK1602" s="109"/>
      <c r="AL1602" s="109"/>
      <c r="AM1602" s="109"/>
      <c r="AN1602" s="109"/>
      <c r="AO1602" s="109"/>
      <c r="AP1602" s="109"/>
      <c r="AQ1602" s="109"/>
      <c r="AR1602" s="109"/>
      <c r="AS1602" s="109"/>
    </row>
    <row r="1603" spans="1:45" ht="12.6" customHeight="1" x14ac:dyDescent="0.3">
      <c r="A1603" s="78"/>
      <c r="B1603" s="78"/>
      <c r="C1603" s="78"/>
      <c r="D1603" s="78"/>
      <c r="E1603" s="78"/>
      <c r="F1603" s="78"/>
      <c r="Z1603" s="109"/>
      <c r="AA1603" s="109"/>
      <c r="AB1603" s="109"/>
      <c r="AC1603" s="109"/>
      <c r="AD1603" s="109"/>
      <c r="AE1603" s="109"/>
      <c r="AF1603" s="109"/>
      <c r="AG1603" s="109"/>
      <c r="AH1603" s="109"/>
      <c r="AI1603" s="109"/>
      <c r="AJ1603" s="109"/>
      <c r="AK1603" s="109"/>
      <c r="AL1603" s="109"/>
      <c r="AM1603" s="109"/>
      <c r="AN1603" s="109"/>
      <c r="AO1603" s="109"/>
      <c r="AP1603" s="109"/>
      <c r="AQ1603" s="109"/>
      <c r="AR1603" s="109"/>
      <c r="AS1603" s="109"/>
    </row>
    <row r="1604" spans="1:45" ht="12.6" customHeight="1" x14ac:dyDescent="0.3">
      <c r="A1604" s="78"/>
      <c r="B1604" s="78"/>
      <c r="C1604" s="78"/>
      <c r="D1604" s="78"/>
      <c r="E1604" s="78"/>
      <c r="F1604" s="78"/>
      <c r="Z1604" s="109"/>
      <c r="AA1604" s="109"/>
      <c r="AB1604" s="109"/>
      <c r="AC1604" s="109"/>
      <c r="AD1604" s="109"/>
      <c r="AE1604" s="109"/>
      <c r="AF1604" s="109"/>
      <c r="AG1604" s="109"/>
      <c r="AH1604" s="109"/>
      <c r="AI1604" s="109"/>
      <c r="AJ1604" s="109"/>
      <c r="AK1604" s="109"/>
      <c r="AL1604" s="109"/>
      <c r="AM1604" s="109"/>
      <c r="AN1604" s="109"/>
      <c r="AO1604" s="109"/>
      <c r="AP1604" s="109"/>
      <c r="AQ1604" s="109"/>
      <c r="AR1604" s="109"/>
      <c r="AS1604" s="109"/>
    </row>
    <row r="1605" spans="1:45" ht="12.6" customHeight="1" x14ac:dyDescent="0.3">
      <c r="A1605" s="78"/>
      <c r="B1605" s="78"/>
      <c r="C1605" s="78"/>
      <c r="D1605" s="78"/>
      <c r="E1605" s="78"/>
      <c r="F1605" s="78"/>
      <c r="Z1605" s="109"/>
      <c r="AA1605" s="109"/>
      <c r="AB1605" s="109"/>
      <c r="AC1605" s="109"/>
      <c r="AD1605" s="109"/>
      <c r="AE1605" s="109"/>
      <c r="AF1605" s="109"/>
      <c r="AG1605" s="109"/>
      <c r="AH1605" s="109"/>
      <c r="AI1605" s="109"/>
      <c r="AJ1605" s="109"/>
      <c r="AK1605" s="109"/>
      <c r="AL1605" s="109"/>
      <c r="AM1605" s="109"/>
      <c r="AN1605" s="109"/>
      <c r="AO1605" s="109"/>
      <c r="AP1605" s="109"/>
      <c r="AQ1605" s="109"/>
      <c r="AR1605" s="109"/>
      <c r="AS1605" s="109"/>
    </row>
    <row r="1606" spans="1:45" ht="12.6" customHeight="1" x14ac:dyDescent="0.3">
      <c r="A1606" s="78"/>
      <c r="B1606" s="78"/>
      <c r="C1606" s="78"/>
      <c r="D1606" s="78"/>
      <c r="E1606" s="78"/>
      <c r="F1606" s="78"/>
      <c r="Z1606" s="109"/>
      <c r="AA1606" s="109"/>
      <c r="AB1606" s="109"/>
      <c r="AC1606" s="109"/>
      <c r="AD1606" s="109"/>
      <c r="AE1606" s="109"/>
      <c r="AF1606" s="109"/>
      <c r="AG1606" s="109"/>
      <c r="AH1606" s="109"/>
      <c r="AI1606" s="109"/>
      <c r="AJ1606" s="109"/>
      <c r="AK1606" s="109"/>
      <c r="AL1606" s="109"/>
      <c r="AM1606" s="109"/>
      <c r="AN1606" s="109"/>
      <c r="AO1606" s="109"/>
      <c r="AP1606" s="109"/>
      <c r="AQ1606" s="109"/>
      <c r="AR1606" s="109"/>
      <c r="AS1606" s="109"/>
    </row>
    <row r="1607" spans="1:45" ht="12.6" customHeight="1" x14ac:dyDescent="0.3">
      <c r="A1607" s="78"/>
      <c r="B1607" s="78"/>
      <c r="C1607" s="78"/>
      <c r="D1607" s="78"/>
      <c r="E1607" s="78"/>
      <c r="F1607" s="78"/>
      <c r="Z1607" s="109"/>
      <c r="AA1607" s="109"/>
      <c r="AB1607" s="109"/>
      <c r="AC1607" s="109"/>
      <c r="AD1607" s="109"/>
      <c r="AE1607" s="109"/>
      <c r="AF1607" s="109"/>
      <c r="AG1607" s="109"/>
      <c r="AH1607" s="109"/>
      <c r="AI1607" s="109"/>
      <c r="AJ1607" s="109"/>
      <c r="AK1607" s="109"/>
      <c r="AL1607" s="109"/>
      <c r="AM1607" s="109"/>
      <c r="AN1607" s="109"/>
      <c r="AO1607" s="109"/>
      <c r="AP1607" s="109"/>
      <c r="AQ1607" s="109"/>
      <c r="AR1607" s="109"/>
      <c r="AS1607" s="109"/>
    </row>
    <row r="1608" spans="1:45" ht="12.6" customHeight="1" x14ac:dyDescent="0.3">
      <c r="A1608" s="78"/>
      <c r="B1608" s="78"/>
      <c r="C1608" s="78"/>
      <c r="D1608" s="78"/>
      <c r="E1608" s="78"/>
      <c r="F1608" s="78"/>
      <c r="Z1608" s="109"/>
      <c r="AA1608" s="109"/>
      <c r="AB1608" s="109"/>
      <c r="AC1608" s="109"/>
      <c r="AD1608" s="109"/>
      <c r="AE1608" s="109"/>
      <c r="AF1608" s="109"/>
      <c r="AG1608" s="109"/>
      <c r="AH1608" s="109"/>
      <c r="AI1608" s="109"/>
      <c r="AJ1608" s="109"/>
      <c r="AK1608" s="109"/>
      <c r="AL1608" s="109"/>
      <c r="AM1608" s="109"/>
      <c r="AN1608" s="109"/>
      <c r="AO1608" s="109"/>
      <c r="AP1608" s="109"/>
      <c r="AQ1608" s="109"/>
      <c r="AR1608" s="109"/>
      <c r="AS1608" s="109"/>
    </row>
    <row r="1609" spans="1:45" ht="12.6" customHeight="1" x14ac:dyDescent="0.3">
      <c r="A1609" s="78"/>
      <c r="B1609" s="78"/>
      <c r="C1609" s="78"/>
      <c r="D1609" s="78"/>
      <c r="E1609" s="78"/>
      <c r="F1609" s="78"/>
      <c r="Z1609" s="109"/>
      <c r="AA1609" s="109"/>
      <c r="AB1609" s="109"/>
      <c r="AC1609" s="109"/>
      <c r="AD1609" s="109"/>
      <c r="AE1609" s="109"/>
      <c r="AF1609" s="109"/>
      <c r="AG1609" s="109"/>
      <c r="AH1609" s="109"/>
      <c r="AI1609" s="109"/>
      <c r="AJ1609" s="109"/>
      <c r="AK1609" s="109"/>
      <c r="AL1609" s="109"/>
      <c r="AM1609" s="109"/>
      <c r="AN1609" s="109"/>
      <c r="AO1609" s="109"/>
      <c r="AP1609" s="109"/>
      <c r="AQ1609" s="109"/>
      <c r="AR1609" s="109"/>
      <c r="AS1609" s="109"/>
    </row>
    <row r="1610" spans="1:45" ht="12.6" customHeight="1" x14ac:dyDescent="0.3">
      <c r="A1610" s="78"/>
      <c r="B1610" s="78"/>
      <c r="C1610" s="78"/>
      <c r="D1610" s="78"/>
      <c r="E1610" s="78"/>
      <c r="F1610" s="78"/>
      <c r="Z1610" s="109"/>
      <c r="AA1610" s="109"/>
      <c r="AB1610" s="109"/>
      <c r="AC1610" s="109"/>
      <c r="AD1610" s="109"/>
      <c r="AE1610" s="109"/>
      <c r="AF1610" s="109"/>
      <c r="AG1610" s="109"/>
      <c r="AH1610" s="109"/>
      <c r="AI1610" s="109"/>
      <c r="AJ1610" s="109"/>
      <c r="AK1610" s="109"/>
      <c r="AL1610" s="109"/>
      <c r="AM1610" s="109"/>
      <c r="AN1610" s="109"/>
      <c r="AO1610" s="109"/>
      <c r="AP1610" s="109"/>
      <c r="AQ1610" s="109"/>
      <c r="AR1610" s="109"/>
      <c r="AS1610" s="109"/>
    </row>
    <row r="1611" spans="1:45" ht="12.6" customHeight="1" x14ac:dyDescent="0.3">
      <c r="A1611" s="78"/>
      <c r="B1611" s="78"/>
      <c r="C1611" s="78"/>
      <c r="D1611" s="78"/>
      <c r="E1611" s="78"/>
      <c r="F1611" s="78"/>
      <c r="Z1611" s="109"/>
      <c r="AA1611" s="109"/>
      <c r="AB1611" s="109"/>
      <c r="AC1611" s="109"/>
      <c r="AD1611" s="109"/>
      <c r="AE1611" s="109"/>
      <c r="AF1611" s="109"/>
      <c r="AG1611" s="109"/>
      <c r="AH1611" s="109"/>
      <c r="AI1611" s="109"/>
      <c r="AJ1611" s="109"/>
      <c r="AK1611" s="109"/>
      <c r="AL1611" s="109"/>
      <c r="AM1611" s="109"/>
      <c r="AN1611" s="109"/>
      <c r="AO1611" s="109"/>
      <c r="AP1611" s="109"/>
      <c r="AQ1611" s="109"/>
      <c r="AR1611" s="109"/>
      <c r="AS1611" s="109"/>
    </row>
    <row r="1612" spans="1:45" ht="12.6" customHeight="1" x14ac:dyDescent="0.3">
      <c r="A1612" s="78"/>
      <c r="B1612" s="78"/>
      <c r="C1612" s="78"/>
      <c r="D1612" s="78"/>
      <c r="E1612" s="78"/>
      <c r="F1612" s="78"/>
      <c r="Z1612" s="109"/>
      <c r="AA1612" s="109"/>
      <c r="AB1612" s="109"/>
      <c r="AC1612" s="109"/>
      <c r="AD1612" s="109"/>
      <c r="AE1612" s="109"/>
      <c r="AF1612" s="109"/>
      <c r="AG1612" s="109"/>
      <c r="AH1612" s="109"/>
      <c r="AI1612" s="109"/>
      <c r="AJ1612" s="109"/>
      <c r="AK1612" s="109"/>
      <c r="AL1612" s="109"/>
      <c r="AM1612" s="109"/>
      <c r="AN1612" s="109"/>
      <c r="AO1612" s="109"/>
      <c r="AP1612" s="109"/>
      <c r="AQ1612" s="109"/>
      <c r="AR1612" s="109"/>
      <c r="AS1612" s="109"/>
    </row>
    <row r="1613" spans="1:45" ht="12.6" customHeight="1" x14ac:dyDescent="0.3">
      <c r="A1613" s="58"/>
      <c r="B1613" s="58"/>
      <c r="C1613" s="58"/>
      <c r="D1613" s="58"/>
      <c r="E1613" s="58"/>
      <c r="F1613" s="58"/>
      <c r="Z1613" s="109"/>
      <c r="AA1613" s="109"/>
      <c r="AB1613" s="109"/>
      <c r="AC1613" s="109"/>
      <c r="AD1613" s="109"/>
      <c r="AE1613" s="109"/>
      <c r="AF1613" s="109"/>
      <c r="AG1613" s="109"/>
      <c r="AH1613" s="109"/>
      <c r="AI1613" s="109"/>
      <c r="AJ1613" s="109"/>
      <c r="AK1613" s="109"/>
      <c r="AL1613" s="109"/>
      <c r="AM1613" s="109"/>
      <c r="AN1613" s="109"/>
      <c r="AO1613" s="109"/>
      <c r="AP1613" s="109"/>
      <c r="AQ1613" s="109"/>
      <c r="AR1613" s="109"/>
      <c r="AS1613" s="109"/>
    </row>
    <row r="1614" spans="1:45" ht="12.6" customHeight="1" x14ac:dyDescent="0.3">
      <c r="A1614" s="159" t="s">
        <v>1401</v>
      </c>
      <c r="B1614" s="152"/>
      <c r="C1614" s="55">
        <f>E1614+D1614+F1614</f>
        <v>2049</v>
      </c>
      <c r="D1614" s="54">
        <f>ROUNDDOWN(SUMIF(N1547:N1578,M1614,D1547:D1578),0)</f>
        <v>906</v>
      </c>
      <c r="E1614" s="63">
        <f>ROUNDDOWN(SUMIF(N1547:N1578,M1614,E1547:E1578),0)</f>
        <v>600</v>
      </c>
      <c r="F1614" s="55">
        <f>ROUNDDOWN(SUMIF(N1547:N1578,M1614,F1547:F1578),0)</f>
        <v>543</v>
      </c>
      <c r="M1614" s="20" t="s">
        <v>1128</v>
      </c>
      <c r="Z1614" s="109"/>
      <c r="AA1614" s="109"/>
      <c r="AB1614" s="109"/>
      <c r="AC1614" s="109"/>
      <c r="AD1614" s="109"/>
      <c r="AE1614" s="109"/>
      <c r="AF1614" s="109"/>
      <c r="AG1614" s="109"/>
      <c r="AH1614" s="109"/>
      <c r="AI1614" s="109"/>
      <c r="AJ1614" s="109"/>
      <c r="AK1614" s="109"/>
      <c r="AL1614" s="109"/>
      <c r="AM1614" s="109"/>
      <c r="AN1614" s="109"/>
      <c r="AO1614" s="109"/>
      <c r="AP1614" s="109"/>
      <c r="AQ1614" s="109"/>
      <c r="AR1614" s="109"/>
      <c r="AS1614" s="109"/>
    </row>
    <row r="1615" spans="1:45" ht="12.6" customHeight="1" x14ac:dyDescent="0.3">
      <c r="A1615" s="95" t="s">
        <v>128</v>
      </c>
      <c r="B1615" s="96" t="s">
        <v>128</v>
      </c>
      <c r="C1615" s="158">
        <f>C1684</f>
        <v>2153</v>
      </c>
      <c r="D1615" s="158">
        <f>D1684</f>
        <v>916</v>
      </c>
      <c r="E1615" s="158">
        <f>E1684</f>
        <v>607</v>
      </c>
      <c r="F1615" s="158">
        <f>F1684</f>
        <v>630</v>
      </c>
      <c r="G1615" s="36" t="str">
        <f>HYPERLINK("#G"&amp;ROW(G1649),"_x0005_`BDCOD|D02173_x0007_`POSS|"&amp;ROW(G1617)&amp;"_x0007_`POSE|"&amp;ROW(G1649)&amp;"_x0007_`")</f>
        <v>_x0005_`BDCOD|D02173_x0007_`POSS|1617_x0007_`POSE|1649_x0007_`</v>
      </c>
      <c r="Z1615" s="109"/>
      <c r="AA1615" s="109"/>
      <c r="AB1615" s="109"/>
      <c r="AC1615" s="109"/>
      <c r="AD1615" s="109"/>
      <c r="AE1615" s="109"/>
      <c r="AF1615" s="109"/>
      <c r="AG1615" s="109"/>
      <c r="AH1615" s="109"/>
      <c r="AI1615" s="109"/>
      <c r="AJ1615" s="109"/>
      <c r="AK1615" s="109"/>
      <c r="AL1615" s="109"/>
      <c r="AM1615" s="109"/>
      <c r="AN1615" s="109"/>
      <c r="AO1615" s="109"/>
      <c r="AP1615" s="109"/>
      <c r="AQ1615" s="109"/>
      <c r="AR1615" s="109"/>
      <c r="AS1615" s="109"/>
    </row>
    <row r="1616" spans="1:45" ht="12.6" customHeight="1" x14ac:dyDescent="0.3">
      <c r="A1616" s="84"/>
      <c r="B1616" s="96" t="s">
        <v>259</v>
      </c>
      <c r="C1616" s="141"/>
      <c r="D1616" s="141"/>
      <c r="E1616" s="141"/>
      <c r="F1616" s="141"/>
      <c r="M1616" s="20" t="s">
        <v>258</v>
      </c>
      <c r="Z1616" s="109"/>
      <c r="AA1616" s="109"/>
      <c r="AB1616" s="109"/>
      <c r="AC1616" s="109"/>
      <c r="AD1616" s="109"/>
      <c r="AE1616" s="109"/>
      <c r="AF1616" s="109"/>
      <c r="AG1616" s="109"/>
      <c r="AH1616" s="109"/>
      <c r="AI1616" s="109"/>
      <c r="AJ1616" s="109"/>
      <c r="AK1616" s="109"/>
      <c r="AL1616" s="109"/>
      <c r="AM1616" s="109"/>
      <c r="AN1616" s="109"/>
      <c r="AO1616" s="109"/>
      <c r="AP1616" s="109"/>
      <c r="AQ1616" s="109"/>
      <c r="AR1616" s="109"/>
      <c r="AS1616" s="109"/>
    </row>
    <row r="1617" spans="1:45" ht="12.6" customHeight="1" x14ac:dyDescent="0.3">
      <c r="A1617" s="68"/>
      <c r="B1617" s="77" t="s">
        <v>1889</v>
      </c>
      <c r="C1617" s="98"/>
      <c r="D1617" s="98"/>
      <c r="E1617" s="98"/>
      <c r="F1617" s="98"/>
      <c r="G1617" s="16" t="s">
        <v>1888</v>
      </c>
      <c r="Z1617" s="109"/>
      <c r="AA1617" s="109"/>
      <c r="AB1617" s="109"/>
      <c r="AC1617" s="109"/>
      <c r="AD1617" s="109"/>
      <c r="AE1617" s="109"/>
      <c r="AF1617" s="109"/>
      <c r="AG1617" s="109"/>
      <c r="AH1617" s="109"/>
      <c r="AI1617" s="109"/>
      <c r="AJ1617" s="109"/>
      <c r="AK1617" s="109"/>
      <c r="AL1617" s="109"/>
      <c r="AM1617" s="109"/>
      <c r="AN1617" s="109"/>
      <c r="AO1617" s="109"/>
      <c r="AP1617" s="109"/>
      <c r="AQ1617" s="109"/>
      <c r="AR1617" s="109"/>
      <c r="AS1617" s="109"/>
    </row>
    <row r="1618" spans="1:45" ht="12.6" customHeight="1" x14ac:dyDescent="0.3">
      <c r="A1618" s="78"/>
      <c r="B1618" s="78"/>
      <c r="C1618" s="78"/>
      <c r="D1618" s="78"/>
      <c r="E1618" s="78"/>
      <c r="F1618" s="78"/>
      <c r="G1618" s="16" t="s">
        <v>1317</v>
      </c>
      <c r="Z1618" s="109"/>
      <c r="AA1618" s="109"/>
      <c r="AB1618" s="109"/>
      <c r="AC1618" s="109"/>
      <c r="AD1618" s="109"/>
      <c r="AE1618" s="109"/>
      <c r="AF1618" s="109"/>
      <c r="AG1618" s="109"/>
      <c r="AH1618" s="109"/>
      <c r="AI1618" s="109"/>
      <c r="AJ1618" s="109"/>
      <c r="AK1618" s="109"/>
      <c r="AL1618" s="109"/>
      <c r="AM1618" s="109"/>
      <c r="AN1618" s="109"/>
      <c r="AO1618" s="109"/>
      <c r="AP1618" s="109"/>
      <c r="AQ1618" s="109"/>
      <c r="AR1618" s="109"/>
      <c r="AS1618" s="109"/>
    </row>
    <row r="1619" spans="1:45" ht="12.6" customHeight="1" x14ac:dyDescent="0.3">
      <c r="A1619" s="68"/>
      <c r="B1619" s="97" t="str">
        <f>"   도자 19 Ton     ( L1 = "&amp;Z1619&amp;" m) "</f>
        <v xml:space="preserve">   도자 19 Ton     ( L1 = 39.13 m) </v>
      </c>
      <c r="C1619" s="78"/>
      <c r="D1619" s="78"/>
      <c r="E1619" s="78"/>
      <c r="F1619" s="78"/>
      <c r="G1619" s="16" t="s">
        <v>1890</v>
      </c>
      <c r="Z1619" s="110">
        <v>39.130000000000003</v>
      </c>
      <c r="AA1619" s="20" t="s">
        <v>1326</v>
      </c>
      <c r="AB1619" s="112">
        <f>Z1619</f>
        <v>39.130000000000003</v>
      </c>
      <c r="AC1619" s="109"/>
      <c r="AD1619" s="109"/>
      <c r="AE1619" s="109"/>
      <c r="AF1619" s="109"/>
      <c r="AG1619" s="109"/>
      <c r="AH1619" s="109"/>
      <c r="AI1619" s="109"/>
      <c r="AJ1619" s="109"/>
      <c r="AK1619" s="109"/>
      <c r="AL1619" s="109"/>
      <c r="AM1619" s="109"/>
      <c r="AN1619" s="109"/>
      <c r="AO1619" s="109"/>
      <c r="AP1619" s="109"/>
      <c r="AQ1619" s="109"/>
      <c r="AR1619" s="109"/>
      <c r="AS1619" s="109"/>
    </row>
    <row r="1620" spans="1:45" ht="12.6" customHeight="1" x14ac:dyDescent="0.3">
      <c r="A1620" s="78"/>
      <c r="B1620" s="78"/>
      <c r="C1620" s="78"/>
      <c r="D1620" s="78"/>
      <c r="E1620" s="78"/>
      <c r="F1620" s="78"/>
      <c r="G1620" s="16" t="s">
        <v>1317</v>
      </c>
      <c r="Z1620" s="109"/>
      <c r="AA1620" s="109"/>
      <c r="AB1620" s="109"/>
      <c r="AC1620" s="109"/>
      <c r="AD1620" s="109"/>
      <c r="AE1620" s="109"/>
      <c r="AF1620" s="109"/>
      <c r="AG1620" s="109"/>
      <c r="AH1620" s="109"/>
      <c r="AI1620" s="109"/>
      <c r="AJ1620" s="109"/>
      <c r="AK1620" s="109"/>
      <c r="AL1620" s="109"/>
      <c r="AM1620" s="109"/>
      <c r="AN1620" s="109"/>
      <c r="AO1620" s="109"/>
      <c r="AP1620" s="109"/>
      <c r="AQ1620" s="109"/>
      <c r="AR1620" s="109"/>
      <c r="AS1620" s="109"/>
    </row>
    <row r="1621" spans="1:45" ht="12.6" customHeight="1" x14ac:dyDescent="0.3">
      <c r="A1621" s="68"/>
      <c r="B1621" s="97" t="str">
        <f>" L (운반거리) = L1-"&amp;AB1621&amp;"= "&amp;AD1621&amp;" m "</f>
        <v xml:space="preserve"> L (운반거리) = L1-20= 19.13 m </v>
      </c>
      <c r="C1621" s="78"/>
      <c r="D1621" s="78"/>
      <c r="E1621" s="78"/>
      <c r="F1621" s="78"/>
      <c r="G1621" s="16" t="s">
        <v>1869</v>
      </c>
      <c r="Z1621" s="112">
        <f>AB1619</f>
        <v>39.130000000000003</v>
      </c>
      <c r="AA1621" s="20" t="s">
        <v>1407</v>
      </c>
      <c r="AB1621" s="111">
        <v>20</v>
      </c>
      <c r="AC1621" s="20" t="s">
        <v>1326</v>
      </c>
      <c r="AD1621" s="112" t="str">
        <f>TEXT(ROUND(AB1619-AB1621,2),"0.00")</f>
        <v>19.13</v>
      </c>
      <c r="AE1621" s="109"/>
      <c r="AF1621" s="109"/>
      <c r="AG1621" s="109"/>
      <c r="AH1621" s="109"/>
      <c r="AI1621" s="109"/>
      <c r="AJ1621" s="109"/>
      <c r="AK1621" s="109"/>
      <c r="AL1621" s="109"/>
      <c r="AM1621" s="109"/>
      <c r="AN1621" s="109"/>
      <c r="AO1621" s="109"/>
      <c r="AP1621" s="109"/>
      <c r="AQ1621" s="109"/>
      <c r="AR1621" s="109"/>
      <c r="AS1621" s="109"/>
    </row>
    <row r="1622" spans="1:45" ht="12.6" customHeight="1" x14ac:dyDescent="0.3">
      <c r="A1622" s="78"/>
      <c r="B1622" s="78"/>
      <c r="C1622" s="78"/>
      <c r="D1622" s="78"/>
      <c r="E1622" s="78"/>
      <c r="F1622" s="78"/>
      <c r="G1622" s="16" t="s">
        <v>1317</v>
      </c>
      <c r="Z1622" s="109"/>
      <c r="AA1622" s="109"/>
      <c r="AB1622" s="109"/>
      <c r="AC1622" s="109"/>
      <c r="AD1622" s="109"/>
      <c r="AE1622" s="109"/>
      <c r="AF1622" s="109"/>
      <c r="AG1622" s="109"/>
      <c r="AH1622" s="109"/>
      <c r="AI1622" s="109"/>
      <c r="AJ1622" s="109"/>
      <c r="AK1622" s="109"/>
      <c r="AL1622" s="109"/>
      <c r="AM1622" s="109"/>
      <c r="AN1622" s="109"/>
      <c r="AO1622" s="109"/>
      <c r="AP1622" s="109"/>
      <c r="AQ1622" s="109"/>
      <c r="AR1622" s="109"/>
      <c r="AS1622" s="109"/>
    </row>
    <row r="1623" spans="1:45" ht="12.6" customHeight="1" x14ac:dyDescent="0.3">
      <c r="A1623" s="68"/>
      <c r="B1623" s="97" t="str">
        <f>" f (토량의 체적 환산계수) = "&amp;Z1623&amp;"/"&amp;AB1623&amp;" = "&amp;AD1623&amp;""</f>
        <v xml:space="preserve"> f (토량의 체적 환산계수) = 1.15/1.4 = 0.82</v>
      </c>
      <c r="C1623" s="78"/>
      <c r="D1623" s="78"/>
      <c r="E1623" s="78"/>
      <c r="F1623" s="78"/>
      <c r="G1623" s="16" t="s">
        <v>1891</v>
      </c>
      <c r="Z1623" s="110">
        <v>1.1499999999999999</v>
      </c>
      <c r="AA1623" s="20" t="s">
        <v>1387</v>
      </c>
      <c r="AB1623" s="110">
        <v>1.4</v>
      </c>
      <c r="AC1623" s="20" t="s">
        <v>1326</v>
      </c>
      <c r="AD1623" s="112" t="str">
        <f>TEXT(ROUND(Z1623/AB1623,2),"0.00")</f>
        <v>0.82</v>
      </c>
      <c r="AE1623" s="109"/>
      <c r="AF1623" s="109"/>
      <c r="AG1623" s="109"/>
      <c r="AH1623" s="109"/>
      <c r="AI1623" s="109"/>
      <c r="AJ1623" s="109"/>
      <c r="AK1623" s="109"/>
      <c r="AL1623" s="109"/>
      <c r="AM1623" s="109"/>
      <c r="AN1623" s="109"/>
      <c r="AO1623" s="109"/>
      <c r="AP1623" s="109"/>
      <c r="AQ1623" s="109"/>
      <c r="AR1623" s="109"/>
      <c r="AS1623" s="109"/>
    </row>
    <row r="1624" spans="1:45" ht="12.6" customHeight="1" x14ac:dyDescent="0.3">
      <c r="A1624" s="78"/>
      <c r="B1624" s="78"/>
      <c r="C1624" s="78"/>
      <c r="D1624" s="78"/>
      <c r="E1624" s="78"/>
      <c r="F1624" s="78"/>
      <c r="G1624" s="16" t="s">
        <v>1317</v>
      </c>
      <c r="Z1624" s="109"/>
      <c r="AA1624" s="109"/>
      <c r="AB1624" s="109"/>
      <c r="AC1624" s="109"/>
      <c r="AD1624" s="109"/>
      <c r="AE1624" s="109"/>
      <c r="AF1624" s="109"/>
      <c r="AG1624" s="109"/>
      <c r="AH1624" s="109"/>
      <c r="AI1624" s="109"/>
      <c r="AJ1624" s="109"/>
      <c r="AK1624" s="109"/>
      <c r="AL1624" s="109"/>
      <c r="AM1624" s="109"/>
      <c r="AN1624" s="109"/>
      <c r="AO1624" s="109"/>
      <c r="AP1624" s="109"/>
      <c r="AQ1624" s="109"/>
      <c r="AR1624" s="109"/>
      <c r="AS1624" s="109"/>
    </row>
    <row r="1625" spans="1:45" ht="12.6" customHeight="1" x14ac:dyDescent="0.3">
      <c r="A1625" s="68"/>
      <c r="B1625" s="97" t="str">
        <f>" E (작업효율) = "&amp;Z1625&amp;" , qo (거리를 고려하지 않은 삽날의 용량) = "&amp;AD1625&amp;""</f>
        <v xml:space="preserve"> E (작업효율) = 0.35 , qo (거리를 고려하지 않은 삽날의 용량) = 3.2</v>
      </c>
      <c r="C1625" s="78"/>
      <c r="D1625" s="78"/>
      <c r="E1625" s="78"/>
      <c r="F1625" s="78"/>
      <c r="G1625" s="16" t="s">
        <v>1892</v>
      </c>
      <c r="Z1625" s="110">
        <v>0.35</v>
      </c>
      <c r="AA1625" s="20" t="s">
        <v>1326</v>
      </c>
      <c r="AB1625" s="112">
        <f>Z1625</f>
        <v>0.35</v>
      </c>
      <c r="AC1625" s="20" t="s">
        <v>1385</v>
      </c>
      <c r="AD1625" s="110">
        <v>3.2</v>
      </c>
      <c r="AE1625" s="20" t="s">
        <v>1326</v>
      </c>
      <c r="AF1625" s="112">
        <f>AD1625</f>
        <v>3.2</v>
      </c>
      <c r="AG1625" s="20" t="s">
        <v>1385</v>
      </c>
      <c r="AH1625" s="109"/>
      <c r="AI1625" s="109"/>
      <c r="AJ1625" s="109"/>
      <c r="AK1625" s="109"/>
      <c r="AL1625" s="109"/>
      <c r="AM1625" s="109"/>
      <c r="AN1625" s="109"/>
      <c r="AO1625" s="109"/>
      <c r="AP1625" s="109"/>
      <c r="AQ1625" s="109"/>
      <c r="AR1625" s="109"/>
      <c r="AS1625" s="109"/>
    </row>
    <row r="1626" spans="1:45" ht="12.6" customHeight="1" x14ac:dyDescent="0.3">
      <c r="A1626" s="78"/>
      <c r="B1626" s="78"/>
      <c r="C1626" s="78"/>
      <c r="D1626" s="78"/>
      <c r="E1626" s="78"/>
      <c r="F1626" s="78"/>
      <c r="G1626" s="16" t="s">
        <v>1317</v>
      </c>
      <c r="Z1626" s="109"/>
      <c r="AA1626" s="109"/>
      <c r="AB1626" s="109"/>
      <c r="AC1626" s="109"/>
      <c r="AD1626" s="109"/>
      <c r="AE1626" s="109"/>
      <c r="AF1626" s="109"/>
      <c r="AG1626" s="109"/>
      <c r="AH1626" s="109"/>
      <c r="AI1626" s="109"/>
      <c r="AJ1626" s="109"/>
      <c r="AK1626" s="109"/>
      <c r="AL1626" s="109"/>
      <c r="AM1626" s="109"/>
      <c r="AN1626" s="109"/>
      <c r="AO1626" s="109"/>
      <c r="AP1626" s="109"/>
      <c r="AQ1626" s="109"/>
      <c r="AR1626" s="109"/>
      <c r="AS1626" s="109"/>
    </row>
    <row r="1627" spans="1:45" ht="12.6" customHeight="1" x14ac:dyDescent="0.3">
      <c r="A1627" s="68"/>
      <c r="B1627" s="97" t="str">
        <f>" eo (운반거리계수) = "&amp;Z1627&amp;""</f>
        <v xml:space="preserve"> eo (운반거리계수) = 0.96</v>
      </c>
      <c r="C1627" s="78"/>
      <c r="D1627" s="78"/>
      <c r="E1627" s="78"/>
      <c r="F1627" s="78"/>
      <c r="G1627" s="16" t="s">
        <v>1893</v>
      </c>
      <c r="Z1627" s="110">
        <v>0.96</v>
      </c>
      <c r="AA1627" s="20" t="s">
        <v>1326</v>
      </c>
      <c r="AB1627" s="112">
        <f>Z1627</f>
        <v>0.96</v>
      </c>
      <c r="AC1627" s="109"/>
      <c r="AD1627" s="109"/>
      <c r="AE1627" s="109"/>
      <c r="AF1627" s="109"/>
      <c r="AG1627" s="109"/>
      <c r="AH1627" s="109"/>
      <c r="AI1627" s="109"/>
      <c r="AJ1627" s="109"/>
      <c r="AK1627" s="109"/>
      <c r="AL1627" s="109"/>
      <c r="AM1627" s="109"/>
      <c r="AN1627" s="109"/>
      <c r="AO1627" s="109"/>
      <c r="AP1627" s="109"/>
      <c r="AQ1627" s="109"/>
      <c r="AR1627" s="109"/>
      <c r="AS1627" s="109"/>
    </row>
    <row r="1628" spans="1:45" ht="12.6" customHeight="1" x14ac:dyDescent="0.3">
      <c r="A1628" s="78"/>
      <c r="B1628" s="78"/>
      <c r="C1628" s="78"/>
      <c r="D1628" s="78"/>
      <c r="E1628" s="78"/>
      <c r="F1628" s="78"/>
      <c r="G1628" s="16" t="s">
        <v>1317</v>
      </c>
      <c r="Z1628" s="109"/>
      <c r="AA1628" s="109"/>
      <c r="AB1628" s="109"/>
      <c r="AC1628" s="109"/>
      <c r="AD1628" s="109"/>
      <c r="AE1628" s="109"/>
      <c r="AF1628" s="109"/>
      <c r="AG1628" s="109"/>
      <c r="AH1628" s="109"/>
      <c r="AI1628" s="109"/>
      <c r="AJ1628" s="109"/>
      <c r="AK1628" s="109"/>
      <c r="AL1628" s="109"/>
      <c r="AM1628" s="109"/>
      <c r="AN1628" s="109"/>
      <c r="AO1628" s="109"/>
      <c r="AP1628" s="109"/>
      <c r="AQ1628" s="109"/>
      <c r="AR1628" s="109"/>
      <c r="AS1628" s="109"/>
    </row>
    <row r="1629" spans="1:45" ht="12.6" customHeight="1" x14ac:dyDescent="0.3">
      <c r="A1629" s="68"/>
      <c r="B1629" s="77" t="s">
        <v>1874</v>
      </c>
      <c r="C1629" s="78"/>
      <c r="D1629" s="78"/>
      <c r="E1629" s="78"/>
      <c r="F1629" s="78"/>
      <c r="G1629" s="16" t="s">
        <v>1873</v>
      </c>
      <c r="Z1629" s="109"/>
      <c r="AA1629" s="109"/>
      <c r="AB1629" s="109"/>
      <c r="AC1629" s="109"/>
      <c r="AD1629" s="109"/>
      <c r="AE1629" s="109"/>
      <c r="AF1629" s="109"/>
      <c r="AG1629" s="109"/>
      <c r="AH1629" s="109"/>
      <c r="AI1629" s="109"/>
      <c r="AJ1629" s="109"/>
      <c r="AK1629" s="109"/>
      <c r="AL1629" s="109"/>
      <c r="AM1629" s="109"/>
      <c r="AN1629" s="109"/>
      <c r="AO1629" s="109"/>
      <c r="AP1629" s="109"/>
      <c r="AQ1629" s="109"/>
      <c r="AR1629" s="109"/>
      <c r="AS1629" s="109"/>
    </row>
    <row r="1630" spans="1:45" ht="12.6" customHeight="1" x14ac:dyDescent="0.3">
      <c r="A1630" s="78"/>
      <c r="B1630" s="78"/>
      <c r="C1630" s="78"/>
      <c r="D1630" s="78"/>
      <c r="E1630" s="78"/>
      <c r="F1630" s="78"/>
      <c r="G1630" s="16" t="s">
        <v>1317</v>
      </c>
      <c r="Z1630" s="109"/>
      <c r="AA1630" s="109"/>
      <c r="AB1630" s="109"/>
      <c r="AC1630" s="109"/>
      <c r="AD1630" s="109"/>
      <c r="AE1630" s="109"/>
      <c r="AF1630" s="109"/>
      <c r="AG1630" s="109"/>
      <c r="AH1630" s="109"/>
      <c r="AI1630" s="109"/>
      <c r="AJ1630" s="109"/>
      <c r="AK1630" s="109"/>
      <c r="AL1630" s="109"/>
      <c r="AM1630" s="109"/>
      <c r="AN1630" s="109"/>
      <c r="AO1630" s="109"/>
      <c r="AP1630" s="109"/>
      <c r="AQ1630" s="109"/>
      <c r="AR1630" s="109"/>
      <c r="AS1630" s="109"/>
    </row>
    <row r="1631" spans="1:45" ht="12.6" customHeight="1" x14ac:dyDescent="0.3">
      <c r="A1631" s="68"/>
      <c r="B1631" s="77" t="s">
        <v>1876</v>
      </c>
      <c r="C1631" s="78"/>
      <c r="D1631" s="78"/>
      <c r="E1631" s="78"/>
      <c r="F1631" s="78"/>
      <c r="G1631" s="16" t="s">
        <v>1875</v>
      </c>
      <c r="Z1631" s="109"/>
      <c r="AA1631" s="109"/>
      <c r="AB1631" s="109"/>
      <c r="AC1631" s="109"/>
      <c r="AD1631" s="109"/>
      <c r="AE1631" s="109"/>
      <c r="AF1631" s="109"/>
      <c r="AG1631" s="109"/>
      <c r="AH1631" s="109"/>
      <c r="AI1631" s="109"/>
      <c r="AJ1631" s="109"/>
      <c r="AK1631" s="109"/>
      <c r="AL1631" s="109"/>
      <c r="AM1631" s="109"/>
      <c r="AN1631" s="109"/>
      <c r="AO1631" s="109"/>
      <c r="AP1631" s="109"/>
      <c r="AQ1631" s="109"/>
      <c r="AR1631" s="109"/>
      <c r="AS1631" s="109"/>
    </row>
    <row r="1632" spans="1:45" ht="12.6" customHeight="1" x14ac:dyDescent="0.3">
      <c r="A1632" s="78"/>
      <c r="B1632" s="78"/>
      <c r="C1632" s="78"/>
      <c r="D1632" s="78"/>
      <c r="E1632" s="78"/>
      <c r="F1632" s="78"/>
      <c r="G1632" s="16" t="s">
        <v>1317</v>
      </c>
      <c r="Z1632" s="109"/>
      <c r="AA1632" s="109"/>
      <c r="AB1632" s="109"/>
      <c r="AC1632" s="109"/>
      <c r="AD1632" s="109"/>
      <c r="AE1632" s="109"/>
      <c r="AF1632" s="109"/>
      <c r="AG1632" s="109"/>
      <c r="AH1632" s="109"/>
      <c r="AI1632" s="109"/>
      <c r="AJ1632" s="109"/>
      <c r="AK1632" s="109"/>
      <c r="AL1632" s="109"/>
      <c r="AM1632" s="109"/>
      <c r="AN1632" s="109"/>
      <c r="AO1632" s="109"/>
      <c r="AP1632" s="109"/>
      <c r="AQ1632" s="109"/>
      <c r="AR1632" s="109"/>
      <c r="AS1632" s="109"/>
    </row>
    <row r="1633" spans="1:45" ht="12.6" customHeight="1" x14ac:dyDescent="0.3">
      <c r="A1633" s="68"/>
      <c r="B1633" s="97" t="str">
        <f>" P=qo*eo= "&amp;AD1633&amp;""</f>
        <v xml:space="preserve"> P=qo*eo= 3.07</v>
      </c>
      <c r="C1633" s="78"/>
      <c r="D1633" s="78"/>
      <c r="E1633" s="78"/>
      <c r="F1633" s="78"/>
      <c r="G1633" s="16" t="s">
        <v>1877</v>
      </c>
      <c r="Z1633" s="112">
        <f>AF1625</f>
        <v>3.2</v>
      </c>
      <c r="AA1633" s="20" t="s">
        <v>1390</v>
      </c>
      <c r="AB1633" s="112">
        <f>AB1627</f>
        <v>0.96</v>
      </c>
      <c r="AC1633" s="20" t="s">
        <v>1326</v>
      </c>
      <c r="AD1633" s="112" t="str">
        <f>TEXT(ROUND(AF1625*AB1627,2),"0.00")</f>
        <v>3.07</v>
      </c>
      <c r="AE1633" s="109"/>
      <c r="AF1633" s="109"/>
      <c r="AG1633" s="109"/>
      <c r="AH1633" s="109"/>
      <c r="AI1633" s="109"/>
      <c r="AJ1633" s="109"/>
      <c r="AK1633" s="109"/>
      <c r="AL1633" s="109"/>
      <c r="AM1633" s="109"/>
      <c r="AN1633" s="109"/>
      <c r="AO1633" s="109"/>
      <c r="AP1633" s="109"/>
      <c r="AQ1633" s="109"/>
      <c r="AR1633" s="109"/>
      <c r="AS1633" s="109"/>
    </row>
    <row r="1634" spans="1:45" ht="12.6" customHeight="1" x14ac:dyDescent="0.3">
      <c r="A1634" s="78"/>
      <c r="B1634" s="78"/>
      <c r="C1634" s="78"/>
      <c r="D1634" s="78"/>
      <c r="E1634" s="78"/>
      <c r="F1634" s="78"/>
      <c r="G1634" s="16" t="s">
        <v>1317</v>
      </c>
      <c r="Z1634" s="109"/>
      <c r="AA1634" s="109"/>
      <c r="AB1634" s="109"/>
      <c r="AC1634" s="109"/>
      <c r="AD1634" s="109"/>
      <c r="AE1634" s="109"/>
      <c r="AF1634" s="109"/>
      <c r="AG1634" s="109"/>
      <c r="AH1634" s="109"/>
      <c r="AI1634" s="109"/>
      <c r="AJ1634" s="109"/>
      <c r="AK1634" s="109"/>
      <c r="AL1634" s="109"/>
      <c r="AM1634" s="109"/>
      <c r="AN1634" s="109"/>
      <c r="AO1634" s="109"/>
      <c r="AP1634" s="109"/>
      <c r="AQ1634" s="109"/>
      <c r="AR1634" s="109"/>
      <c r="AS1634" s="109"/>
    </row>
    <row r="1635" spans="1:45" ht="12.6" customHeight="1" x14ac:dyDescent="0.3">
      <c r="A1635" s="68"/>
      <c r="B1635" s="97" t="str">
        <f>" V1 (전진속도) = "&amp;Z1635&amp;" m/min  , V2 (후진속도)  = "&amp;AD1635&amp;" m/min "</f>
        <v xml:space="preserve"> V1 (전진속도) = 55 m/min  , V2 (후진속도)  = 70 m/min </v>
      </c>
      <c r="C1635" s="78"/>
      <c r="D1635" s="78"/>
      <c r="E1635" s="78"/>
      <c r="F1635" s="78"/>
      <c r="G1635" s="16" t="s">
        <v>1894</v>
      </c>
      <c r="Z1635" s="111">
        <v>55</v>
      </c>
      <c r="AA1635" s="20" t="s">
        <v>1326</v>
      </c>
      <c r="AB1635" s="112">
        <f>Z1635</f>
        <v>55</v>
      </c>
      <c r="AC1635" s="20" t="s">
        <v>1385</v>
      </c>
      <c r="AD1635" s="111">
        <v>70</v>
      </c>
      <c r="AE1635" s="20" t="s">
        <v>1326</v>
      </c>
      <c r="AF1635" s="112">
        <f>AD1635</f>
        <v>70</v>
      </c>
      <c r="AG1635" s="20" t="s">
        <v>1385</v>
      </c>
      <c r="AH1635" s="109"/>
      <c r="AI1635" s="109"/>
      <c r="AJ1635" s="109"/>
      <c r="AK1635" s="109"/>
      <c r="AL1635" s="109"/>
      <c r="AM1635" s="109"/>
      <c r="AN1635" s="109"/>
      <c r="AO1635" s="109"/>
      <c r="AP1635" s="109"/>
      <c r="AQ1635" s="109"/>
      <c r="AR1635" s="109"/>
      <c r="AS1635" s="109"/>
    </row>
    <row r="1636" spans="1:45" ht="12.6" customHeight="1" x14ac:dyDescent="0.3">
      <c r="A1636" s="78"/>
      <c r="B1636" s="78"/>
      <c r="C1636" s="78"/>
      <c r="D1636" s="78"/>
      <c r="E1636" s="78"/>
      <c r="F1636" s="78"/>
      <c r="G1636" s="16" t="s">
        <v>1317</v>
      </c>
      <c r="Z1636" s="109"/>
      <c r="AA1636" s="109"/>
      <c r="AB1636" s="109"/>
      <c r="AC1636" s="109"/>
      <c r="AD1636" s="109"/>
      <c r="AE1636" s="109"/>
      <c r="AF1636" s="109"/>
      <c r="AG1636" s="109"/>
      <c r="AH1636" s="109"/>
      <c r="AI1636" s="109"/>
      <c r="AJ1636" s="109"/>
      <c r="AK1636" s="109"/>
      <c r="AL1636" s="109"/>
      <c r="AM1636" s="109"/>
      <c r="AN1636" s="109"/>
      <c r="AO1636" s="109"/>
      <c r="AP1636" s="109"/>
      <c r="AQ1636" s="109"/>
      <c r="AR1636" s="109"/>
      <c r="AS1636" s="109"/>
    </row>
    <row r="1637" spans="1:45" ht="12.6" customHeight="1" x14ac:dyDescent="0.3">
      <c r="A1637" s="68"/>
      <c r="B1637" s="97" t="str">
        <f>" Cm (1회 사이클 시간(분))  = L/V1 + L/V2 + "&amp;AH1637&amp;" = "&amp;AJ1637&amp;" 분 "</f>
        <v xml:space="preserve"> Cm (1회 사이클 시간(분))  = L/V1 + L/V2 + 0.25 = 0.87 분 </v>
      </c>
      <c r="C1637" s="78"/>
      <c r="D1637" s="78"/>
      <c r="E1637" s="78"/>
      <c r="F1637" s="78"/>
      <c r="G1637" s="16" t="s">
        <v>1895</v>
      </c>
      <c r="Z1637" s="112" t="str">
        <f>AD1621</f>
        <v>19.13</v>
      </c>
      <c r="AA1637" s="20" t="s">
        <v>1387</v>
      </c>
      <c r="AB1637" s="112">
        <f>AB1635</f>
        <v>55</v>
      </c>
      <c r="AC1637" s="20" t="s">
        <v>1535</v>
      </c>
      <c r="AD1637" s="112" t="str">
        <f>AD1621</f>
        <v>19.13</v>
      </c>
      <c r="AE1637" s="20" t="s">
        <v>1387</v>
      </c>
      <c r="AF1637" s="112">
        <f>AF1635</f>
        <v>70</v>
      </c>
      <c r="AG1637" s="20" t="s">
        <v>1535</v>
      </c>
      <c r="AH1637" s="110">
        <v>0.25</v>
      </c>
      <c r="AI1637" s="20" t="s">
        <v>1326</v>
      </c>
      <c r="AJ1637" s="112" t="str">
        <f>TEXT(ROUND(AD1621/AB1635+AD1621/AF1635+AH1637,2),"0.00")</f>
        <v>0.87</v>
      </c>
      <c r="AK1637" s="109"/>
      <c r="AL1637" s="109"/>
      <c r="AM1637" s="109"/>
      <c r="AN1637" s="109"/>
      <c r="AO1637" s="109"/>
      <c r="AP1637" s="109"/>
      <c r="AQ1637" s="109"/>
      <c r="AR1637" s="109"/>
      <c r="AS1637" s="109"/>
    </row>
    <row r="1638" spans="1:45" ht="12.6" customHeight="1" x14ac:dyDescent="0.3">
      <c r="A1638" s="78"/>
      <c r="B1638" s="78"/>
      <c r="C1638" s="78"/>
      <c r="D1638" s="78"/>
      <c r="E1638" s="78"/>
      <c r="F1638" s="78"/>
      <c r="G1638" s="16" t="s">
        <v>1317</v>
      </c>
      <c r="Z1638" s="109"/>
      <c r="AA1638" s="109"/>
      <c r="AB1638" s="109"/>
      <c r="AC1638" s="109"/>
      <c r="AD1638" s="109"/>
      <c r="AE1638" s="109"/>
      <c r="AF1638" s="109"/>
      <c r="AG1638" s="109"/>
      <c r="AH1638" s="109"/>
      <c r="AI1638" s="109"/>
      <c r="AJ1638" s="109"/>
      <c r="AK1638" s="109"/>
      <c r="AL1638" s="109"/>
      <c r="AM1638" s="109"/>
      <c r="AN1638" s="109"/>
      <c r="AO1638" s="109"/>
      <c r="AP1638" s="109"/>
      <c r="AQ1638" s="109"/>
      <c r="AR1638" s="109"/>
      <c r="AS1638" s="109"/>
    </row>
    <row r="1639" spans="1:45" ht="12.6" customHeight="1" x14ac:dyDescent="0.3">
      <c r="A1639" s="68"/>
      <c r="B1639" s="97" t="str">
        <f>" Q  (시간당 작업량) = "&amp;Z1639&amp;" * P * f * E / Cm = "&amp;AJ1639&amp;" m3/hr "</f>
        <v xml:space="preserve"> Q  (시간당 작업량) = 60 * P * f * E / Cm = 60.76 m3/hr </v>
      </c>
      <c r="C1639" s="78"/>
      <c r="D1639" s="78"/>
      <c r="E1639" s="78"/>
      <c r="F1639" s="78"/>
      <c r="G1639" s="16" t="s">
        <v>1896</v>
      </c>
      <c r="Z1639" s="111">
        <v>60</v>
      </c>
      <c r="AA1639" s="20" t="s">
        <v>1390</v>
      </c>
      <c r="AB1639" s="112" t="str">
        <f>AD1633</f>
        <v>3.07</v>
      </c>
      <c r="AC1639" s="20" t="s">
        <v>1390</v>
      </c>
      <c r="AD1639" s="112" t="str">
        <f>AD1623</f>
        <v>0.82</v>
      </c>
      <c r="AE1639" s="20" t="s">
        <v>1390</v>
      </c>
      <c r="AF1639" s="112">
        <f>AB1625</f>
        <v>0.35</v>
      </c>
      <c r="AG1639" s="20" t="s">
        <v>1387</v>
      </c>
      <c r="AH1639" s="112" t="str">
        <f>AJ1637</f>
        <v>0.87</v>
      </c>
      <c r="AI1639" s="20" t="s">
        <v>1326</v>
      </c>
      <c r="AJ1639" s="112" t="str">
        <f>TEXT(ROUND(Z1639*AD1633*AD1623*AB1625/AJ1637,2),"0.00")</f>
        <v>60.76</v>
      </c>
      <c r="AK1639" s="109"/>
      <c r="AL1639" s="109"/>
      <c r="AM1639" s="109"/>
      <c r="AN1639" s="109"/>
      <c r="AO1639" s="109"/>
      <c r="AP1639" s="109"/>
      <c r="AQ1639" s="109"/>
      <c r="AR1639" s="109"/>
      <c r="AS1639" s="109"/>
    </row>
    <row r="1640" spans="1:45" ht="12.6" customHeight="1" x14ac:dyDescent="0.3">
      <c r="A1640" s="78"/>
      <c r="B1640" s="78"/>
      <c r="C1640" s="78"/>
      <c r="D1640" s="78"/>
      <c r="E1640" s="78"/>
      <c r="F1640" s="78"/>
      <c r="G1640" s="16" t="s">
        <v>1317</v>
      </c>
      <c r="Z1640" s="109"/>
      <c r="AA1640" s="109"/>
      <c r="AB1640" s="109"/>
      <c r="AC1640" s="109"/>
      <c r="AD1640" s="109"/>
      <c r="AE1640" s="109"/>
      <c r="AF1640" s="109"/>
      <c r="AG1640" s="109"/>
      <c r="AH1640" s="109"/>
      <c r="AI1640" s="109"/>
      <c r="AJ1640" s="109"/>
      <c r="AK1640" s="109"/>
      <c r="AL1640" s="109"/>
      <c r="AM1640" s="109"/>
      <c r="AN1640" s="109"/>
      <c r="AO1640" s="109"/>
      <c r="AP1640" s="109"/>
      <c r="AQ1640" s="109"/>
      <c r="AR1640" s="109"/>
      <c r="AS1640" s="109"/>
    </row>
    <row r="1641" spans="1:45" ht="12.6" customHeight="1" x14ac:dyDescent="0.3">
      <c r="A1641" s="78"/>
      <c r="B1641" s="78"/>
      <c r="C1641" s="78"/>
      <c r="D1641" s="78"/>
      <c r="E1641" s="78"/>
      <c r="F1641" s="78"/>
      <c r="G1641" s="16" t="s">
        <v>1317</v>
      </c>
      <c r="Z1641" s="109"/>
      <c r="AA1641" s="109"/>
      <c r="AB1641" s="109"/>
      <c r="AC1641" s="109"/>
      <c r="AD1641" s="109"/>
      <c r="AE1641" s="109"/>
      <c r="AF1641" s="109"/>
      <c r="AG1641" s="109"/>
      <c r="AH1641" s="109"/>
      <c r="AI1641" s="109"/>
      <c r="AJ1641" s="109"/>
      <c r="AK1641" s="109"/>
      <c r="AL1641" s="109"/>
      <c r="AM1641" s="109"/>
      <c r="AN1641" s="109"/>
      <c r="AO1641" s="109"/>
      <c r="AP1641" s="109"/>
      <c r="AQ1641" s="109"/>
      <c r="AR1641" s="109"/>
      <c r="AS1641" s="109"/>
    </row>
    <row r="1642" spans="1:45" ht="12.6" customHeight="1" x14ac:dyDescent="0.3">
      <c r="A1642" s="68" t="s">
        <v>1898</v>
      </c>
      <c r="B1642" s="97" t="str">
        <f>" 노 무 비  :   "&amp;TEXT(I1642,"#,##0"&amp;IF(I1642&lt;&gt;INT(I1642),".###",""))&amp;" / Q = "&amp;TEXT(C1642,"#,##0.0")&amp;""</f>
        <v xml:space="preserve"> 노 무 비  :   55,700 / Q = 916.7</v>
      </c>
      <c r="C1642" s="99">
        <f>E1642+D1642+F1642</f>
        <v>916.7</v>
      </c>
      <c r="D1642" s="99">
        <f>IF(H1642=0,0,ROUNDDOWN(J1642*H1642,1))</f>
        <v>916.7</v>
      </c>
      <c r="E1642" s="99">
        <f>IF(H1642=0,0,ROUNDDOWN(K1642*H1642,1))</f>
        <v>0</v>
      </c>
      <c r="F1642" s="99">
        <f>IF(H1642=0,0,ROUNDDOWN(L1642*H1642,1))</f>
        <v>0</v>
      </c>
      <c r="G1642" s="16" t="s">
        <v>1897</v>
      </c>
      <c r="H1642" s="105">
        <f>AC1642</f>
        <v>1.6458196181698487E-2</v>
      </c>
      <c r="I1642" s="106">
        <f>K1642+J1642+L1642</f>
        <v>55700</v>
      </c>
      <c r="J1642" s="39">
        <f>중기목록표!F20</f>
        <v>55700</v>
      </c>
      <c r="M1642" s="20" t="s">
        <v>1899</v>
      </c>
      <c r="N1642" s="20" t="s">
        <v>1332</v>
      </c>
      <c r="X1642" s="108" t="str">
        <f>중기목록표!B20&amp;" / "&amp;중기목록표!C20</f>
        <v>불도우저19ton / (암)</v>
      </c>
      <c r="Y1642" s="19" t="str">
        <f ca="1">HYPERLINK("#"&amp;중기목록표!J2&amp;"!A"&amp;ROW(중기목록표!A20),"중기   17 →")</f>
        <v>중기   17 →</v>
      </c>
      <c r="Z1642" s="20" t="s">
        <v>1393</v>
      </c>
      <c r="AA1642" s="112" t="str">
        <f>AJ1639</f>
        <v>60.76</v>
      </c>
      <c r="AB1642" s="20" t="s">
        <v>1326</v>
      </c>
      <c r="AC1642" s="113">
        <f>1/AJ1639</f>
        <v>1.6458196181698487E-2</v>
      </c>
      <c r="AD1642" s="109"/>
      <c r="AE1642" s="109"/>
      <c r="AF1642" s="109"/>
      <c r="AG1642" s="109"/>
      <c r="AH1642" s="109"/>
      <c r="AI1642" s="109"/>
      <c r="AJ1642" s="109"/>
      <c r="AK1642" s="109"/>
      <c r="AL1642" s="109"/>
      <c r="AM1642" s="109"/>
      <c r="AN1642" s="109"/>
      <c r="AO1642" s="109"/>
      <c r="AP1642" s="109"/>
      <c r="AQ1642" s="109"/>
      <c r="AR1642" s="109"/>
      <c r="AS1642" s="109"/>
    </row>
    <row r="1643" spans="1:45" ht="12.6" customHeight="1" x14ac:dyDescent="0.3">
      <c r="A1643" s="78"/>
      <c r="B1643" s="78"/>
      <c r="C1643" s="78"/>
      <c r="D1643" s="78"/>
      <c r="E1643" s="78"/>
      <c r="F1643" s="78"/>
      <c r="G1643" s="16" t="s">
        <v>1317</v>
      </c>
      <c r="Z1643" s="109"/>
      <c r="AA1643" s="109"/>
      <c r="AB1643" s="109"/>
      <c r="AC1643" s="109"/>
      <c r="AD1643" s="109"/>
      <c r="AE1643" s="109"/>
      <c r="AF1643" s="109"/>
      <c r="AG1643" s="109"/>
      <c r="AH1643" s="109"/>
      <c r="AI1643" s="109"/>
      <c r="AJ1643" s="109"/>
      <c r="AK1643" s="109"/>
      <c r="AL1643" s="109"/>
      <c r="AM1643" s="109"/>
      <c r="AN1643" s="109"/>
      <c r="AO1643" s="109"/>
      <c r="AP1643" s="109"/>
      <c r="AQ1643" s="109"/>
      <c r="AR1643" s="109"/>
      <c r="AS1643" s="109"/>
    </row>
    <row r="1644" spans="1:45" ht="12.6" customHeight="1" x14ac:dyDescent="0.3">
      <c r="A1644" s="68" t="s">
        <v>1901</v>
      </c>
      <c r="B1644" s="97" t="str">
        <f>" 재 료 비  :   "&amp;TEXT(I1644,"#,##0"&amp;IF(I1644&lt;&gt;INT(I1644),".###",""))&amp;" / Q = "&amp;TEXT(C1644,"#,##0.0")&amp;""</f>
        <v xml:space="preserve"> 재 료 비  :   36,888 / Q = 607.1</v>
      </c>
      <c r="C1644" s="99">
        <f>E1644+D1644+F1644</f>
        <v>607.1</v>
      </c>
      <c r="D1644" s="99">
        <f>IF(H1644=0,0,ROUNDDOWN(J1644*H1644,1))</f>
        <v>0</v>
      </c>
      <c r="E1644" s="99">
        <f>IF(H1644=0,0,ROUNDDOWN(K1644*H1644,1))</f>
        <v>607.1</v>
      </c>
      <c r="F1644" s="99">
        <f>IF(H1644=0,0,ROUNDDOWN(L1644*H1644,1))</f>
        <v>0</v>
      </c>
      <c r="G1644" s="16" t="s">
        <v>1900</v>
      </c>
      <c r="H1644" s="105">
        <f>AC1644</f>
        <v>1.6458196181698487E-2</v>
      </c>
      <c r="I1644" s="106">
        <f>K1644+J1644+L1644</f>
        <v>36888</v>
      </c>
      <c r="K1644" s="39">
        <f>중기목록표!G20</f>
        <v>36888</v>
      </c>
      <c r="M1644" s="20" t="s">
        <v>1899</v>
      </c>
      <c r="N1644" s="20" t="s">
        <v>1332</v>
      </c>
      <c r="X1644" s="108" t="str">
        <f>중기목록표!B20&amp;" / "&amp;중기목록표!C20</f>
        <v>불도우저19ton / (암)</v>
      </c>
      <c r="Y1644" s="19" t="str">
        <f ca="1">HYPERLINK("#"&amp;중기목록표!J2&amp;"!A"&amp;ROW(중기목록표!A20),"중기   17 →")</f>
        <v>중기   17 →</v>
      </c>
      <c r="Z1644" s="20" t="s">
        <v>1393</v>
      </c>
      <c r="AA1644" s="112" t="str">
        <f>AJ1639</f>
        <v>60.76</v>
      </c>
      <c r="AB1644" s="20" t="s">
        <v>1326</v>
      </c>
      <c r="AC1644" s="113">
        <f>1/AJ1639</f>
        <v>1.6458196181698487E-2</v>
      </c>
      <c r="AD1644" s="109"/>
      <c r="AE1644" s="109"/>
      <c r="AF1644" s="109"/>
      <c r="AG1644" s="109"/>
      <c r="AH1644" s="109"/>
      <c r="AI1644" s="109"/>
      <c r="AJ1644" s="109"/>
      <c r="AK1644" s="109"/>
      <c r="AL1644" s="109"/>
      <c r="AM1644" s="109"/>
      <c r="AN1644" s="109"/>
      <c r="AO1644" s="109"/>
      <c r="AP1644" s="109"/>
      <c r="AQ1644" s="109"/>
      <c r="AR1644" s="109"/>
      <c r="AS1644" s="109"/>
    </row>
    <row r="1645" spans="1:45" ht="12.6" customHeight="1" x14ac:dyDescent="0.3">
      <c r="A1645" s="78"/>
      <c r="B1645" s="78"/>
      <c r="C1645" s="78"/>
      <c r="D1645" s="78"/>
      <c r="E1645" s="78"/>
      <c r="F1645" s="78"/>
      <c r="G1645" s="16" t="s">
        <v>1317</v>
      </c>
      <c r="Z1645" s="109"/>
      <c r="AA1645" s="109"/>
      <c r="AB1645" s="109"/>
      <c r="AC1645" s="109"/>
      <c r="AD1645" s="109"/>
      <c r="AE1645" s="109"/>
      <c r="AF1645" s="109"/>
      <c r="AG1645" s="109"/>
      <c r="AH1645" s="109"/>
      <c r="AI1645" s="109"/>
      <c r="AJ1645" s="109"/>
      <c r="AK1645" s="109"/>
      <c r="AL1645" s="109"/>
      <c r="AM1645" s="109"/>
      <c r="AN1645" s="109"/>
      <c r="AO1645" s="109"/>
      <c r="AP1645" s="109"/>
      <c r="AQ1645" s="109"/>
      <c r="AR1645" s="109"/>
      <c r="AS1645" s="109"/>
    </row>
    <row r="1646" spans="1:45" ht="12.6" customHeight="1" x14ac:dyDescent="0.3">
      <c r="A1646" s="68" t="s">
        <v>1903</v>
      </c>
      <c r="B1646" s="97" t="str">
        <f>" 경    비  :   "&amp;TEXT(I1646,"#,##0"&amp;IF(I1646&lt;&gt;INT(I1646),".###",""))&amp;" / Q = "&amp;TEXT(C1646,"#,##0.0")&amp;""</f>
        <v xml:space="preserve"> 경    비  :   38,320 / Q = 630.6</v>
      </c>
      <c r="C1646" s="99">
        <f>E1646+D1646+F1646</f>
        <v>630.6</v>
      </c>
      <c r="D1646" s="99">
        <f>IF(H1646=0,0,ROUNDDOWN(J1646*H1646,1))</f>
        <v>0</v>
      </c>
      <c r="E1646" s="99">
        <f>IF(H1646=0,0,ROUNDDOWN(K1646*H1646,1))</f>
        <v>0</v>
      </c>
      <c r="F1646" s="99">
        <f>IF(H1646=0,0,ROUNDDOWN(L1646*H1646,1))</f>
        <v>630.6</v>
      </c>
      <c r="G1646" s="16" t="s">
        <v>1902</v>
      </c>
      <c r="H1646" s="105">
        <f>AC1646</f>
        <v>1.6458196181698487E-2</v>
      </c>
      <c r="I1646" s="106">
        <f>K1646+J1646+L1646</f>
        <v>38320</v>
      </c>
      <c r="L1646" s="39">
        <f>중기목록표!H20</f>
        <v>38320</v>
      </c>
      <c r="M1646" s="20" t="s">
        <v>1899</v>
      </c>
      <c r="N1646" s="20" t="s">
        <v>1332</v>
      </c>
      <c r="X1646" s="108" t="str">
        <f>중기목록표!B20&amp;" / "&amp;중기목록표!C20</f>
        <v>불도우저19ton / (암)</v>
      </c>
      <c r="Y1646" s="19" t="str">
        <f ca="1">HYPERLINK("#"&amp;중기목록표!J2&amp;"!A"&amp;ROW(중기목록표!A20),"중기   17 →")</f>
        <v>중기   17 →</v>
      </c>
      <c r="Z1646" s="20" t="s">
        <v>1393</v>
      </c>
      <c r="AA1646" s="112" t="str">
        <f>AJ1639</f>
        <v>60.76</v>
      </c>
      <c r="AB1646" s="20" t="s">
        <v>1326</v>
      </c>
      <c r="AC1646" s="113">
        <f>1/AJ1639</f>
        <v>1.6458196181698487E-2</v>
      </c>
      <c r="AD1646" s="109"/>
      <c r="AE1646" s="109"/>
      <c r="AF1646" s="109"/>
      <c r="AG1646" s="109"/>
      <c r="AH1646" s="109"/>
      <c r="AI1646" s="109"/>
      <c r="AJ1646" s="109"/>
      <c r="AK1646" s="109"/>
      <c r="AL1646" s="109"/>
      <c r="AM1646" s="109"/>
      <c r="AN1646" s="109"/>
      <c r="AO1646" s="109"/>
      <c r="AP1646" s="109"/>
      <c r="AQ1646" s="109"/>
      <c r="AR1646" s="109"/>
      <c r="AS1646" s="109"/>
    </row>
    <row r="1647" spans="1:45" ht="12.6" customHeight="1" x14ac:dyDescent="0.3">
      <c r="A1647" s="78"/>
      <c r="B1647" s="78"/>
      <c r="C1647" s="78"/>
      <c r="D1647" s="78"/>
      <c r="E1647" s="78"/>
      <c r="F1647" s="78"/>
      <c r="G1647" s="16" t="s">
        <v>1317</v>
      </c>
      <c r="Z1647" s="109"/>
      <c r="AA1647" s="109"/>
      <c r="AB1647" s="109"/>
      <c r="AC1647" s="109"/>
      <c r="AD1647" s="109"/>
      <c r="AE1647" s="109"/>
      <c r="AF1647" s="109"/>
      <c r="AG1647" s="109"/>
      <c r="AH1647" s="109"/>
      <c r="AI1647" s="109"/>
      <c r="AJ1647" s="109"/>
      <c r="AK1647" s="109"/>
      <c r="AL1647" s="109"/>
      <c r="AM1647" s="109"/>
      <c r="AN1647" s="109"/>
      <c r="AO1647" s="109"/>
      <c r="AP1647" s="109"/>
      <c r="AQ1647" s="109"/>
      <c r="AR1647" s="109"/>
      <c r="AS1647" s="109"/>
    </row>
    <row r="1648" spans="1:45" ht="12.6" customHeight="1" x14ac:dyDescent="0.3">
      <c r="A1648" s="78"/>
      <c r="B1648" s="78"/>
      <c r="C1648" s="78"/>
      <c r="D1648" s="78"/>
      <c r="E1648" s="78"/>
      <c r="F1648" s="78"/>
      <c r="G1648" s="16" t="s">
        <v>1317</v>
      </c>
      <c r="Z1648" s="109"/>
      <c r="AA1648" s="109"/>
      <c r="AB1648" s="109"/>
      <c r="AC1648" s="109"/>
      <c r="AD1648" s="109"/>
      <c r="AE1648" s="109"/>
      <c r="AF1648" s="109"/>
      <c r="AG1648" s="109"/>
      <c r="AH1648" s="109"/>
      <c r="AI1648" s="109"/>
      <c r="AJ1648" s="109"/>
      <c r="AK1648" s="109"/>
      <c r="AL1648" s="109"/>
      <c r="AM1648" s="109"/>
      <c r="AN1648" s="109"/>
      <c r="AO1648" s="109"/>
      <c r="AP1648" s="109"/>
      <c r="AQ1648" s="109"/>
      <c r="AR1648" s="109"/>
      <c r="AS1648" s="109"/>
    </row>
    <row r="1649" spans="1:45" ht="12.6" customHeight="1" x14ac:dyDescent="0.3">
      <c r="A1649" s="68"/>
      <c r="B1649" s="77" t="s">
        <v>1331</v>
      </c>
      <c r="C1649" s="100">
        <f>E1649+D1649+F1649</f>
        <v>2154.4</v>
      </c>
      <c r="D1649" s="100">
        <f>SUMIF(N1617:N1648,M1649,D1617:D1648)</f>
        <v>916.7</v>
      </c>
      <c r="E1649" s="100">
        <f>SUMIF(N1617:N1648,M1649,E1617:E1648)</f>
        <v>607.1</v>
      </c>
      <c r="F1649" s="100">
        <f>SUMIF(N1617:N1648,M1649,F1617:F1648)</f>
        <v>630.6</v>
      </c>
      <c r="G1649" s="16" t="s">
        <v>1415</v>
      </c>
      <c r="M1649" s="20" t="s">
        <v>1332</v>
      </c>
      <c r="N1649" s="20" t="s">
        <v>1128</v>
      </c>
      <c r="Z1649" s="109"/>
      <c r="AA1649" s="109"/>
      <c r="AB1649" s="109"/>
      <c r="AC1649" s="109"/>
      <c r="AD1649" s="109"/>
      <c r="AE1649" s="109"/>
      <c r="AF1649" s="109"/>
      <c r="AG1649" s="109"/>
      <c r="AH1649" s="109"/>
      <c r="AI1649" s="109"/>
      <c r="AJ1649" s="109"/>
      <c r="AK1649" s="109"/>
      <c r="AL1649" s="109"/>
      <c r="AM1649" s="109"/>
      <c r="AN1649" s="109"/>
      <c r="AO1649" s="109"/>
      <c r="AP1649" s="109"/>
      <c r="AQ1649" s="109"/>
      <c r="AR1649" s="109"/>
      <c r="AS1649" s="109"/>
    </row>
    <row r="1650" spans="1:45" ht="12.6" customHeight="1" x14ac:dyDescent="0.3">
      <c r="A1650" s="78"/>
      <c r="B1650" s="78"/>
      <c r="C1650" s="98"/>
      <c r="D1650" s="98"/>
      <c r="E1650" s="98"/>
      <c r="F1650" s="98"/>
      <c r="Z1650" s="109"/>
      <c r="AA1650" s="109"/>
      <c r="AB1650" s="109"/>
      <c r="AC1650" s="109"/>
      <c r="AD1650" s="109"/>
      <c r="AE1650" s="109"/>
      <c r="AF1650" s="109"/>
      <c r="AG1650" s="109"/>
      <c r="AH1650" s="109"/>
      <c r="AI1650" s="109"/>
      <c r="AJ1650" s="109"/>
      <c r="AK1650" s="109"/>
      <c r="AL1650" s="109"/>
      <c r="AM1650" s="109"/>
      <c r="AN1650" s="109"/>
      <c r="AO1650" s="109"/>
      <c r="AP1650" s="109"/>
      <c r="AQ1650" s="109"/>
      <c r="AR1650" s="109"/>
      <c r="AS1650" s="109"/>
    </row>
    <row r="1651" spans="1:45" ht="12.6" customHeight="1" x14ac:dyDescent="0.3">
      <c r="A1651" s="78"/>
      <c r="B1651" s="78"/>
      <c r="C1651" s="78"/>
      <c r="D1651" s="78"/>
      <c r="E1651" s="78"/>
      <c r="F1651" s="78"/>
      <c r="Z1651" s="109"/>
      <c r="AA1651" s="109"/>
      <c r="AB1651" s="109"/>
      <c r="AC1651" s="109"/>
      <c r="AD1651" s="109"/>
      <c r="AE1651" s="109"/>
      <c r="AF1651" s="109"/>
      <c r="AG1651" s="109"/>
      <c r="AH1651" s="109"/>
      <c r="AI1651" s="109"/>
      <c r="AJ1651" s="109"/>
      <c r="AK1651" s="109"/>
      <c r="AL1651" s="109"/>
      <c r="AM1651" s="109"/>
      <c r="AN1651" s="109"/>
      <c r="AO1651" s="109"/>
      <c r="AP1651" s="109"/>
      <c r="AQ1651" s="109"/>
      <c r="AR1651" s="109"/>
      <c r="AS1651" s="109"/>
    </row>
    <row r="1652" spans="1:45" ht="12.6" customHeight="1" x14ac:dyDescent="0.3">
      <c r="A1652" s="78"/>
      <c r="B1652" s="78"/>
      <c r="C1652" s="78"/>
      <c r="D1652" s="78"/>
      <c r="E1652" s="78"/>
      <c r="F1652" s="78"/>
      <c r="Z1652" s="109"/>
      <c r="AA1652" s="109"/>
      <c r="AB1652" s="109"/>
      <c r="AC1652" s="109"/>
      <c r="AD1652" s="109"/>
      <c r="AE1652" s="109"/>
      <c r="AF1652" s="109"/>
      <c r="AG1652" s="109"/>
      <c r="AH1652" s="109"/>
      <c r="AI1652" s="109"/>
      <c r="AJ1652" s="109"/>
      <c r="AK1652" s="109"/>
      <c r="AL1652" s="109"/>
      <c r="AM1652" s="109"/>
      <c r="AN1652" s="109"/>
      <c r="AO1652" s="109"/>
      <c r="AP1652" s="109"/>
      <c r="AQ1652" s="109"/>
      <c r="AR1652" s="109"/>
      <c r="AS1652" s="109"/>
    </row>
    <row r="1653" spans="1:45" ht="12.6" customHeight="1" x14ac:dyDescent="0.3">
      <c r="A1653" s="78"/>
      <c r="B1653" s="78"/>
      <c r="C1653" s="78"/>
      <c r="D1653" s="78"/>
      <c r="E1653" s="78"/>
      <c r="F1653" s="78"/>
      <c r="Z1653" s="109"/>
      <c r="AA1653" s="109"/>
      <c r="AB1653" s="109"/>
      <c r="AC1653" s="109"/>
      <c r="AD1653" s="109"/>
      <c r="AE1653" s="109"/>
      <c r="AF1653" s="109"/>
      <c r="AG1653" s="109"/>
      <c r="AH1653" s="109"/>
      <c r="AI1653" s="109"/>
      <c r="AJ1653" s="109"/>
      <c r="AK1653" s="109"/>
      <c r="AL1653" s="109"/>
      <c r="AM1653" s="109"/>
      <c r="AN1653" s="109"/>
      <c r="AO1653" s="109"/>
      <c r="AP1653" s="109"/>
      <c r="AQ1653" s="109"/>
      <c r="AR1653" s="109"/>
      <c r="AS1653" s="109"/>
    </row>
    <row r="1654" spans="1:45" ht="12.6" customHeight="1" x14ac:dyDescent="0.3">
      <c r="A1654" s="78"/>
      <c r="B1654" s="78"/>
      <c r="C1654" s="78"/>
      <c r="D1654" s="78"/>
      <c r="E1654" s="78"/>
      <c r="F1654" s="78"/>
      <c r="Z1654" s="109"/>
      <c r="AA1654" s="109"/>
      <c r="AB1654" s="109"/>
      <c r="AC1654" s="109"/>
      <c r="AD1654" s="109"/>
      <c r="AE1654" s="109"/>
      <c r="AF1654" s="109"/>
      <c r="AG1654" s="109"/>
      <c r="AH1654" s="109"/>
      <c r="AI1654" s="109"/>
      <c r="AJ1654" s="109"/>
      <c r="AK1654" s="109"/>
      <c r="AL1654" s="109"/>
      <c r="AM1654" s="109"/>
      <c r="AN1654" s="109"/>
      <c r="AO1654" s="109"/>
      <c r="AP1654" s="109"/>
      <c r="AQ1654" s="109"/>
      <c r="AR1654" s="109"/>
      <c r="AS1654" s="109"/>
    </row>
    <row r="1655" spans="1:45" ht="12.6" customHeight="1" x14ac:dyDescent="0.3">
      <c r="A1655" s="78"/>
      <c r="B1655" s="78"/>
      <c r="C1655" s="78"/>
      <c r="D1655" s="78"/>
      <c r="E1655" s="78"/>
      <c r="F1655" s="78"/>
      <c r="Z1655" s="109"/>
      <c r="AA1655" s="109"/>
      <c r="AB1655" s="109"/>
      <c r="AC1655" s="109"/>
      <c r="AD1655" s="109"/>
      <c r="AE1655" s="109"/>
      <c r="AF1655" s="109"/>
      <c r="AG1655" s="109"/>
      <c r="AH1655" s="109"/>
      <c r="AI1655" s="109"/>
      <c r="AJ1655" s="109"/>
      <c r="AK1655" s="109"/>
      <c r="AL1655" s="109"/>
      <c r="AM1655" s="109"/>
      <c r="AN1655" s="109"/>
      <c r="AO1655" s="109"/>
      <c r="AP1655" s="109"/>
      <c r="AQ1655" s="109"/>
      <c r="AR1655" s="109"/>
      <c r="AS1655" s="109"/>
    </row>
    <row r="1656" spans="1:45" ht="12.6" customHeight="1" x14ac:dyDescent="0.3">
      <c r="A1656" s="78"/>
      <c r="B1656" s="78"/>
      <c r="C1656" s="78"/>
      <c r="D1656" s="78"/>
      <c r="E1656" s="78"/>
      <c r="F1656" s="78"/>
      <c r="Z1656" s="109"/>
      <c r="AA1656" s="109"/>
      <c r="AB1656" s="109"/>
      <c r="AC1656" s="109"/>
      <c r="AD1656" s="109"/>
      <c r="AE1656" s="109"/>
      <c r="AF1656" s="109"/>
      <c r="AG1656" s="109"/>
      <c r="AH1656" s="109"/>
      <c r="AI1656" s="109"/>
      <c r="AJ1656" s="109"/>
      <c r="AK1656" s="109"/>
      <c r="AL1656" s="109"/>
      <c r="AM1656" s="109"/>
      <c r="AN1656" s="109"/>
      <c r="AO1656" s="109"/>
      <c r="AP1656" s="109"/>
      <c r="AQ1656" s="109"/>
      <c r="AR1656" s="109"/>
      <c r="AS1656" s="109"/>
    </row>
    <row r="1657" spans="1:45" ht="12.6" customHeight="1" x14ac:dyDescent="0.3">
      <c r="A1657" s="78"/>
      <c r="B1657" s="78"/>
      <c r="C1657" s="78"/>
      <c r="D1657" s="78"/>
      <c r="E1657" s="78"/>
      <c r="F1657" s="78"/>
      <c r="Z1657" s="109"/>
      <c r="AA1657" s="109"/>
      <c r="AB1657" s="109"/>
      <c r="AC1657" s="109"/>
      <c r="AD1657" s="109"/>
      <c r="AE1657" s="109"/>
      <c r="AF1657" s="109"/>
      <c r="AG1657" s="109"/>
      <c r="AH1657" s="109"/>
      <c r="AI1657" s="109"/>
      <c r="AJ1657" s="109"/>
      <c r="AK1657" s="109"/>
      <c r="AL1657" s="109"/>
      <c r="AM1657" s="109"/>
      <c r="AN1657" s="109"/>
      <c r="AO1657" s="109"/>
      <c r="AP1657" s="109"/>
      <c r="AQ1657" s="109"/>
      <c r="AR1657" s="109"/>
      <c r="AS1657" s="109"/>
    </row>
    <row r="1658" spans="1:45" ht="12.6" customHeight="1" x14ac:dyDescent="0.3">
      <c r="A1658" s="78"/>
      <c r="B1658" s="78"/>
      <c r="C1658" s="78"/>
      <c r="D1658" s="78"/>
      <c r="E1658" s="78"/>
      <c r="F1658" s="78"/>
      <c r="Z1658" s="109"/>
      <c r="AA1658" s="109"/>
      <c r="AB1658" s="109"/>
      <c r="AC1658" s="109"/>
      <c r="AD1658" s="109"/>
      <c r="AE1658" s="109"/>
      <c r="AF1658" s="109"/>
      <c r="AG1658" s="109"/>
      <c r="AH1658" s="109"/>
      <c r="AI1658" s="109"/>
      <c r="AJ1658" s="109"/>
      <c r="AK1658" s="109"/>
      <c r="AL1658" s="109"/>
      <c r="AM1658" s="109"/>
      <c r="AN1658" s="109"/>
      <c r="AO1658" s="109"/>
      <c r="AP1658" s="109"/>
      <c r="AQ1658" s="109"/>
      <c r="AR1658" s="109"/>
      <c r="AS1658" s="109"/>
    </row>
    <row r="1659" spans="1:45" ht="12.6" customHeight="1" x14ac:dyDescent="0.3">
      <c r="A1659" s="78"/>
      <c r="B1659" s="78"/>
      <c r="C1659" s="78"/>
      <c r="D1659" s="78"/>
      <c r="E1659" s="78"/>
      <c r="F1659" s="78"/>
      <c r="Z1659" s="109"/>
      <c r="AA1659" s="109"/>
      <c r="AB1659" s="109"/>
      <c r="AC1659" s="109"/>
      <c r="AD1659" s="109"/>
      <c r="AE1659" s="109"/>
      <c r="AF1659" s="109"/>
      <c r="AG1659" s="109"/>
      <c r="AH1659" s="109"/>
      <c r="AI1659" s="109"/>
      <c r="AJ1659" s="109"/>
      <c r="AK1659" s="109"/>
      <c r="AL1659" s="109"/>
      <c r="AM1659" s="109"/>
      <c r="AN1659" s="109"/>
      <c r="AO1659" s="109"/>
      <c r="AP1659" s="109"/>
      <c r="AQ1659" s="109"/>
      <c r="AR1659" s="109"/>
      <c r="AS1659" s="109"/>
    </row>
    <row r="1660" spans="1:45" ht="12.6" customHeight="1" x14ac:dyDescent="0.3">
      <c r="A1660" s="78"/>
      <c r="B1660" s="78"/>
      <c r="C1660" s="78"/>
      <c r="D1660" s="78"/>
      <c r="E1660" s="78"/>
      <c r="F1660" s="78"/>
      <c r="Z1660" s="109"/>
      <c r="AA1660" s="109"/>
      <c r="AB1660" s="109"/>
      <c r="AC1660" s="109"/>
      <c r="AD1660" s="109"/>
      <c r="AE1660" s="109"/>
      <c r="AF1660" s="109"/>
      <c r="AG1660" s="109"/>
      <c r="AH1660" s="109"/>
      <c r="AI1660" s="109"/>
      <c r="AJ1660" s="109"/>
      <c r="AK1660" s="109"/>
      <c r="AL1660" s="109"/>
      <c r="AM1660" s="109"/>
      <c r="AN1660" s="109"/>
      <c r="AO1660" s="109"/>
      <c r="AP1660" s="109"/>
      <c r="AQ1660" s="109"/>
      <c r="AR1660" s="109"/>
      <c r="AS1660" s="109"/>
    </row>
    <row r="1661" spans="1:45" ht="12.6" customHeight="1" x14ac:dyDescent="0.3">
      <c r="A1661" s="78"/>
      <c r="B1661" s="78"/>
      <c r="C1661" s="78"/>
      <c r="D1661" s="78"/>
      <c r="E1661" s="78"/>
      <c r="F1661" s="78"/>
      <c r="Z1661" s="109"/>
      <c r="AA1661" s="109"/>
      <c r="AB1661" s="109"/>
      <c r="AC1661" s="109"/>
      <c r="AD1661" s="109"/>
      <c r="AE1661" s="109"/>
      <c r="AF1661" s="109"/>
      <c r="AG1661" s="109"/>
      <c r="AH1661" s="109"/>
      <c r="AI1661" s="109"/>
      <c r="AJ1661" s="109"/>
      <c r="AK1661" s="109"/>
      <c r="AL1661" s="109"/>
      <c r="AM1661" s="109"/>
      <c r="AN1661" s="109"/>
      <c r="AO1661" s="109"/>
      <c r="AP1661" s="109"/>
      <c r="AQ1661" s="109"/>
      <c r="AR1661" s="109"/>
      <c r="AS1661" s="109"/>
    </row>
    <row r="1662" spans="1:45" ht="12.6" customHeight="1" x14ac:dyDescent="0.3">
      <c r="A1662" s="78"/>
      <c r="B1662" s="78"/>
      <c r="C1662" s="78"/>
      <c r="D1662" s="78"/>
      <c r="E1662" s="78"/>
      <c r="F1662" s="78"/>
      <c r="Z1662" s="109"/>
      <c r="AA1662" s="109"/>
      <c r="AB1662" s="109"/>
      <c r="AC1662" s="109"/>
      <c r="AD1662" s="109"/>
      <c r="AE1662" s="109"/>
      <c r="AF1662" s="109"/>
      <c r="AG1662" s="109"/>
      <c r="AH1662" s="109"/>
      <c r="AI1662" s="109"/>
      <c r="AJ1662" s="109"/>
      <c r="AK1662" s="109"/>
      <c r="AL1662" s="109"/>
      <c r="AM1662" s="109"/>
      <c r="AN1662" s="109"/>
      <c r="AO1662" s="109"/>
      <c r="AP1662" s="109"/>
      <c r="AQ1662" s="109"/>
      <c r="AR1662" s="109"/>
      <c r="AS1662" s="109"/>
    </row>
    <row r="1663" spans="1:45" ht="12.6" customHeight="1" x14ac:dyDescent="0.3">
      <c r="A1663" s="78"/>
      <c r="B1663" s="78"/>
      <c r="C1663" s="78"/>
      <c r="D1663" s="78"/>
      <c r="E1663" s="78"/>
      <c r="F1663" s="78"/>
      <c r="Z1663" s="109"/>
      <c r="AA1663" s="109"/>
      <c r="AB1663" s="109"/>
      <c r="AC1663" s="109"/>
      <c r="AD1663" s="109"/>
      <c r="AE1663" s="109"/>
      <c r="AF1663" s="109"/>
      <c r="AG1663" s="109"/>
      <c r="AH1663" s="109"/>
      <c r="AI1663" s="109"/>
      <c r="AJ1663" s="109"/>
      <c r="AK1663" s="109"/>
      <c r="AL1663" s="109"/>
      <c r="AM1663" s="109"/>
      <c r="AN1663" s="109"/>
      <c r="AO1663" s="109"/>
      <c r="AP1663" s="109"/>
      <c r="AQ1663" s="109"/>
      <c r="AR1663" s="109"/>
      <c r="AS1663" s="109"/>
    </row>
    <row r="1664" spans="1:45" ht="12.6" customHeight="1" x14ac:dyDescent="0.3">
      <c r="A1664" s="78"/>
      <c r="B1664" s="78"/>
      <c r="C1664" s="78"/>
      <c r="D1664" s="78"/>
      <c r="E1664" s="78"/>
      <c r="F1664" s="78"/>
      <c r="Z1664" s="109"/>
      <c r="AA1664" s="109"/>
      <c r="AB1664" s="109"/>
      <c r="AC1664" s="109"/>
      <c r="AD1664" s="109"/>
      <c r="AE1664" s="109"/>
      <c r="AF1664" s="109"/>
      <c r="AG1664" s="109"/>
      <c r="AH1664" s="109"/>
      <c r="AI1664" s="109"/>
      <c r="AJ1664" s="109"/>
      <c r="AK1664" s="109"/>
      <c r="AL1664" s="109"/>
      <c r="AM1664" s="109"/>
      <c r="AN1664" s="109"/>
      <c r="AO1664" s="109"/>
      <c r="AP1664" s="109"/>
      <c r="AQ1664" s="109"/>
      <c r="AR1664" s="109"/>
      <c r="AS1664" s="109"/>
    </row>
    <row r="1665" spans="1:45" ht="12.6" customHeight="1" x14ac:dyDescent="0.3">
      <c r="A1665" s="78"/>
      <c r="B1665" s="78"/>
      <c r="C1665" s="78"/>
      <c r="D1665" s="78"/>
      <c r="E1665" s="78"/>
      <c r="F1665" s="78"/>
      <c r="Z1665" s="109"/>
      <c r="AA1665" s="109"/>
      <c r="AB1665" s="109"/>
      <c r="AC1665" s="109"/>
      <c r="AD1665" s="109"/>
      <c r="AE1665" s="109"/>
      <c r="AF1665" s="109"/>
      <c r="AG1665" s="109"/>
      <c r="AH1665" s="109"/>
      <c r="AI1665" s="109"/>
      <c r="AJ1665" s="109"/>
      <c r="AK1665" s="109"/>
      <c r="AL1665" s="109"/>
      <c r="AM1665" s="109"/>
      <c r="AN1665" s="109"/>
      <c r="AO1665" s="109"/>
      <c r="AP1665" s="109"/>
      <c r="AQ1665" s="109"/>
      <c r="AR1665" s="109"/>
      <c r="AS1665" s="109"/>
    </row>
    <row r="1666" spans="1:45" ht="12.6" customHeight="1" x14ac:dyDescent="0.3">
      <c r="A1666" s="78"/>
      <c r="B1666" s="78"/>
      <c r="C1666" s="78"/>
      <c r="D1666" s="78"/>
      <c r="E1666" s="78"/>
      <c r="F1666" s="78"/>
      <c r="Z1666" s="109"/>
      <c r="AA1666" s="109"/>
      <c r="AB1666" s="109"/>
      <c r="AC1666" s="109"/>
      <c r="AD1666" s="109"/>
      <c r="AE1666" s="109"/>
      <c r="AF1666" s="109"/>
      <c r="AG1666" s="109"/>
      <c r="AH1666" s="109"/>
      <c r="AI1666" s="109"/>
      <c r="AJ1666" s="109"/>
      <c r="AK1666" s="109"/>
      <c r="AL1666" s="109"/>
      <c r="AM1666" s="109"/>
      <c r="AN1666" s="109"/>
      <c r="AO1666" s="109"/>
      <c r="AP1666" s="109"/>
      <c r="AQ1666" s="109"/>
      <c r="AR1666" s="109"/>
      <c r="AS1666" s="109"/>
    </row>
    <row r="1667" spans="1:45" ht="12.6" customHeight="1" x14ac:dyDescent="0.3">
      <c r="A1667" s="78"/>
      <c r="B1667" s="78"/>
      <c r="C1667" s="78"/>
      <c r="D1667" s="78"/>
      <c r="E1667" s="78"/>
      <c r="F1667" s="78"/>
      <c r="Z1667" s="109"/>
      <c r="AA1667" s="109"/>
      <c r="AB1667" s="109"/>
      <c r="AC1667" s="109"/>
      <c r="AD1667" s="109"/>
      <c r="AE1667" s="109"/>
      <c r="AF1667" s="109"/>
      <c r="AG1667" s="109"/>
      <c r="AH1667" s="109"/>
      <c r="AI1667" s="109"/>
      <c r="AJ1667" s="109"/>
      <c r="AK1667" s="109"/>
      <c r="AL1667" s="109"/>
      <c r="AM1667" s="109"/>
      <c r="AN1667" s="109"/>
      <c r="AO1667" s="109"/>
      <c r="AP1667" s="109"/>
      <c r="AQ1667" s="109"/>
      <c r="AR1667" s="109"/>
      <c r="AS1667" s="109"/>
    </row>
    <row r="1668" spans="1:45" ht="12.6" customHeight="1" x14ac:dyDescent="0.3">
      <c r="A1668" s="78"/>
      <c r="B1668" s="78"/>
      <c r="C1668" s="78"/>
      <c r="D1668" s="78"/>
      <c r="E1668" s="78"/>
      <c r="F1668" s="78"/>
      <c r="Z1668" s="109"/>
      <c r="AA1668" s="109"/>
      <c r="AB1668" s="109"/>
      <c r="AC1668" s="109"/>
      <c r="AD1668" s="109"/>
      <c r="AE1668" s="109"/>
      <c r="AF1668" s="109"/>
      <c r="AG1668" s="109"/>
      <c r="AH1668" s="109"/>
      <c r="AI1668" s="109"/>
      <c r="AJ1668" s="109"/>
      <c r="AK1668" s="109"/>
      <c r="AL1668" s="109"/>
      <c r="AM1668" s="109"/>
      <c r="AN1668" s="109"/>
      <c r="AO1668" s="109"/>
      <c r="AP1668" s="109"/>
      <c r="AQ1668" s="109"/>
      <c r="AR1668" s="109"/>
      <c r="AS1668" s="109"/>
    </row>
    <row r="1669" spans="1:45" ht="12.6" customHeight="1" x14ac:dyDescent="0.3">
      <c r="A1669" s="78"/>
      <c r="B1669" s="78"/>
      <c r="C1669" s="78"/>
      <c r="D1669" s="78"/>
      <c r="E1669" s="78"/>
      <c r="F1669" s="78"/>
      <c r="Z1669" s="109"/>
      <c r="AA1669" s="109"/>
      <c r="AB1669" s="109"/>
      <c r="AC1669" s="109"/>
      <c r="AD1669" s="109"/>
      <c r="AE1669" s="109"/>
      <c r="AF1669" s="109"/>
      <c r="AG1669" s="109"/>
      <c r="AH1669" s="109"/>
      <c r="AI1669" s="109"/>
      <c r="AJ1669" s="109"/>
      <c r="AK1669" s="109"/>
      <c r="AL1669" s="109"/>
      <c r="AM1669" s="109"/>
      <c r="AN1669" s="109"/>
      <c r="AO1669" s="109"/>
      <c r="AP1669" s="109"/>
      <c r="AQ1669" s="109"/>
      <c r="AR1669" s="109"/>
      <c r="AS1669" s="109"/>
    </row>
    <row r="1670" spans="1:45" ht="12.6" customHeight="1" x14ac:dyDescent="0.3">
      <c r="A1670" s="78"/>
      <c r="B1670" s="78"/>
      <c r="C1670" s="78"/>
      <c r="D1670" s="78"/>
      <c r="E1670" s="78"/>
      <c r="F1670" s="78"/>
      <c r="Z1670" s="109"/>
      <c r="AA1670" s="109"/>
      <c r="AB1670" s="109"/>
      <c r="AC1670" s="109"/>
      <c r="AD1670" s="109"/>
      <c r="AE1670" s="109"/>
      <c r="AF1670" s="109"/>
      <c r="AG1670" s="109"/>
      <c r="AH1670" s="109"/>
      <c r="AI1670" s="109"/>
      <c r="AJ1670" s="109"/>
      <c r="AK1670" s="109"/>
      <c r="AL1670" s="109"/>
      <c r="AM1670" s="109"/>
      <c r="AN1670" s="109"/>
      <c r="AO1670" s="109"/>
      <c r="AP1670" s="109"/>
      <c r="AQ1670" s="109"/>
      <c r="AR1670" s="109"/>
      <c r="AS1670" s="109"/>
    </row>
    <row r="1671" spans="1:45" ht="12.6" customHeight="1" x14ac:dyDescent="0.3">
      <c r="A1671" s="78"/>
      <c r="B1671" s="78"/>
      <c r="C1671" s="78"/>
      <c r="D1671" s="78"/>
      <c r="E1671" s="78"/>
      <c r="F1671" s="78"/>
      <c r="Z1671" s="109"/>
      <c r="AA1671" s="109"/>
      <c r="AB1671" s="109"/>
      <c r="AC1671" s="109"/>
      <c r="AD1671" s="109"/>
      <c r="AE1671" s="109"/>
      <c r="AF1671" s="109"/>
      <c r="AG1671" s="109"/>
      <c r="AH1671" s="109"/>
      <c r="AI1671" s="109"/>
      <c r="AJ1671" s="109"/>
      <c r="AK1671" s="109"/>
      <c r="AL1671" s="109"/>
      <c r="AM1671" s="109"/>
      <c r="AN1671" s="109"/>
      <c r="AO1671" s="109"/>
      <c r="AP1671" s="109"/>
      <c r="AQ1671" s="109"/>
      <c r="AR1671" s="109"/>
      <c r="AS1671" s="109"/>
    </row>
    <row r="1672" spans="1:45" ht="12.6" customHeight="1" x14ac:dyDescent="0.3">
      <c r="A1672" s="78"/>
      <c r="B1672" s="78"/>
      <c r="C1672" s="78"/>
      <c r="D1672" s="78"/>
      <c r="E1672" s="78"/>
      <c r="F1672" s="78"/>
      <c r="Z1672" s="109"/>
      <c r="AA1672" s="109"/>
      <c r="AB1672" s="109"/>
      <c r="AC1672" s="109"/>
      <c r="AD1672" s="109"/>
      <c r="AE1672" s="109"/>
      <c r="AF1672" s="109"/>
      <c r="AG1672" s="109"/>
      <c r="AH1672" s="109"/>
      <c r="AI1672" s="109"/>
      <c r="AJ1672" s="109"/>
      <c r="AK1672" s="109"/>
      <c r="AL1672" s="109"/>
      <c r="AM1672" s="109"/>
      <c r="AN1672" s="109"/>
      <c r="AO1672" s="109"/>
      <c r="AP1672" s="109"/>
      <c r="AQ1672" s="109"/>
      <c r="AR1672" s="109"/>
      <c r="AS1672" s="109"/>
    </row>
    <row r="1673" spans="1:45" ht="12.6" customHeight="1" x14ac:dyDescent="0.3">
      <c r="A1673" s="78"/>
      <c r="B1673" s="78"/>
      <c r="C1673" s="78"/>
      <c r="D1673" s="78"/>
      <c r="E1673" s="78"/>
      <c r="F1673" s="78"/>
      <c r="Z1673" s="109"/>
      <c r="AA1673" s="109"/>
      <c r="AB1673" s="109"/>
      <c r="AC1673" s="109"/>
      <c r="AD1673" s="109"/>
      <c r="AE1673" s="109"/>
      <c r="AF1673" s="109"/>
      <c r="AG1673" s="109"/>
      <c r="AH1673" s="109"/>
      <c r="AI1673" s="109"/>
      <c r="AJ1673" s="109"/>
      <c r="AK1673" s="109"/>
      <c r="AL1673" s="109"/>
      <c r="AM1673" s="109"/>
      <c r="AN1673" s="109"/>
      <c r="AO1673" s="109"/>
      <c r="AP1673" s="109"/>
      <c r="AQ1673" s="109"/>
      <c r="AR1673" s="109"/>
      <c r="AS1673" s="109"/>
    </row>
    <row r="1674" spans="1:45" ht="12.6" customHeight="1" x14ac:dyDescent="0.3">
      <c r="A1674" s="78"/>
      <c r="B1674" s="78"/>
      <c r="C1674" s="78"/>
      <c r="D1674" s="78"/>
      <c r="E1674" s="78"/>
      <c r="F1674" s="78"/>
      <c r="Z1674" s="109"/>
      <c r="AA1674" s="109"/>
      <c r="AB1674" s="109"/>
      <c r="AC1674" s="109"/>
      <c r="AD1674" s="109"/>
      <c r="AE1674" s="109"/>
      <c r="AF1674" s="109"/>
      <c r="AG1674" s="109"/>
      <c r="AH1674" s="109"/>
      <c r="AI1674" s="109"/>
      <c r="AJ1674" s="109"/>
      <c r="AK1674" s="109"/>
      <c r="AL1674" s="109"/>
      <c r="AM1674" s="109"/>
      <c r="AN1674" s="109"/>
      <c r="AO1674" s="109"/>
      <c r="AP1674" s="109"/>
      <c r="AQ1674" s="109"/>
      <c r="AR1674" s="109"/>
      <c r="AS1674" s="109"/>
    </row>
    <row r="1675" spans="1:45" ht="12.6" customHeight="1" x14ac:dyDescent="0.3">
      <c r="A1675" s="78"/>
      <c r="B1675" s="78"/>
      <c r="C1675" s="78"/>
      <c r="D1675" s="78"/>
      <c r="E1675" s="78"/>
      <c r="F1675" s="78"/>
      <c r="Z1675" s="109"/>
      <c r="AA1675" s="109"/>
      <c r="AB1675" s="109"/>
      <c r="AC1675" s="109"/>
      <c r="AD1675" s="109"/>
      <c r="AE1675" s="109"/>
      <c r="AF1675" s="109"/>
      <c r="AG1675" s="109"/>
      <c r="AH1675" s="109"/>
      <c r="AI1675" s="109"/>
      <c r="AJ1675" s="109"/>
      <c r="AK1675" s="109"/>
      <c r="AL1675" s="109"/>
      <c r="AM1675" s="109"/>
      <c r="AN1675" s="109"/>
      <c r="AO1675" s="109"/>
      <c r="AP1675" s="109"/>
      <c r="AQ1675" s="109"/>
      <c r="AR1675" s="109"/>
      <c r="AS1675" s="109"/>
    </row>
    <row r="1676" spans="1:45" ht="12.6" customHeight="1" x14ac:dyDescent="0.3">
      <c r="A1676" s="78"/>
      <c r="B1676" s="78"/>
      <c r="C1676" s="78"/>
      <c r="D1676" s="78"/>
      <c r="E1676" s="78"/>
      <c r="F1676" s="78"/>
      <c r="Z1676" s="109"/>
      <c r="AA1676" s="109"/>
      <c r="AB1676" s="109"/>
      <c r="AC1676" s="109"/>
      <c r="AD1676" s="109"/>
      <c r="AE1676" s="109"/>
      <c r="AF1676" s="109"/>
      <c r="AG1676" s="109"/>
      <c r="AH1676" s="109"/>
      <c r="AI1676" s="109"/>
      <c r="AJ1676" s="109"/>
      <c r="AK1676" s="109"/>
      <c r="AL1676" s="109"/>
      <c r="AM1676" s="109"/>
      <c r="AN1676" s="109"/>
      <c r="AO1676" s="109"/>
      <c r="AP1676" s="109"/>
      <c r="AQ1676" s="109"/>
      <c r="AR1676" s="109"/>
      <c r="AS1676" s="109"/>
    </row>
    <row r="1677" spans="1:45" ht="12.6" customHeight="1" x14ac:dyDescent="0.3">
      <c r="A1677" s="78"/>
      <c r="B1677" s="78"/>
      <c r="C1677" s="78"/>
      <c r="D1677" s="78"/>
      <c r="E1677" s="78"/>
      <c r="F1677" s="78"/>
      <c r="Z1677" s="109"/>
      <c r="AA1677" s="109"/>
      <c r="AB1677" s="109"/>
      <c r="AC1677" s="109"/>
      <c r="AD1677" s="109"/>
      <c r="AE1677" s="109"/>
      <c r="AF1677" s="109"/>
      <c r="AG1677" s="109"/>
      <c r="AH1677" s="109"/>
      <c r="AI1677" s="109"/>
      <c r="AJ1677" s="109"/>
      <c r="AK1677" s="109"/>
      <c r="AL1677" s="109"/>
      <c r="AM1677" s="109"/>
      <c r="AN1677" s="109"/>
      <c r="AO1677" s="109"/>
      <c r="AP1677" s="109"/>
      <c r="AQ1677" s="109"/>
      <c r="AR1677" s="109"/>
      <c r="AS1677" s="109"/>
    </row>
    <row r="1678" spans="1:45" ht="12.6" customHeight="1" x14ac:dyDescent="0.3">
      <c r="A1678" s="78"/>
      <c r="B1678" s="78"/>
      <c r="C1678" s="78"/>
      <c r="D1678" s="78"/>
      <c r="E1678" s="78"/>
      <c r="F1678" s="78"/>
      <c r="Z1678" s="109"/>
      <c r="AA1678" s="109"/>
      <c r="AB1678" s="109"/>
      <c r="AC1678" s="109"/>
      <c r="AD1678" s="109"/>
      <c r="AE1678" s="109"/>
      <c r="AF1678" s="109"/>
      <c r="AG1678" s="109"/>
      <c r="AH1678" s="109"/>
      <c r="AI1678" s="109"/>
      <c r="AJ1678" s="109"/>
      <c r="AK1678" s="109"/>
      <c r="AL1678" s="109"/>
      <c r="AM1678" s="109"/>
      <c r="AN1678" s="109"/>
      <c r="AO1678" s="109"/>
      <c r="AP1678" s="109"/>
      <c r="AQ1678" s="109"/>
      <c r="AR1678" s="109"/>
      <c r="AS1678" s="109"/>
    </row>
    <row r="1679" spans="1:45" ht="12.6" customHeight="1" x14ac:dyDescent="0.3">
      <c r="A1679" s="78"/>
      <c r="B1679" s="78"/>
      <c r="C1679" s="78"/>
      <c r="D1679" s="78"/>
      <c r="E1679" s="78"/>
      <c r="F1679" s="78"/>
      <c r="Z1679" s="109"/>
      <c r="AA1679" s="109"/>
      <c r="AB1679" s="109"/>
      <c r="AC1679" s="109"/>
      <c r="AD1679" s="109"/>
      <c r="AE1679" s="109"/>
      <c r="AF1679" s="109"/>
      <c r="AG1679" s="109"/>
      <c r="AH1679" s="109"/>
      <c r="AI1679" s="109"/>
      <c r="AJ1679" s="109"/>
      <c r="AK1679" s="109"/>
      <c r="AL1679" s="109"/>
      <c r="AM1679" s="109"/>
      <c r="AN1679" s="109"/>
      <c r="AO1679" s="109"/>
      <c r="AP1679" s="109"/>
      <c r="AQ1679" s="109"/>
      <c r="AR1679" s="109"/>
      <c r="AS1679" s="109"/>
    </row>
    <row r="1680" spans="1:45" ht="12.6" customHeight="1" x14ac:dyDescent="0.3">
      <c r="A1680" s="78"/>
      <c r="B1680" s="78"/>
      <c r="C1680" s="78"/>
      <c r="D1680" s="78"/>
      <c r="E1680" s="78"/>
      <c r="F1680" s="78"/>
      <c r="Z1680" s="109"/>
      <c r="AA1680" s="109"/>
      <c r="AB1680" s="109"/>
      <c r="AC1680" s="109"/>
      <c r="AD1680" s="109"/>
      <c r="AE1680" s="109"/>
      <c r="AF1680" s="109"/>
      <c r="AG1680" s="109"/>
      <c r="AH1680" s="109"/>
      <c r="AI1680" s="109"/>
      <c r="AJ1680" s="109"/>
      <c r="AK1680" s="109"/>
      <c r="AL1680" s="109"/>
      <c r="AM1680" s="109"/>
      <c r="AN1680" s="109"/>
      <c r="AO1680" s="109"/>
      <c r="AP1680" s="109"/>
      <c r="AQ1680" s="109"/>
      <c r="AR1680" s="109"/>
      <c r="AS1680" s="109"/>
    </row>
    <row r="1681" spans="1:45" ht="12.6" customHeight="1" x14ac:dyDescent="0.3">
      <c r="A1681" s="78"/>
      <c r="B1681" s="78"/>
      <c r="C1681" s="78"/>
      <c r="D1681" s="78"/>
      <c r="E1681" s="78"/>
      <c r="F1681" s="78"/>
      <c r="Z1681" s="109"/>
      <c r="AA1681" s="109"/>
      <c r="AB1681" s="109"/>
      <c r="AC1681" s="109"/>
      <c r="AD1681" s="109"/>
      <c r="AE1681" s="109"/>
      <c r="AF1681" s="109"/>
      <c r="AG1681" s="109"/>
      <c r="AH1681" s="109"/>
      <c r="AI1681" s="109"/>
      <c r="AJ1681" s="109"/>
      <c r="AK1681" s="109"/>
      <c r="AL1681" s="109"/>
      <c r="AM1681" s="109"/>
      <c r="AN1681" s="109"/>
      <c r="AO1681" s="109"/>
      <c r="AP1681" s="109"/>
      <c r="AQ1681" s="109"/>
      <c r="AR1681" s="109"/>
      <c r="AS1681" s="109"/>
    </row>
    <row r="1682" spans="1:45" ht="12.6" customHeight="1" x14ac:dyDescent="0.3">
      <c r="A1682" s="78"/>
      <c r="B1682" s="78"/>
      <c r="C1682" s="78"/>
      <c r="D1682" s="78"/>
      <c r="E1682" s="78"/>
      <c r="F1682" s="78"/>
      <c r="Z1682" s="109"/>
      <c r="AA1682" s="109"/>
      <c r="AB1682" s="109"/>
      <c r="AC1682" s="109"/>
      <c r="AD1682" s="109"/>
      <c r="AE1682" s="109"/>
      <c r="AF1682" s="109"/>
      <c r="AG1682" s="109"/>
      <c r="AH1682" s="109"/>
      <c r="AI1682" s="109"/>
      <c r="AJ1682" s="109"/>
      <c r="AK1682" s="109"/>
      <c r="AL1682" s="109"/>
      <c r="AM1682" s="109"/>
      <c r="AN1682" s="109"/>
      <c r="AO1682" s="109"/>
      <c r="AP1682" s="109"/>
      <c r="AQ1682" s="109"/>
      <c r="AR1682" s="109"/>
      <c r="AS1682" s="109"/>
    </row>
    <row r="1683" spans="1:45" ht="12.6" customHeight="1" x14ac:dyDescent="0.3">
      <c r="A1683" s="58"/>
      <c r="B1683" s="58"/>
      <c r="C1683" s="58"/>
      <c r="D1683" s="58"/>
      <c r="E1683" s="58"/>
      <c r="F1683" s="58"/>
      <c r="Z1683" s="109"/>
      <c r="AA1683" s="109"/>
      <c r="AB1683" s="109"/>
      <c r="AC1683" s="109"/>
      <c r="AD1683" s="109"/>
      <c r="AE1683" s="109"/>
      <c r="AF1683" s="109"/>
      <c r="AG1683" s="109"/>
      <c r="AH1683" s="109"/>
      <c r="AI1683" s="109"/>
      <c r="AJ1683" s="109"/>
      <c r="AK1683" s="109"/>
      <c r="AL1683" s="109"/>
      <c r="AM1683" s="109"/>
      <c r="AN1683" s="109"/>
      <c r="AO1683" s="109"/>
      <c r="AP1683" s="109"/>
      <c r="AQ1683" s="109"/>
      <c r="AR1683" s="109"/>
      <c r="AS1683" s="109"/>
    </row>
    <row r="1684" spans="1:45" ht="12.6" customHeight="1" x14ac:dyDescent="0.3">
      <c r="A1684" s="159" t="s">
        <v>1401</v>
      </c>
      <c r="B1684" s="152"/>
      <c r="C1684" s="55">
        <f>E1684+D1684+F1684</f>
        <v>2153</v>
      </c>
      <c r="D1684" s="54">
        <f>ROUNDDOWN(SUMIF(N1617:N1649,M1684,D1617:D1649),0)</f>
        <v>916</v>
      </c>
      <c r="E1684" s="63">
        <f>ROUNDDOWN(SUMIF(N1617:N1649,M1684,E1617:E1649),0)</f>
        <v>607</v>
      </c>
      <c r="F1684" s="55">
        <f>ROUNDDOWN(SUMIF(N1617:N1649,M1684,F1617:F1649),0)</f>
        <v>630</v>
      </c>
      <c r="M1684" s="20" t="s">
        <v>1128</v>
      </c>
      <c r="Z1684" s="109"/>
      <c r="AA1684" s="109"/>
      <c r="AB1684" s="109"/>
      <c r="AC1684" s="109"/>
      <c r="AD1684" s="109"/>
      <c r="AE1684" s="109"/>
      <c r="AF1684" s="109"/>
      <c r="AG1684" s="109"/>
      <c r="AH1684" s="109"/>
      <c r="AI1684" s="109"/>
      <c r="AJ1684" s="109"/>
      <c r="AK1684" s="109"/>
      <c r="AL1684" s="109"/>
      <c r="AM1684" s="109"/>
      <c r="AN1684" s="109"/>
      <c r="AO1684" s="109"/>
      <c r="AP1684" s="109"/>
      <c r="AQ1684" s="109"/>
      <c r="AR1684" s="109"/>
      <c r="AS1684" s="109"/>
    </row>
    <row r="1685" spans="1:45" ht="12.6" customHeight="1" x14ac:dyDescent="0.3">
      <c r="A1685" s="95" t="s">
        <v>131</v>
      </c>
      <c r="B1685" s="96" t="s">
        <v>131</v>
      </c>
      <c r="C1685" s="158">
        <f>C1789</f>
        <v>6926</v>
      </c>
      <c r="D1685" s="158">
        <f>D1789</f>
        <v>4415</v>
      </c>
      <c r="E1685" s="158">
        <f>E1789</f>
        <v>827</v>
      </c>
      <c r="F1685" s="158">
        <f>F1789</f>
        <v>1684</v>
      </c>
      <c r="G1685" s="36" t="str">
        <f>HYPERLINK("#G"&amp;ROW(G1764),"_x0005_`BDCOD|D02174_x0007_`POSS|"&amp;ROW(G1687)&amp;"_x0007_`POSE|"&amp;ROW(G1764)&amp;"_x0007_`")</f>
        <v>_x0005_`BDCOD|D02174_x0007_`POSS|1687_x0007_`POSE|1764_x0007_`</v>
      </c>
      <c r="Z1685" s="109"/>
      <c r="AA1685" s="109"/>
      <c r="AB1685" s="109"/>
      <c r="AC1685" s="109"/>
      <c r="AD1685" s="109"/>
      <c r="AE1685" s="109"/>
      <c r="AF1685" s="109"/>
      <c r="AG1685" s="109"/>
      <c r="AH1685" s="109"/>
      <c r="AI1685" s="109"/>
      <c r="AJ1685" s="109"/>
      <c r="AK1685" s="109"/>
      <c r="AL1685" s="109"/>
      <c r="AM1685" s="109"/>
      <c r="AN1685" s="109"/>
      <c r="AO1685" s="109"/>
      <c r="AP1685" s="109"/>
      <c r="AQ1685" s="109"/>
      <c r="AR1685" s="109"/>
      <c r="AS1685" s="109"/>
    </row>
    <row r="1686" spans="1:45" ht="12.6" customHeight="1" x14ac:dyDescent="0.3">
      <c r="A1686" s="84"/>
      <c r="B1686" s="96" t="s">
        <v>263</v>
      </c>
      <c r="C1686" s="141"/>
      <c r="D1686" s="141"/>
      <c r="E1686" s="141"/>
      <c r="F1686" s="141"/>
      <c r="M1686" s="20" t="s">
        <v>262</v>
      </c>
      <c r="Z1686" s="109"/>
      <c r="AA1686" s="109"/>
      <c r="AB1686" s="109"/>
      <c r="AC1686" s="109"/>
      <c r="AD1686" s="109"/>
      <c r="AE1686" s="109"/>
      <c r="AF1686" s="109"/>
      <c r="AG1686" s="109"/>
      <c r="AH1686" s="109"/>
      <c r="AI1686" s="109"/>
      <c r="AJ1686" s="109"/>
      <c r="AK1686" s="109"/>
      <c r="AL1686" s="109"/>
      <c r="AM1686" s="109"/>
      <c r="AN1686" s="109"/>
      <c r="AO1686" s="109"/>
      <c r="AP1686" s="109"/>
      <c r="AQ1686" s="109"/>
      <c r="AR1686" s="109"/>
      <c r="AS1686" s="109"/>
    </row>
    <row r="1687" spans="1:45" ht="12.6" customHeight="1" x14ac:dyDescent="0.3">
      <c r="A1687" s="68"/>
      <c r="B1687" s="77" t="s">
        <v>1905</v>
      </c>
      <c r="C1687" s="98"/>
      <c r="D1687" s="98"/>
      <c r="E1687" s="98"/>
      <c r="F1687" s="98"/>
      <c r="G1687" s="16" t="s">
        <v>1904</v>
      </c>
      <c r="Z1687" s="109"/>
      <c r="AA1687" s="109"/>
      <c r="AB1687" s="109"/>
      <c r="AC1687" s="109"/>
      <c r="AD1687" s="109"/>
      <c r="AE1687" s="109"/>
      <c r="AF1687" s="109"/>
      <c r="AG1687" s="109"/>
      <c r="AH1687" s="109"/>
      <c r="AI1687" s="109"/>
      <c r="AJ1687" s="109"/>
      <c r="AK1687" s="109"/>
      <c r="AL1687" s="109"/>
      <c r="AM1687" s="109"/>
      <c r="AN1687" s="109"/>
      <c r="AO1687" s="109"/>
      <c r="AP1687" s="109"/>
      <c r="AQ1687" s="109"/>
      <c r="AR1687" s="109"/>
      <c r="AS1687" s="109"/>
    </row>
    <row r="1688" spans="1:45" ht="12.6" customHeight="1" x14ac:dyDescent="0.3">
      <c r="A1688" s="78"/>
      <c r="B1688" s="78"/>
      <c r="C1688" s="78"/>
      <c r="D1688" s="78"/>
      <c r="E1688" s="78"/>
      <c r="F1688" s="78"/>
      <c r="G1688" s="16" t="s">
        <v>1317</v>
      </c>
      <c r="Z1688" s="109"/>
      <c r="AA1688" s="109"/>
      <c r="AB1688" s="109"/>
      <c r="AC1688" s="109"/>
      <c r="AD1688" s="109"/>
      <c r="AE1688" s="109"/>
      <c r="AF1688" s="109"/>
      <c r="AG1688" s="109"/>
      <c r="AH1688" s="109"/>
      <c r="AI1688" s="109"/>
      <c r="AJ1688" s="109"/>
      <c r="AK1688" s="109"/>
      <c r="AL1688" s="109"/>
      <c r="AM1688" s="109"/>
      <c r="AN1688" s="109"/>
      <c r="AO1688" s="109"/>
      <c r="AP1688" s="109"/>
      <c r="AQ1688" s="109"/>
      <c r="AR1688" s="109"/>
      <c r="AS1688" s="109"/>
    </row>
    <row r="1689" spans="1:45" ht="12.6" customHeight="1" x14ac:dyDescent="0.3">
      <c r="A1689" s="68"/>
      <c r="B1689" s="77" t="s">
        <v>1907</v>
      </c>
      <c r="C1689" s="78"/>
      <c r="D1689" s="78"/>
      <c r="E1689" s="78"/>
      <c r="F1689" s="78"/>
      <c r="G1689" s="16" t="s">
        <v>1906</v>
      </c>
      <c r="Z1689" s="109"/>
      <c r="AA1689" s="109"/>
      <c r="AB1689" s="109"/>
      <c r="AC1689" s="109"/>
      <c r="AD1689" s="109"/>
      <c r="AE1689" s="109"/>
      <c r="AF1689" s="109"/>
      <c r="AG1689" s="109"/>
      <c r="AH1689" s="109"/>
      <c r="AI1689" s="109"/>
      <c r="AJ1689" s="109"/>
      <c r="AK1689" s="109"/>
      <c r="AL1689" s="109"/>
      <c r="AM1689" s="109"/>
      <c r="AN1689" s="109"/>
      <c r="AO1689" s="109"/>
      <c r="AP1689" s="109"/>
      <c r="AQ1689" s="109"/>
      <c r="AR1689" s="109"/>
      <c r="AS1689" s="109"/>
    </row>
    <row r="1690" spans="1:45" ht="12.6" customHeight="1" x14ac:dyDescent="0.3">
      <c r="A1690" s="78"/>
      <c r="B1690" s="78"/>
      <c r="C1690" s="78"/>
      <c r="D1690" s="78"/>
      <c r="E1690" s="78"/>
      <c r="F1690" s="78"/>
      <c r="G1690" s="16" t="s">
        <v>1317</v>
      </c>
      <c r="Z1690" s="109"/>
      <c r="AA1690" s="109"/>
      <c r="AB1690" s="109"/>
      <c r="AC1690" s="109"/>
      <c r="AD1690" s="109"/>
      <c r="AE1690" s="109"/>
      <c r="AF1690" s="109"/>
      <c r="AG1690" s="109"/>
      <c r="AH1690" s="109"/>
      <c r="AI1690" s="109"/>
      <c r="AJ1690" s="109"/>
      <c r="AK1690" s="109"/>
      <c r="AL1690" s="109"/>
      <c r="AM1690" s="109"/>
      <c r="AN1690" s="109"/>
      <c r="AO1690" s="109"/>
      <c r="AP1690" s="109"/>
      <c r="AQ1690" s="109"/>
      <c r="AR1690" s="109"/>
      <c r="AS1690" s="109"/>
    </row>
    <row r="1691" spans="1:45" ht="12.6" customHeight="1" x14ac:dyDescent="0.3">
      <c r="A1691" s="68"/>
      <c r="B1691" s="97" t="str">
        <f>" 운반거리:   L = "&amp;Z1691&amp;" m "</f>
        <v xml:space="preserve"> 운반거리:   L = 0.064 m </v>
      </c>
      <c r="C1691" s="78"/>
      <c r="D1691" s="78"/>
      <c r="E1691" s="78"/>
      <c r="F1691" s="78"/>
      <c r="G1691" s="16" t="s">
        <v>1908</v>
      </c>
      <c r="Z1691" s="110">
        <v>6.4000000000000001E-2</v>
      </c>
      <c r="AA1691" s="20" t="s">
        <v>1326</v>
      </c>
      <c r="AB1691" s="112">
        <f>Z1691</f>
        <v>6.4000000000000001E-2</v>
      </c>
      <c r="AC1691" s="109"/>
      <c r="AD1691" s="109"/>
      <c r="AE1691" s="109"/>
      <c r="AF1691" s="109"/>
      <c r="AG1691" s="109"/>
      <c r="AH1691" s="109"/>
      <c r="AI1691" s="109"/>
      <c r="AJ1691" s="109"/>
      <c r="AK1691" s="109"/>
      <c r="AL1691" s="109"/>
      <c r="AM1691" s="109"/>
      <c r="AN1691" s="109"/>
      <c r="AO1691" s="109"/>
      <c r="AP1691" s="109"/>
      <c r="AQ1691" s="109"/>
      <c r="AR1691" s="109"/>
      <c r="AS1691" s="109"/>
    </row>
    <row r="1692" spans="1:45" ht="12.6" customHeight="1" x14ac:dyDescent="0.3">
      <c r="A1692" s="78"/>
      <c r="B1692" s="78"/>
      <c r="C1692" s="78"/>
      <c r="D1692" s="78"/>
      <c r="E1692" s="78"/>
      <c r="F1692" s="78"/>
      <c r="G1692" s="16" t="s">
        <v>1317</v>
      </c>
      <c r="Z1692" s="109"/>
      <c r="AA1692" s="109"/>
      <c r="AB1692" s="109"/>
      <c r="AC1692" s="109"/>
      <c r="AD1692" s="109"/>
      <c r="AE1692" s="109"/>
      <c r="AF1692" s="109"/>
      <c r="AG1692" s="109"/>
      <c r="AH1692" s="109"/>
      <c r="AI1692" s="109"/>
      <c r="AJ1692" s="109"/>
      <c r="AK1692" s="109"/>
      <c r="AL1692" s="109"/>
      <c r="AM1692" s="109"/>
      <c r="AN1692" s="109"/>
      <c r="AO1692" s="109"/>
      <c r="AP1692" s="109"/>
      <c r="AQ1692" s="109"/>
      <c r="AR1692" s="109"/>
      <c r="AS1692" s="109"/>
    </row>
    <row r="1693" spans="1:45" ht="12.6" customHeight="1" x14ac:dyDescent="0.3">
      <c r="A1693" s="68"/>
      <c r="B1693" s="77" t="s">
        <v>1910</v>
      </c>
      <c r="C1693" s="78"/>
      <c r="D1693" s="78"/>
      <c r="E1693" s="78"/>
      <c r="F1693" s="78"/>
      <c r="G1693" s="16" t="s">
        <v>1909</v>
      </c>
      <c r="Z1693" s="109"/>
      <c r="AA1693" s="109"/>
      <c r="AB1693" s="109"/>
      <c r="AC1693" s="109"/>
      <c r="AD1693" s="109"/>
      <c r="AE1693" s="109"/>
      <c r="AF1693" s="109"/>
      <c r="AG1693" s="109"/>
      <c r="AH1693" s="109"/>
      <c r="AI1693" s="109"/>
      <c r="AJ1693" s="109"/>
      <c r="AK1693" s="109"/>
      <c r="AL1693" s="109"/>
      <c r="AM1693" s="109"/>
      <c r="AN1693" s="109"/>
      <c r="AO1693" s="109"/>
      <c r="AP1693" s="109"/>
      <c r="AQ1693" s="109"/>
      <c r="AR1693" s="109"/>
      <c r="AS1693" s="109"/>
    </row>
    <row r="1694" spans="1:45" ht="12.6" customHeight="1" x14ac:dyDescent="0.3">
      <c r="A1694" s="78"/>
      <c r="B1694" s="78"/>
      <c r="C1694" s="78"/>
      <c r="D1694" s="78"/>
      <c r="E1694" s="78"/>
      <c r="F1694" s="78"/>
      <c r="G1694" s="16" t="s">
        <v>1317</v>
      </c>
      <c r="Z1694" s="109"/>
      <c r="AA1694" s="109"/>
      <c r="AB1694" s="109"/>
      <c r="AC1694" s="109"/>
      <c r="AD1694" s="109"/>
      <c r="AE1694" s="109"/>
      <c r="AF1694" s="109"/>
      <c r="AG1694" s="109"/>
      <c r="AH1694" s="109"/>
      <c r="AI1694" s="109"/>
      <c r="AJ1694" s="109"/>
      <c r="AK1694" s="109"/>
      <c r="AL1694" s="109"/>
      <c r="AM1694" s="109"/>
      <c r="AN1694" s="109"/>
      <c r="AO1694" s="109"/>
      <c r="AP1694" s="109"/>
      <c r="AQ1694" s="109"/>
      <c r="AR1694" s="109"/>
      <c r="AS1694" s="109"/>
    </row>
    <row r="1695" spans="1:45" ht="12.6" customHeight="1" x14ac:dyDescent="0.3">
      <c r="A1695" s="68"/>
      <c r="B1695" s="97" t="str">
        <f>"q (버킷용량) = "&amp;Z1695&amp;" , k (버킷계수) = "&amp;AD1695&amp;""</f>
        <v>q (버킷용량) = 0.7 , k (버킷계수) = 0.7</v>
      </c>
      <c r="C1695" s="78"/>
      <c r="D1695" s="78"/>
      <c r="E1695" s="78"/>
      <c r="F1695" s="78"/>
      <c r="G1695" s="16" t="s">
        <v>1911</v>
      </c>
      <c r="Z1695" s="110">
        <v>0.7</v>
      </c>
      <c r="AA1695" s="20" t="s">
        <v>1326</v>
      </c>
      <c r="AB1695" s="112">
        <f>Z1695</f>
        <v>0.7</v>
      </c>
      <c r="AC1695" s="20" t="s">
        <v>1385</v>
      </c>
      <c r="AD1695" s="110">
        <v>0.7</v>
      </c>
      <c r="AE1695" s="20" t="s">
        <v>1326</v>
      </c>
      <c r="AF1695" s="112">
        <f>AD1695</f>
        <v>0.7</v>
      </c>
      <c r="AG1695" s="20" t="s">
        <v>1385</v>
      </c>
      <c r="AH1695" s="109"/>
      <c r="AI1695" s="109"/>
      <c r="AJ1695" s="109"/>
      <c r="AK1695" s="109"/>
      <c r="AL1695" s="109"/>
      <c r="AM1695" s="109"/>
      <c r="AN1695" s="109"/>
      <c r="AO1695" s="109"/>
      <c r="AP1695" s="109"/>
      <c r="AQ1695" s="109"/>
      <c r="AR1695" s="109"/>
      <c r="AS1695" s="109"/>
    </row>
    <row r="1696" spans="1:45" ht="12.6" customHeight="1" x14ac:dyDescent="0.3">
      <c r="A1696" s="78"/>
      <c r="B1696" s="78"/>
      <c r="C1696" s="78"/>
      <c r="D1696" s="78"/>
      <c r="E1696" s="78"/>
      <c r="F1696" s="78"/>
      <c r="G1696" s="16" t="s">
        <v>1317</v>
      </c>
      <c r="Z1696" s="109"/>
      <c r="AA1696" s="109"/>
      <c r="AB1696" s="109"/>
      <c r="AC1696" s="109"/>
      <c r="AD1696" s="109"/>
      <c r="AE1696" s="109"/>
      <c r="AF1696" s="109"/>
      <c r="AG1696" s="109"/>
      <c r="AH1696" s="109"/>
      <c r="AI1696" s="109"/>
      <c r="AJ1696" s="109"/>
      <c r="AK1696" s="109"/>
      <c r="AL1696" s="109"/>
      <c r="AM1696" s="109"/>
      <c r="AN1696" s="109"/>
      <c r="AO1696" s="109"/>
      <c r="AP1696" s="109"/>
      <c r="AQ1696" s="109"/>
      <c r="AR1696" s="109"/>
      <c r="AS1696" s="109"/>
    </row>
    <row r="1697" spans="1:45" ht="12.6" customHeight="1" x14ac:dyDescent="0.3">
      <c r="A1697" s="68"/>
      <c r="B1697" s="97" t="str">
        <f>"f (토량의체적환산계수) = "&amp;Z1697&amp;"/"&amp;AB1697&amp;" = "&amp;AD1697&amp;""</f>
        <v>f (토량의체적환산계수) = 0.9/1.25 = 0.72</v>
      </c>
      <c r="C1697" s="78"/>
      <c r="D1697" s="78"/>
      <c r="E1697" s="78"/>
      <c r="F1697" s="78"/>
      <c r="G1697" s="16" t="s">
        <v>1912</v>
      </c>
      <c r="Z1697" s="110">
        <v>0.9</v>
      </c>
      <c r="AA1697" s="20" t="s">
        <v>1387</v>
      </c>
      <c r="AB1697" s="110">
        <v>1.25</v>
      </c>
      <c r="AC1697" s="20" t="s">
        <v>1326</v>
      </c>
      <c r="AD1697" s="112" t="str">
        <f>TEXT(ROUND(Z1697/AB1697,2),"0.00")</f>
        <v>0.72</v>
      </c>
      <c r="AE1697" s="109"/>
      <c r="AF1697" s="109"/>
      <c r="AG1697" s="109"/>
      <c r="AH1697" s="109"/>
      <c r="AI1697" s="109"/>
      <c r="AJ1697" s="109"/>
      <c r="AK1697" s="109"/>
      <c r="AL1697" s="109"/>
      <c r="AM1697" s="109"/>
      <c r="AN1697" s="109"/>
      <c r="AO1697" s="109"/>
      <c r="AP1697" s="109"/>
      <c r="AQ1697" s="109"/>
      <c r="AR1697" s="109"/>
      <c r="AS1697" s="109"/>
    </row>
    <row r="1698" spans="1:45" ht="12.6" customHeight="1" x14ac:dyDescent="0.3">
      <c r="A1698" s="78"/>
      <c r="B1698" s="78"/>
      <c r="C1698" s="78"/>
      <c r="D1698" s="78"/>
      <c r="E1698" s="78"/>
      <c r="F1698" s="78"/>
      <c r="G1698" s="16" t="s">
        <v>1317</v>
      </c>
      <c r="Z1698" s="109"/>
      <c r="AA1698" s="109"/>
      <c r="AB1698" s="109"/>
      <c r="AC1698" s="109"/>
      <c r="AD1698" s="109"/>
      <c r="AE1698" s="109"/>
      <c r="AF1698" s="109"/>
      <c r="AG1698" s="109"/>
      <c r="AH1698" s="109"/>
      <c r="AI1698" s="109"/>
      <c r="AJ1698" s="109"/>
      <c r="AK1698" s="109"/>
      <c r="AL1698" s="109"/>
      <c r="AM1698" s="109"/>
      <c r="AN1698" s="109"/>
      <c r="AO1698" s="109"/>
      <c r="AP1698" s="109"/>
      <c r="AQ1698" s="109"/>
      <c r="AR1698" s="109"/>
      <c r="AS1698" s="109"/>
    </row>
    <row r="1699" spans="1:45" ht="12.6" customHeight="1" x14ac:dyDescent="0.3">
      <c r="A1699" s="68"/>
      <c r="B1699" s="97" t="str">
        <f>"E (작업효율) = "&amp;Z1699&amp;" , Cm (1회 사이클 시간(초))  = "&amp;AD1699&amp;"  sec(135) "</f>
        <v xml:space="preserve">E (작업효율) = 0.5 , Cm (1회 사이클 시간(초))  = 20  sec(135) </v>
      </c>
      <c r="C1699" s="78"/>
      <c r="D1699" s="78"/>
      <c r="E1699" s="78"/>
      <c r="F1699" s="78"/>
      <c r="G1699" s="16" t="s">
        <v>1913</v>
      </c>
      <c r="Z1699" s="110">
        <v>0.5</v>
      </c>
      <c r="AA1699" s="20" t="s">
        <v>1326</v>
      </c>
      <c r="AB1699" s="112">
        <f>Z1699</f>
        <v>0.5</v>
      </c>
      <c r="AC1699" s="20" t="s">
        <v>1385</v>
      </c>
      <c r="AD1699" s="111">
        <v>20</v>
      </c>
      <c r="AE1699" s="20" t="s">
        <v>1326</v>
      </c>
      <c r="AF1699" s="112">
        <f>AD1699</f>
        <v>20</v>
      </c>
      <c r="AG1699" s="20" t="s">
        <v>1385</v>
      </c>
      <c r="AH1699" s="109"/>
      <c r="AI1699" s="109"/>
      <c r="AJ1699" s="109"/>
      <c r="AK1699" s="109"/>
      <c r="AL1699" s="109"/>
      <c r="AM1699" s="109"/>
      <c r="AN1699" s="109"/>
      <c r="AO1699" s="109"/>
      <c r="AP1699" s="109"/>
      <c r="AQ1699" s="109"/>
      <c r="AR1699" s="109"/>
      <c r="AS1699" s="109"/>
    </row>
    <row r="1700" spans="1:45" ht="12.6" customHeight="1" x14ac:dyDescent="0.3">
      <c r="A1700" s="78"/>
      <c r="B1700" s="78"/>
      <c r="C1700" s="78"/>
      <c r="D1700" s="78"/>
      <c r="E1700" s="78"/>
      <c r="F1700" s="78"/>
      <c r="G1700" s="16" t="s">
        <v>1317</v>
      </c>
      <c r="Z1700" s="109"/>
      <c r="AA1700" s="109"/>
      <c r="AB1700" s="109"/>
      <c r="AC1700" s="109"/>
      <c r="AD1700" s="109"/>
      <c r="AE1700" s="109"/>
      <c r="AF1700" s="109"/>
      <c r="AG1700" s="109"/>
      <c r="AH1700" s="109"/>
      <c r="AI1700" s="109"/>
      <c r="AJ1700" s="109"/>
      <c r="AK1700" s="109"/>
      <c r="AL1700" s="109"/>
      <c r="AM1700" s="109"/>
      <c r="AN1700" s="109"/>
      <c r="AO1700" s="109"/>
      <c r="AP1700" s="109"/>
      <c r="AQ1700" s="109"/>
      <c r="AR1700" s="109"/>
      <c r="AS1700" s="109"/>
    </row>
    <row r="1701" spans="1:45" ht="12.6" customHeight="1" x14ac:dyDescent="0.3">
      <c r="A1701" s="68"/>
      <c r="B1701" s="97" t="str">
        <f>"Q (시간당 작업량)  = "&amp;Z1701&amp;"*q*k*E*f/Cm = "&amp;AL1701&amp;" m3/hr "</f>
        <v xml:space="preserve">Q (시간당 작업량)  = 3600*q*k*E*f/Cm = 31.75 m3/hr </v>
      </c>
      <c r="C1701" s="78"/>
      <c r="D1701" s="78"/>
      <c r="E1701" s="78"/>
      <c r="F1701" s="78"/>
      <c r="G1701" s="16" t="s">
        <v>1757</v>
      </c>
      <c r="Z1701" s="111">
        <v>3600</v>
      </c>
      <c r="AA1701" s="20" t="s">
        <v>1390</v>
      </c>
      <c r="AB1701" s="112">
        <f>AB1695</f>
        <v>0.7</v>
      </c>
      <c r="AC1701" s="20" t="s">
        <v>1390</v>
      </c>
      <c r="AD1701" s="112">
        <f>AF1695</f>
        <v>0.7</v>
      </c>
      <c r="AE1701" s="20" t="s">
        <v>1390</v>
      </c>
      <c r="AF1701" s="112">
        <f>AB1699</f>
        <v>0.5</v>
      </c>
      <c r="AG1701" s="20" t="s">
        <v>1390</v>
      </c>
      <c r="AH1701" s="112" t="str">
        <f>AD1697</f>
        <v>0.72</v>
      </c>
      <c r="AI1701" s="20" t="s">
        <v>1387</v>
      </c>
      <c r="AJ1701" s="112">
        <f>AF1699</f>
        <v>20</v>
      </c>
      <c r="AK1701" s="20" t="s">
        <v>1326</v>
      </c>
      <c r="AL1701" s="112" t="str">
        <f>TEXT(ROUND(Z1701*AB1695*AF1695*AB1699*AD1697/AF1699,2),"0.00")</f>
        <v>31.75</v>
      </c>
      <c r="AM1701" s="109"/>
      <c r="AN1701" s="109"/>
      <c r="AO1701" s="109"/>
      <c r="AP1701" s="109"/>
      <c r="AQ1701" s="109"/>
      <c r="AR1701" s="109"/>
      <c r="AS1701" s="109"/>
    </row>
    <row r="1702" spans="1:45" ht="12.6" customHeight="1" x14ac:dyDescent="0.3">
      <c r="A1702" s="78"/>
      <c r="B1702" s="78"/>
      <c r="C1702" s="78"/>
      <c r="D1702" s="78"/>
      <c r="E1702" s="78"/>
      <c r="F1702" s="78"/>
      <c r="G1702" s="16" t="s">
        <v>1317</v>
      </c>
      <c r="Z1702" s="109"/>
      <c r="AA1702" s="109"/>
      <c r="AB1702" s="109"/>
      <c r="AC1702" s="109"/>
      <c r="AD1702" s="109"/>
      <c r="AE1702" s="109"/>
      <c r="AF1702" s="109"/>
      <c r="AG1702" s="109"/>
      <c r="AH1702" s="109"/>
      <c r="AI1702" s="109"/>
      <c r="AJ1702" s="109"/>
      <c r="AK1702" s="109"/>
      <c r="AL1702" s="109"/>
      <c r="AM1702" s="109"/>
      <c r="AN1702" s="109"/>
      <c r="AO1702" s="109"/>
      <c r="AP1702" s="109"/>
      <c r="AQ1702" s="109"/>
      <c r="AR1702" s="109"/>
      <c r="AS1702" s="109"/>
    </row>
    <row r="1703" spans="1:45" ht="12.6" customHeight="1" x14ac:dyDescent="0.3">
      <c r="A1703" s="68" t="s">
        <v>1473</v>
      </c>
      <c r="B1703" s="97" t="str">
        <f>" 노 무 비  :   "&amp;TEXT(I1703,"#,##0"&amp;IF(I1703&lt;&gt;INT(I1703),".###",""))&amp;" / Q  = "&amp;TEXT(C1703,"#,##0.0")&amp;""</f>
        <v xml:space="preserve"> 노 무 비  :   55,700 / Q  = 1,754.3</v>
      </c>
      <c r="C1703" s="99">
        <f>E1703+D1703+F1703</f>
        <v>1754.3</v>
      </c>
      <c r="D1703" s="99">
        <f>IF(H1703=0,0,ROUNDDOWN(J1703*H1703,1))</f>
        <v>1754.3</v>
      </c>
      <c r="E1703" s="99">
        <f>IF(H1703=0,0,ROUNDDOWN(K1703*H1703,1))</f>
        <v>0</v>
      </c>
      <c r="F1703" s="99">
        <f>IF(H1703=0,0,ROUNDDOWN(L1703*H1703,1))</f>
        <v>0</v>
      </c>
      <c r="G1703" s="16" t="s">
        <v>1758</v>
      </c>
      <c r="H1703" s="105">
        <f>AC1703</f>
        <v>3.1496062992125984E-2</v>
      </c>
      <c r="I1703" s="106">
        <f>K1703+J1703+L1703</f>
        <v>55700</v>
      </c>
      <c r="J1703" s="39">
        <f>중기목록표!F7</f>
        <v>55700</v>
      </c>
      <c r="M1703" s="20" t="s">
        <v>1193</v>
      </c>
      <c r="N1703" s="20" t="s">
        <v>1332</v>
      </c>
      <c r="X1703" s="108" t="str">
        <f>중기목록표!B7&amp;" / "&amp;중기목록표!C7</f>
        <v xml:space="preserve">굴삭기(0.7m3) / </v>
      </c>
      <c r="Y1703" s="19" t="str">
        <f ca="1">HYPERLINK("#"&amp;중기목록표!J2&amp;"!A"&amp;ROW(중기목록표!A7),"중기    4 →")</f>
        <v>중기    4 →</v>
      </c>
      <c r="Z1703" s="20" t="s">
        <v>1393</v>
      </c>
      <c r="AA1703" s="112" t="str">
        <f>AL1701</f>
        <v>31.75</v>
      </c>
      <c r="AB1703" s="20" t="s">
        <v>1326</v>
      </c>
      <c r="AC1703" s="113">
        <f>1/AL1701</f>
        <v>3.1496062992125984E-2</v>
      </c>
      <c r="AD1703" s="109"/>
      <c r="AE1703" s="109"/>
      <c r="AF1703" s="109"/>
      <c r="AG1703" s="109"/>
      <c r="AH1703" s="109"/>
      <c r="AI1703" s="109"/>
      <c r="AJ1703" s="109"/>
      <c r="AK1703" s="109"/>
      <c r="AL1703" s="109"/>
      <c r="AM1703" s="109"/>
      <c r="AN1703" s="109"/>
      <c r="AO1703" s="109"/>
      <c r="AP1703" s="109"/>
      <c r="AQ1703" s="109"/>
      <c r="AR1703" s="109"/>
      <c r="AS1703" s="109"/>
    </row>
    <row r="1704" spans="1:45" ht="12.6" customHeight="1" x14ac:dyDescent="0.3">
      <c r="A1704" s="78"/>
      <c r="B1704" s="78"/>
      <c r="C1704" s="78"/>
      <c r="D1704" s="78"/>
      <c r="E1704" s="78"/>
      <c r="F1704" s="78"/>
      <c r="G1704" s="16" t="s">
        <v>1317</v>
      </c>
      <c r="Z1704" s="109"/>
      <c r="AA1704" s="109"/>
      <c r="AB1704" s="109"/>
      <c r="AC1704" s="109"/>
      <c r="AD1704" s="109"/>
      <c r="AE1704" s="109"/>
      <c r="AF1704" s="109"/>
      <c r="AG1704" s="109"/>
      <c r="AH1704" s="109"/>
      <c r="AI1704" s="109"/>
      <c r="AJ1704" s="109"/>
      <c r="AK1704" s="109"/>
      <c r="AL1704" s="109"/>
      <c r="AM1704" s="109"/>
      <c r="AN1704" s="109"/>
      <c r="AO1704" s="109"/>
      <c r="AP1704" s="109"/>
      <c r="AQ1704" s="109"/>
      <c r="AR1704" s="109"/>
      <c r="AS1704" s="109"/>
    </row>
    <row r="1705" spans="1:45" ht="12.6" customHeight="1" x14ac:dyDescent="0.3">
      <c r="A1705" s="68" t="s">
        <v>1475</v>
      </c>
      <c r="B1705" s="97" t="str">
        <f>" 재 료 비  :   "&amp;TEXT(I1705,"#,##0"&amp;IF(I1705&lt;&gt;INT(I1705),".###",""))&amp;" / Q  = "&amp;TEXT(C1705,"#,##0.0")&amp;""</f>
        <v xml:space="preserve"> 재 료 비  :   18,001 / Q  = 566.9</v>
      </c>
      <c r="C1705" s="99">
        <f>E1705+D1705+F1705</f>
        <v>566.9</v>
      </c>
      <c r="D1705" s="99">
        <f>IF(H1705=0,0,ROUNDDOWN(J1705*H1705,1))</f>
        <v>0</v>
      </c>
      <c r="E1705" s="99">
        <f>IF(H1705=0,0,ROUNDDOWN(K1705*H1705,1))</f>
        <v>566.9</v>
      </c>
      <c r="F1705" s="99">
        <f>IF(H1705=0,0,ROUNDDOWN(L1705*H1705,1))</f>
        <v>0</v>
      </c>
      <c r="G1705" s="16" t="s">
        <v>1759</v>
      </c>
      <c r="H1705" s="105">
        <f>AC1705</f>
        <v>3.1496062992125984E-2</v>
      </c>
      <c r="I1705" s="106">
        <f>K1705+J1705+L1705</f>
        <v>18001</v>
      </c>
      <c r="K1705" s="39">
        <f>중기목록표!G7</f>
        <v>18001</v>
      </c>
      <c r="M1705" s="20" t="s">
        <v>1193</v>
      </c>
      <c r="N1705" s="20" t="s">
        <v>1332</v>
      </c>
      <c r="X1705" s="108" t="str">
        <f>중기목록표!B7&amp;" / "&amp;중기목록표!C7</f>
        <v xml:space="preserve">굴삭기(0.7m3) / </v>
      </c>
      <c r="Y1705" s="19" t="str">
        <f ca="1">HYPERLINK("#"&amp;중기목록표!J2&amp;"!A"&amp;ROW(중기목록표!A7),"중기    4 →")</f>
        <v>중기    4 →</v>
      </c>
      <c r="Z1705" s="20" t="s">
        <v>1393</v>
      </c>
      <c r="AA1705" s="112" t="str">
        <f>AL1701</f>
        <v>31.75</v>
      </c>
      <c r="AB1705" s="20" t="s">
        <v>1326</v>
      </c>
      <c r="AC1705" s="113">
        <f>1/AL1701</f>
        <v>3.1496062992125984E-2</v>
      </c>
      <c r="AD1705" s="109"/>
      <c r="AE1705" s="109"/>
      <c r="AF1705" s="109"/>
      <c r="AG1705" s="109"/>
      <c r="AH1705" s="109"/>
      <c r="AI1705" s="109"/>
      <c r="AJ1705" s="109"/>
      <c r="AK1705" s="109"/>
      <c r="AL1705" s="109"/>
      <c r="AM1705" s="109"/>
      <c r="AN1705" s="109"/>
      <c r="AO1705" s="109"/>
      <c r="AP1705" s="109"/>
      <c r="AQ1705" s="109"/>
      <c r="AR1705" s="109"/>
      <c r="AS1705" s="109"/>
    </row>
    <row r="1706" spans="1:45" ht="12.6" customHeight="1" x14ac:dyDescent="0.3">
      <c r="A1706" s="78"/>
      <c r="B1706" s="78"/>
      <c r="C1706" s="78"/>
      <c r="D1706" s="78"/>
      <c r="E1706" s="78"/>
      <c r="F1706" s="78"/>
      <c r="G1706" s="16" t="s">
        <v>1317</v>
      </c>
      <c r="Z1706" s="109"/>
      <c r="AA1706" s="109"/>
      <c r="AB1706" s="109"/>
      <c r="AC1706" s="109"/>
      <c r="AD1706" s="109"/>
      <c r="AE1706" s="109"/>
      <c r="AF1706" s="109"/>
      <c r="AG1706" s="109"/>
      <c r="AH1706" s="109"/>
      <c r="AI1706" s="109"/>
      <c r="AJ1706" s="109"/>
      <c r="AK1706" s="109"/>
      <c r="AL1706" s="109"/>
      <c r="AM1706" s="109"/>
      <c r="AN1706" s="109"/>
      <c r="AO1706" s="109"/>
      <c r="AP1706" s="109"/>
      <c r="AQ1706" s="109"/>
      <c r="AR1706" s="109"/>
      <c r="AS1706" s="109"/>
    </row>
    <row r="1707" spans="1:45" ht="12.6" customHeight="1" x14ac:dyDescent="0.3">
      <c r="A1707" s="68" t="s">
        <v>1477</v>
      </c>
      <c r="B1707" s="97" t="str">
        <f>" 경    비  :   "&amp;TEXT(I1707,"#,##0"&amp;IF(I1707&lt;&gt;INT(I1707),".###",""))&amp;" / Q  = "&amp;TEXT(C1707,"#,##0.0")&amp;""</f>
        <v xml:space="preserve"> 경    비  :   23,128 / Q  = 728.4</v>
      </c>
      <c r="C1707" s="99">
        <f>E1707+D1707+F1707</f>
        <v>728.4</v>
      </c>
      <c r="D1707" s="99">
        <f>IF(H1707=0,0,ROUNDDOWN(J1707*H1707,1))</f>
        <v>0</v>
      </c>
      <c r="E1707" s="99">
        <f>IF(H1707=0,0,ROUNDDOWN(K1707*H1707,1))</f>
        <v>0</v>
      </c>
      <c r="F1707" s="99">
        <f>IF(H1707=0,0,ROUNDDOWN(L1707*H1707,1))</f>
        <v>728.4</v>
      </c>
      <c r="G1707" s="16" t="s">
        <v>1760</v>
      </c>
      <c r="H1707" s="105">
        <f>AC1707</f>
        <v>3.1496062992125984E-2</v>
      </c>
      <c r="I1707" s="106">
        <f>K1707+J1707+L1707</f>
        <v>23128</v>
      </c>
      <c r="L1707" s="39">
        <f>중기목록표!H7</f>
        <v>23128</v>
      </c>
      <c r="M1707" s="20" t="s">
        <v>1193</v>
      </c>
      <c r="N1707" s="20" t="s">
        <v>1332</v>
      </c>
      <c r="X1707" s="108" t="str">
        <f>중기목록표!B7&amp;" / "&amp;중기목록표!C7</f>
        <v xml:space="preserve">굴삭기(0.7m3) / </v>
      </c>
      <c r="Y1707" s="19" t="str">
        <f ca="1">HYPERLINK("#"&amp;중기목록표!J2&amp;"!A"&amp;ROW(중기목록표!A7),"중기    4 →")</f>
        <v>중기    4 →</v>
      </c>
      <c r="Z1707" s="20" t="s">
        <v>1393</v>
      </c>
      <c r="AA1707" s="112" t="str">
        <f>AL1701</f>
        <v>31.75</v>
      </c>
      <c r="AB1707" s="20" t="s">
        <v>1326</v>
      </c>
      <c r="AC1707" s="113">
        <f>1/AL1701</f>
        <v>3.1496062992125984E-2</v>
      </c>
      <c r="AD1707" s="109"/>
      <c r="AE1707" s="109"/>
      <c r="AF1707" s="109"/>
      <c r="AG1707" s="109"/>
      <c r="AH1707" s="109"/>
      <c r="AI1707" s="109"/>
      <c r="AJ1707" s="109"/>
      <c r="AK1707" s="109"/>
      <c r="AL1707" s="109"/>
      <c r="AM1707" s="109"/>
      <c r="AN1707" s="109"/>
      <c r="AO1707" s="109"/>
      <c r="AP1707" s="109"/>
      <c r="AQ1707" s="109"/>
      <c r="AR1707" s="109"/>
      <c r="AS1707" s="109"/>
    </row>
    <row r="1708" spans="1:45" ht="12.6" customHeight="1" x14ac:dyDescent="0.3">
      <c r="A1708" s="78"/>
      <c r="B1708" s="78"/>
      <c r="C1708" s="78"/>
      <c r="D1708" s="78"/>
      <c r="E1708" s="78"/>
      <c r="F1708" s="78"/>
      <c r="G1708" s="16" t="s">
        <v>1317</v>
      </c>
      <c r="Z1708" s="109"/>
      <c r="AA1708" s="109"/>
      <c r="AB1708" s="109"/>
      <c r="AC1708" s="109"/>
      <c r="AD1708" s="109"/>
      <c r="AE1708" s="109"/>
      <c r="AF1708" s="109"/>
      <c r="AG1708" s="109"/>
      <c r="AH1708" s="109"/>
      <c r="AI1708" s="109"/>
      <c r="AJ1708" s="109"/>
      <c r="AK1708" s="109"/>
      <c r="AL1708" s="109"/>
      <c r="AM1708" s="109"/>
      <c r="AN1708" s="109"/>
      <c r="AO1708" s="109"/>
      <c r="AP1708" s="109"/>
      <c r="AQ1708" s="109"/>
      <c r="AR1708" s="109"/>
      <c r="AS1708" s="109"/>
    </row>
    <row r="1709" spans="1:45" ht="12.6" customHeight="1" x14ac:dyDescent="0.3">
      <c r="A1709" s="68"/>
      <c r="B1709" s="77" t="s">
        <v>1331</v>
      </c>
      <c r="C1709" s="100">
        <f>E1709+D1709+F1709</f>
        <v>3049.6</v>
      </c>
      <c r="D1709" s="100">
        <f>SUMIF(N1687:N1708,M1709,D1687:D1708)</f>
        <v>1754.3</v>
      </c>
      <c r="E1709" s="100">
        <f>SUMIF(N1687:N1708,M1709,E1687:E1708)</f>
        <v>566.9</v>
      </c>
      <c r="F1709" s="100">
        <f>SUMIF(N1687:N1708,M1709,F1687:F1708)</f>
        <v>728.4</v>
      </c>
      <c r="G1709" s="16" t="s">
        <v>1415</v>
      </c>
      <c r="M1709" s="20" t="s">
        <v>1332</v>
      </c>
      <c r="N1709" s="20" t="s">
        <v>1341</v>
      </c>
      <c r="Z1709" s="109"/>
      <c r="AA1709" s="109"/>
      <c r="AB1709" s="109"/>
      <c r="AC1709" s="109"/>
      <c r="AD1709" s="109"/>
      <c r="AE1709" s="109"/>
      <c r="AF1709" s="109"/>
      <c r="AG1709" s="109"/>
      <c r="AH1709" s="109"/>
      <c r="AI1709" s="109"/>
      <c r="AJ1709" s="109"/>
      <c r="AK1709" s="109"/>
      <c r="AL1709" s="109"/>
      <c r="AM1709" s="109"/>
      <c r="AN1709" s="109"/>
      <c r="AO1709" s="109"/>
      <c r="AP1709" s="109"/>
      <c r="AQ1709" s="109"/>
      <c r="AR1709" s="109"/>
      <c r="AS1709" s="109"/>
    </row>
    <row r="1710" spans="1:45" ht="12.6" customHeight="1" x14ac:dyDescent="0.3">
      <c r="A1710" s="78"/>
      <c r="B1710" s="78"/>
      <c r="C1710" s="98"/>
      <c r="D1710" s="98"/>
      <c r="E1710" s="98"/>
      <c r="F1710" s="98"/>
      <c r="G1710" s="16" t="s">
        <v>1317</v>
      </c>
      <c r="Z1710" s="109"/>
      <c r="AA1710" s="109"/>
      <c r="AB1710" s="109"/>
      <c r="AC1710" s="109"/>
      <c r="AD1710" s="109"/>
      <c r="AE1710" s="109"/>
      <c r="AF1710" s="109"/>
      <c r="AG1710" s="109"/>
      <c r="AH1710" s="109"/>
      <c r="AI1710" s="109"/>
      <c r="AJ1710" s="109"/>
      <c r="AK1710" s="109"/>
      <c r="AL1710" s="109"/>
      <c r="AM1710" s="109"/>
      <c r="AN1710" s="109"/>
      <c r="AO1710" s="109"/>
      <c r="AP1710" s="109"/>
      <c r="AQ1710" s="109"/>
      <c r="AR1710" s="109"/>
      <c r="AS1710" s="109"/>
    </row>
    <row r="1711" spans="1:45" ht="12.6" customHeight="1" x14ac:dyDescent="0.3">
      <c r="A1711" s="68"/>
      <c r="B1711" s="77" t="s">
        <v>1915</v>
      </c>
      <c r="C1711" s="78"/>
      <c r="D1711" s="78"/>
      <c r="E1711" s="78"/>
      <c r="F1711" s="78"/>
      <c r="G1711" s="16" t="s">
        <v>1914</v>
      </c>
      <c r="Z1711" s="109"/>
      <c r="AA1711" s="109"/>
      <c r="AB1711" s="109"/>
      <c r="AC1711" s="109"/>
      <c r="AD1711" s="109"/>
      <c r="AE1711" s="109"/>
      <c r="AF1711" s="109"/>
      <c r="AG1711" s="109"/>
      <c r="AH1711" s="109"/>
      <c r="AI1711" s="109"/>
      <c r="AJ1711" s="109"/>
      <c r="AK1711" s="109"/>
      <c r="AL1711" s="109"/>
      <c r="AM1711" s="109"/>
      <c r="AN1711" s="109"/>
      <c r="AO1711" s="109"/>
      <c r="AP1711" s="109"/>
      <c r="AQ1711" s="109"/>
      <c r="AR1711" s="109"/>
      <c r="AS1711" s="109"/>
    </row>
    <row r="1712" spans="1:45" ht="12.6" customHeight="1" x14ac:dyDescent="0.3">
      <c r="A1712" s="78"/>
      <c r="B1712" s="78"/>
      <c r="C1712" s="78"/>
      <c r="D1712" s="78"/>
      <c r="E1712" s="78"/>
      <c r="F1712" s="78"/>
      <c r="G1712" s="16" t="s">
        <v>1317</v>
      </c>
      <c r="Z1712" s="109"/>
      <c r="AA1712" s="109"/>
      <c r="AB1712" s="109"/>
      <c r="AC1712" s="109"/>
      <c r="AD1712" s="109"/>
      <c r="AE1712" s="109"/>
      <c r="AF1712" s="109"/>
      <c r="AG1712" s="109"/>
      <c r="AH1712" s="109"/>
      <c r="AI1712" s="109"/>
      <c r="AJ1712" s="109"/>
      <c r="AK1712" s="109"/>
      <c r="AL1712" s="109"/>
      <c r="AM1712" s="109"/>
      <c r="AN1712" s="109"/>
      <c r="AO1712" s="109"/>
      <c r="AP1712" s="109"/>
      <c r="AQ1712" s="109"/>
      <c r="AR1712" s="109"/>
      <c r="AS1712" s="109"/>
    </row>
    <row r="1713" spans="1:45" ht="12.6" customHeight="1" x14ac:dyDescent="0.3">
      <c r="A1713" s="68"/>
      <c r="B1713" s="77" t="s">
        <v>1917</v>
      </c>
      <c r="C1713" s="78"/>
      <c r="D1713" s="78"/>
      <c r="E1713" s="78"/>
      <c r="F1713" s="78"/>
      <c r="G1713" s="16" t="s">
        <v>1916</v>
      </c>
      <c r="Z1713" s="109"/>
      <c r="AA1713" s="109"/>
      <c r="AB1713" s="109"/>
      <c r="AC1713" s="109"/>
      <c r="AD1713" s="109"/>
      <c r="AE1713" s="109"/>
      <c r="AF1713" s="109"/>
      <c r="AG1713" s="109"/>
      <c r="AH1713" s="109"/>
      <c r="AI1713" s="109"/>
      <c r="AJ1713" s="109"/>
      <c r="AK1713" s="109"/>
      <c r="AL1713" s="109"/>
      <c r="AM1713" s="109"/>
      <c r="AN1713" s="109"/>
      <c r="AO1713" s="109"/>
      <c r="AP1713" s="109"/>
      <c r="AQ1713" s="109"/>
      <c r="AR1713" s="109"/>
      <c r="AS1713" s="109"/>
    </row>
    <row r="1714" spans="1:45" ht="12.6" customHeight="1" x14ac:dyDescent="0.3">
      <c r="A1714" s="78"/>
      <c r="B1714" s="78"/>
      <c r="C1714" s="78"/>
      <c r="D1714" s="78"/>
      <c r="E1714" s="78"/>
      <c r="F1714" s="78"/>
      <c r="G1714" s="16" t="s">
        <v>1317</v>
      </c>
      <c r="Z1714" s="109"/>
      <c r="AA1714" s="109"/>
      <c r="AB1714" s="109"/>
      <c r="AC1714" s="109"/>
      <c r="AD1714" s="109"/>
      <c r="AE1714" s="109"/>
      <c r="AF1714" s="109"/>
      <c r="AG1714" s="109"/>
      <c r="AH1714" s="109"/>
      <c r="AI1714" s="109"/>
      <c r="AJ1714" s="109"/>
      <c r="AK1714" s="109"/>
      <c r="AL1714" s="109"/>
      <c r="AM1714" s="109"/>
      <c r="AN1714" s="109"/>
      <c r="AO1714" s="109"/>
      <c r="AP1714" s="109"/>
      <c r="AQ1714" s="109"/>
      <c r="AR1714" s="109"/>
      <c r="AS1714" s="109"/>
    </row>
    <row r="1715" spans="1:45" ht="12.6" customHeight="1" x14ac:dyDescent="0.3">
      <c r="A1715" s="68"/>
      <c r="B1715" s="97" t="str">
        <f>" k (버킷계수) = "&amp;Z1715&amp;" , E (작업효율) = "&amp;AD1715&amp;""</f>
        <v xml:space="preserve"> k (버킷계수) = 0.7 , E (작업효율) = 0.9</v>
      </c>
      <c r="C1715" s="78"/>
      <c r="D1715" s="78"/>
      <c r="E1715" s="78"/>
      <c r="F1715" s="78"/>
      <c r="G1715" s="16" t="s">
        <v>1918</v>
      </c>
      <c r="Z1715" s="110">
        <v>0.7</v>
      </c>
      <c r="AA1715" s="20" t="s">
        <v>1326</v>
      </c>
      <c r="AB1715" s="112">
        <f>Z1715</f>
        <v>0.7</v>
      </c>
      <c r="AC1715" s="20" t="s">
        <v>1385</v>
      </c>
      <c r="AD1715" s="110">
        <v>0.9</v>
      </c>
      <c r="AE1715" s="20" t="s">
        <v>1326</v>
      </c>
      <c r="AF1715" s="112">
        <f>AD1715</f>
        <v>0.9</v>
      </c>
      <c r="AG1715" s="20" t="s">
        <v>1385</v>
      </c>
      <c r="AH1715" s="109"/>
      <c r="AI1715" s="109"/>
      <c r="AJ1715" s="109"/>
      <c r="AK1715" s="109"/>
      <c r="AL1715" s="109"/>
      <c r="AM1715" s="109"/>
      <c r="AN1715" s="109"/>
      <c r="AO1715" s="109"/>
      <c r="AP1715" s="109"/>
      <c r="AQ1715" s="109"/>
      <c r="AR1715" s="109"/>
      <c r="AS1715" s="109"/>
    </row>
    <row r="1716" spans="1:45" ht="12.6" customHeight="1" x14ac:dyDescent="0.3">
      <c r="A1716" s="78"/>
      <c r="B1716" s="78"/>
      <c r="C1716" s="78"/>
      <c r="D1716" s="78"/>
      <c r="E1716" s="78"/>
      <c r="F1716" s="78"/>
      <c r="G1716" s="16" t="s">
        <v>1317</v>
      </c>
      <c r="Z1716" s="109"/>
      <c r="AA1716" s="109"/>
      <c r="AB1716" s="109"/>
      <c r="AC1716" s="109"/>
      <c r="AD1716" s="109"/>
      <c r="AE1716" s="109"/>
      <c r="AF1716" s="109"/>
      <c r="AG1716" s="109"/>
      <c r="AH1716" s="109"/>
      <c r="AI1716" s="109"/>
      <c r="AJ1716" s="109"/>
      <c r="AK1716" s="109"/>
      <c r="AL1716" s="109"/>
      <c r="AM1716" s="109"/>
      <c r="AN1716" s="109"/>
      <c r="AO1716" s="109"/>
      <c r="AP1716" s="109"/>
      <c r="AQ1716" s="109"/>
      <c r="AR1716" s="109"/>
      <c r="AS1716" s="109"/>
    </row>
    <row r="1717" spans="1:45" ht="12.6" customHeight="1" x14ac:dyDescent="0.3">
      <c r="A1717" s="68"/>
      <c r="B1717" s="97" t="str">
        <f>" F (체적환산계수) = "&amp;Z1717&amp;"/"&amp;AB1717&amp;" = "&amp;AD1717&amp;""</f>
        <v xml:space="preserve"> F (체적환산계수) = 0.9/1.3 = 0.69</v>
      </c>
      <c r="C1717" s="78"/>
      <c r="D1717" s="78"/>
      <c r="E1717" s="78"/>
      <c r="F1717" s="78"/>
      <c r="G1717" s="16" t="s">
        <v>1919</v>
      </c>
      <c r="Z1717" s="110">
        <v>0.9</v>
      </c>
      <c r="AA1717" s="20" t="s">
        <v>1387</v>
      </c>
      <c r="AB1717" s="110">
        <v>1.3</v>
      </c>
      <c r="AC1717" s="20" t="s">
        <v>1326</v>
      </c>
      <c r="AD1717" s="112" t="str">
        <f>TEXT(ROUND(Z1717/AB1717,2),"0.00")</f>
        <v>0.69</v>
      </c>
      <c r="AE1717" s="109"/>
      <c r="AF1717" s="109"/>
      <c r="AG1717" s="109"/>
      <c r="AH1717" s="109"/>
      <c r="AI1717" s="109"/>
      <c r="AJ1717" s="109"/>
      <c r="AK1717" s="109"/>
      <c r="AL1717" s="109"/>
      <c r="AM1717" s="109"/>
      <c r="AN1717" s="109"/>
      <c r="AO1717" s="109"/>
      <c r="AP1717" s="109"/>
      <c r="AQ1717" s="109"/>
      <c r="AR1717" s="109"/>
      <c r="AS1717" s="109"/>
    </row>
    <row r="1718" spans="1:45" ht="12.6" customHeight="1" x14ac:dyDescent="0.3">
      <c r="A1718" s="78"/>
      <c r="B1718" s="78"/>
      <c r="C1718" s="78"/>
      <c r="D1718" s="78"/>
      <c r="E1718" s="78"/>
      <c r="F1718" s="78"/>
      <c r="G1718" s="16" t="s">
        <v>1317</v>
      </c>
      <c r="Z1718" s="109"/>
      <c r="AA1718" s="109"/>
      <c r="AB1718" s="109"/>
      <c r="AC1718" s="109"/>
      <c r="AD1718" s="109"/>
      <c r="AE1718" s="109"/>
      <c r="AF1718" s="109"/>
      <c r="AG1718" s="109"/>
      <c r="AH1718" s="109"/>
      <c r="AI1718" s="109"/>
      <c r="AJ1718" s="109"/>
      <c r="AK1718" s="109"/>
      <c r="AL1718" s="109"/>
      <c r="AM1718" s="109"/>
      <c r="AN1718" s="109"/>
      <c r="AO1718" s="109"/>
      <c r="AP1718" s="109"/>
      <c r="AQ1718" s="109"/>
      <c r="AR1718" s="109"/>
      <c r="AS1718" s="109"/>
    </row>
    <row r="1719" spans="1:45" ht="12.6" customHeight="1" x14ac:dyDescent="0.3">
      <c r="A1719" s="68"/>
      <c r="B1719" s="97" t="str">
        <f>" q1 (흐트러진 상태의 덤프트럭 1회 적재량) = ("&amp;AA1719&amp;"/"&amp;AC1719&amp;") * "&amp;AE1719&amp;" = "&amp;AG1719&amp;""</f>
        <v xml:space="preserve"> q1 (흐트러진 상태의 덤프트럭 1회 적재량) = (15/1.7) * 1.425 = 12.57</v>
      </c>
      <c r="C1719" s="78"/>
      <c r="D1719" s="78"/>
      <c r="E1719" s="78"/>
      <c r="F1719" s="78"/>
      <c r="G1719" s="16" t="s">
        <v>1920</v>
      </c>
      <c r="Z1719" s="20" t="s">
        <v>1526</v>
      </c>
      <c r="AA1719" s="111">
        <v>15</v>
      </c>
      <c r="AB1719" s="20" t="s">
        <v>1387</v>
      </c>
      <c r="AC1719" s="110">
        <v>1.7</v>
      </c>
      <c r="AD1719" s="20" t="s">
        <v>1527</v>
      </c>
      <c r="AE1719" s="110">
        <v>1.425</v>
      </c>
      <c r="AF1719" s="20" t="s">
        <v>1326</v>
      </c>
      <c r="AG1719" s="112" t="str">
        <f>TEXT(ROUND((AA1719/AC1719)*AE1719,2),"0.00")</f>
        <v>12.57</v>
      </c>
      <c r="AH1719" s="109"/>
      <c r="AI1719" s="109"/>
      <c r="AJ1719" s="109"/>
      <c r="AK1719" s="109"/>
      <c r="AL1719" s="109"/>
      <c r="AM1719" s="109"/>
      <c r="AN1719" s="109"/>
      <c r="AO1719" s="109"/>
      <c r="AP1719" s="109"/>
      <c r="AQ1719" s="109"/>
      <c r="AR1719" s="109"/>
      <c r="AS1719" s="109"/>
    </row>
    <row r="1720" spans="1:45" ht="12.6" customHeight="1" x14ac:dyDescent="0.3">
      <c r="A1720" s="78"/>
      <c r="B1720" s="78"/>
      <c r="C1720" s="78"/>
      <c r="D1720" s="78"/>
      <c r="E1720" s="78"/>
      <c r="F1720" s="78"/>
      <c r="G1720" s="16" t="s">
        <v>1317</v>
      </c>
      <c r="Z1720" s="109"/>
      <c r="AA1720" s="109"/>
      <c r="AB1720" s="109"/>
      <c r="AC1720" s="109"/>
      <c r="AD1720" s="109"/>
      <c r="AE1720" s="109"/>
      <c r="AF1720" s="109"/>
      <c r="AG1720" s="109"/>
      <c r="AH1720" s="109"/>
      <c r="AI1720" s="109"/>
      <c r="AJ1720" s="109"/>
      <c r="AK1720" s="109"/>
      <c r="AL1720" s="109"/>
      <c r="AM1720" s="109"/>
      <c r="AN1720" s="109"/>
      <c r="AO1720" s="109"/>
      <c r="AP1720" s="109"/>
      <c r="AQ1720" s="109"/>
      <c r="AR1720" s="109"/>
      <c r="AS1720" s="109"/>
    </row>
    <row r="1721" spans="1:45" ht="12.6" customHeight="1" x14ac:dyDescent="0.3">
      <c r="A1721" s="68"/>
      <c r="B1721" s="77" t="s">
        <v>1528</v>
      </c>
      <c r="C1721" s="78"/>
      <c r="D1721" s="78"/>
      <c r="E1721" s="78"/>
      <c r="F1721" s="78"/>
      <c r="G1721" s="16" t="s">
        <v>1803</v>
      </c>
      <c r="Z1721" s="109"/>
      <c r="AA1721" s="109"/>
      <c r="AB1721" s="109"/>
      <c r="AC1721" s="109"/>
      <c r="AD1721" s="109"/>
      <c r="AE1721" s="109"/>
      <c r="AF1721" s="109"/>
      <c r="AG1721" s="109"/>
      <c r="AH1721" s="109"/>
      <c r="AI1721" s="109"/>
      <c r="AJ1721" s="109"/>
      <c r="AK1721" s="109"/>
      <c r="AL1721" s="109"/>
      <c r="AM1721" s="109"/>
      <c r="AN1721" s="109"/>
      <c r="AO1721" s="109"/>
      <c r="AP1721" s="109"/>
      <c r="AQ1721" s="109"/>
      <c r="AR1721" s="109"/>
      <c r="AS1721" s="109"/>
    </row>
    <row r="1722" spans="1:45" ht="12.6" customHeight="1" x14ac:dyDescent="0.3">
      <c r="A1722" s="78"/>
      <c r="B1722" s="78"/>
      <c r="C1722" s="78"/>
      <c r="D1722" s="78"/>
      <c r="E1722" s="78"/>
      <c r="F1722" s="78"/>
      <c r="G1722" s="16" t="s">
        <v>1317</v>
      </c>
      <c r="Z1722" s="109"/>
      <c r="AA1722" s="109"/>
      <c r="AB1722" s="109"/>
      <c r="AC1722" s="109"/>
      <c r="AD1722" s="109"/>
      <c r="AE1722" s="109"/>
      <c r="AF1722" s="109"/>
      <c r="AG1722" s="109"/>
      <c r="AH1722" s="109"/>
      <c r="AI1722" s="109"/>
      <c r="AJ1722" s="109"/>
      <c r="AK1722" s="109"/>
      <c r="AL1722" s="109"/>
      <c r="AM1722" s="109"/>
      <c r="AN1722" s="109"/>
      <c r="AO1722" s="109"/>
      <c r="AP1722" s="109"/>
      <c r="AQ1722" s="109"/>
      <c r="AR1722" s="109"/>
      <c r="AS1722" s="109"/>
    </row>
    <row r="1723" spans="1:45" ht="12.6" customHeight="1" x14ac:dyDescent="0.3">
      <c r="A1723" s="68"/>
      <c r="B1723" s="97" t="str">
        <f>" n = q1 / ("&amp;AB1723&amp;" * k) = "&amp;AG1723&amp;"  회 "</f>
        <v xml:space="preserve"> n = q1 / (0.7 * k) = 25.65  회 </v>
      </c>
      <c r="C1723" s="78"/>
      <c r="D1723" s="78"/>
      <c r="E1723" s="78"/>
      <c r="F1723" s="78"/>
      <c r="G1723" s="16" t="s">
        <v>1921</v>
      </c>
      <c r="Z1723" s="112" t="str">
        <f>AG1719</f>
        <v>12.57</v>
      </c>
      <c r="AA1723" s="20" t="s">
        <v>1531</v>
      </c>
      <c r="AB1723" s="110">
        <v>0.7</v>
      </c>
      <c r="AC1723" s="20" t="s">
        <v>1390</v>
      </c>
      <c r="AD1723" s="112">
        <f>AB1715</f>
        <v>0.7</v>
      </c>
      <c r="AE1723" s="20" t="s">
        <v>1532</v>
      </c>
      <c r="AF1723" s="20" t="s">
        <v>1326</v>
      </c>
      <c r="AG1723" s="112" t="str">
        <f>TEXT(ROUND(AG1719/(AB1723*AB1715),2),"0.00")</f>
        <v>25.65</v>
      </c>
      <c r="AH1723" s="109"/>
      <c r="AI1723" s="109"/>
      <c r="AJ1723" s="109"/>
      <c r="AK1723" s="109"/>
      <c r="AL1723" s="109"/>
      <c r="AM1723" s="109"/>
      <c r="AN1723" s="109"/>
      <c r="AO1723" s="109"/>
      <c r="AP1723" s="109"/>
      <c r="AQ1723" s="109"/>
      <c r="AR1723" s="109"/>
      <c r="AS1723" s="109"/>
    </row>
    <row r="1724" spans="1:45" ht="12.6" customHeight="1" x14ac:dyDescent="0.3">
      <c r="A1724" s="78"/>
      <c r="B1724" s="78"/>
      <c r="C1724" s="78"/>
      <c r="D1724" s="78"/>
      <c r="E1724" s="78"/>
      <c r="F1724" s="78"/>
      <c r="G1724" s="16" t="s">
        <v>1317</v>
      </c>
      <c r="Z1724" s="109"/>
      <c r="AA1724" s="109"/>
      <c r="AB1724" s="109"/>
      <c r="AC1724" s="109"/>
      <c r="AD1724" s="109"/>
      <c r="AE1724" s="109"/>
      <c r="AF1724" s="109"/>
      <c r="AG1724" s="109"/>
      <c r="AH1724" s="109"/>
      <c r="AI1724" s="109"/>
      <c r="AJ1724" s="109"/>
      <c r="AK1724" s="109"/>
      <c r="AL1724" s="109"/>
      <c r="AM1724" s="109"/>
      <c r="AN1724" s="109"/>
      <c r="AO1724" s="109"/>
      <c r="AP1724" s="109"/>
      <c r="AQ1724" s="109"/>
      <c r="AR1724" s="109"/>
      <c r="AS1724" s="109"/>
    </row>
    <row r="1725" spans="1:45" ht="12.6" customHeight="1" x14ac:dyDescent="0.3">
      <c r="A1725" s="68"/>
      <c r="B1725" s="97" t="str">
        <f>" t1 (적재시간) = "&amp;Z1725&amp;" * n / ("&amp;AD1725&amp;" * "&amp;AF1725&amp;") = "&amp;AI1725&amp;" 분 "</f>
        <v xml:space="preserve"> t1 (적재시간) = 20 * n / (60 * 0.5) = 17.10 분 </v>
      </c>
      <c r="C1725" s="78"/>
      <c r="D1725" s="78"/>
      <c r="E1725" s="78"/>
      <c r="F1725" s="78"/>
      <c r="G1725" s="16" t="s">
        <v>1922</v>
      </c>
      <c r="Z1725" s="111">
        <v>20</v>
      </c>
      <c r="AA1725" s="20" t="s">
        <v>1390</v>
      </c>
      <c r="AB1725" s="112" t="str">
        <f>AG1723</f>
        <v>25.65</v>
      </c>
      <c r="AC1725" s="20" t="s">
        <v>1531</v>
      </c>
      <c r="AD1725" s="111">
        <v>60</v>
      </c>
      <c r="AE1725" s="20" t="s">
        <v>1390</v>
      </c>
      <c r="AF1725" s="110">
        <v>0.5</v>
      </c>
      <c r="AG1725" s="20" t="s">
        <v>1532</v>
      </c>
      <c r="AH1725" s="20" t="s">
        <v>1326</v>
      </c>
      <c r="AI1725" s="112" t="str">
        <f>TEXT(ROUND(Z1725*AG1723/(AD1725*AF1725),2),"0.00")</f>
        <v>17.10</v>
      </c>
      <c r="AJ1725" s="109"/>
      <c r="AK1725" s="109"/>
      <c r="AL1725" s="109"/>
      <c r="AM1725" s="109"/>
      <c r="AN1725" s="109"/>
      <c r="AO1725" s="109"/>
      <c r="AP1725" s="109"/>
      <c r="AQ1725" s="109"/>
      <c r="AR1725" s="109"/>
      <c r="AS1725" s="109"/>
    </row>
    <row r="1726" spans="1:45" ht="12.6" customHeight="1" x14ac:dyDescent="0.3">
      <c r="A1726" s="78"/>
      <c r="B1726" s="78"/>
      <c r="C1726" s="78"/>
      <c r="D1726" s="78"/>
      <c r="E1726" s="78"/>
      <c r="F1726" s="78"/>
      <c r="G1726" s="16" t="s">
        <v>1317</v>
      </c>
      <c r="Z1726" s="109"/>
      <c r="AA1726" s="109"/>
      <c r="AB1726" s="109"/>
      <c r="AC1726" s="109"/>
      <c r="AD1726" s="109"/>
      <c r="AE1726" s="109"/>
      <c r="AF1726" s="109"/>
      <c r="AG1726" s="109"/>
      <c r="AH1726" s="109"/>
      <c r="AI1726" s="109"/>
      <c r="AJ1726" s="109"/>
      <c r="AK1726" s="109"/>
      <c r="AL1726" s="109"/>
      <c r="AM1726" s="109"/>
      <c r="AN1726" s="109"/>
      <c r="AO1726" s="109"/>
      <c r="AP1726" s="109"/>
      <c r="AQ1726" s="109"/>
      <c r="AR1726" s="109"/>
      <c r="AS1726" s="109"/>
    </row>
    <row r="1727" spans="1:45" ht="12.6" customHeight="1" x14ac:dyDescent="0.3">
      <c r="A1727" s="68"/>
      <c r="B1727" s="97" t="str">
        <f>" t2 (왕복시간) = (L/"&amp;AC1727&amp;"+L/"&amp;AG1727&amp;")* "&amp;AI1727&amp;" = "&amp;AK1727&amp;" 분 "</f>
        <v xml:space="preserve"> t2 (왕복시간) = (L/7+L/8)* 60 = 1.03 분 </v>
      </c>
      <c r="C1727" s="78"/>
      <c r="D1727" s="78"/>
      <c r="E1727" s="78"/>
      <c r="F1727" s="78"/>
      <c r="G1727" s="16" t="s">
        <v>1923</v>
      </c>
      <c r="Z1727" s="20" t="s">
        <v>1526</v>
      </c>
      <c r="AA1727" s="112">
        <f>AB1691</f>
        <v>6.4000000000000001E-2</v>
      </c>
      <c r="AB1727" s="20" t="s">
        <v>1387</v>
      </c>
      <c r="AC1727" s="111">
        <v>7</v>
      </c>
      <c r="AD1727" s="20" t="s">
        <v>1535</v>
      </c>
      <c r="AE1727" s="112">
        <f>AB1691</f>
        <v>6.4000000000000001E-2</v>
      </c>
      <c r="AF1727" s="20" t="s">
        <v>1387</v>
      </c>
      <c r="AG1727" s="111">
        <v>8</v>
      </c>
      <c r="AH1727" s="20" t="s">
        <v>1527</v>
      </c>
      <c r="AI1727" s="111">
        <v>60</v>
      </c>
      <c r="AJ1727" s="20" t="s">
        <v>1326</v>
      </c>
      <c r="AK1727" s="112" t="str">
        <f>TEXT(ROUND((AB1691/AC1727+AB1691/AG1727)*AI1727,2),"0.00")</f>
        <v>1.03</v>
      </c>
      <c r="AL1727" s="109"/>
      <c r="AM1727" s="109"/>
      <c r="AN1727" s="109"/>
      <c r="AO1727" s="109"/>
      <c r="AP1727" s="109"/>
      <c r="AQ1727" s="109"/>
      <c r="AR1727" s="109"/>
      <c r="AS1727" s="109"/>
    </row>
    <row r="1728" spans="1:45" ht="12.6" customHeight="1" x14ac:dyDescent="0.3">
      <c r="A1728" s="78"/>
      <c r="B1728" s="78"/>
      <c r="C1728" s="78"/>
      <c r="D1728" s="78"/>
      <c r="E1728" s="78"/>
      <c r="F1728" s="78"/>
      <c r="G1728" s="16" t="s">
        <v>1317</v>
      </c>
      <c r="Z1728" s="109"/>
      <c r="AA1728" s="109"/>
      <c r="AB1728" s="109"/>
      <c r="AC1728" s="109"/>
      <c r="AD1728" s="109"/>
      <c r="AE1728" s="109"/>
      <c r="AF1728" s="109"/>
      <c r="AG1728" s="109"/>
      <c r="AH1728" s="109"/>
      <c r="AI1728" s="109"/>
      <c r="AJ1728" s="109"/>
      <c r="AK1728" s="109"/>
      <c r="AL1728" s="109"/>
      <c r="AM1728" s="109"/>
      <c r="AN1728" s="109"/>
      <c r="AO1728" s="109"/>
      <c r="AP1728" s="109"/>
      <c r="AQ1728" s="109"/>
      <c r="AR1728" s="109"/>
      <c r="AS1728" s="109"/>
    </row>
    <row r="1729" spans="1:45" ht="12.6" customHeight="1" x14ac:dyDescent="0.3">
      <c r="A1729" s="68"/>
      <c r="B1729" s="97" t="str">
        <f>" t3 (적하시간) = "&amp;Z1729&amp;""</f>
        <v xml:space="preserve"> t3 (적하시간) = 1.1</v>
      </c>
      <c r="C1729" s="78"/>
      <c r="D1729" s="78"/>
      <c r="E1729" s="78"/>
      <c r="F1729" s="78"/>
      <c r="G1729" s="16" t="s">
        <v>1924</v>
      </c>
      <c r="Z1729" s="110">
        <v>1.1000000000000001</v>
      </c>
      <c r="AA1729" s="20" t="s">
        <v>1326</v>
      </c>
      <c r="AB1729" s="112">
        <f>Z1729</f>
        <v>1.1000000000000001</v>
      </c>
      <c r="AC1729" s="109"/>
      <c r="AD1729" s="109"/>
      <c r="AE1729" s="109"/>
      <c r="AF1729" s="109"/>
      <c r="AG1729" s="109"/>
      <c r="AH1729" s="109"/>
      <c r="AI1729" s="109"/>
      <c r="AJ1729" s="109"/>
      <c r="AK1729" s="109"/>
      <c r="AL1729" s="109"/>
      <c r="AM1729" s="109"/>
      <c r="AN1729" s="109"/>
      <c r="AO1729" s="109"/>
      <c r="AP1729" s="109"/>
      <c r="AQ1729" s="109"/>
      <c r="AR1729" s="109"/>
      <c r="AS1729" s="109"/>
    </row>
    <row r="1730" spans="1:45" ht="12.6" customHeight="1" x14ac:dyDescent="0.3">
      <c r="A1730" s="78"/>
      <c r="B1730" s="78"/>
      <c r="C1730" s="78"/>
      <c r="D1730" s="78"/>
      <c r="E1730" s="78"/>
      <c r="F1730" s="78"/>
      <c r="G1730" s="16" t="s">
        <v>1317</v>
      </c>
      <c r="Z1730" s="109"/>
      <c r="AA1730" s="109"/>
      <c r="AB1730" s="109"/>
      <c r="AC1730" s="109"/>
      <c r="AD1730" s="109"/>
      <c r="AE1730" s="109"/>
      <c r="AF1730" s="109"/>
      <c r="AG1730" s="109"/>
      <c r="AH1730" s="109"/>
      <c r="AI1730" s="109"/>
      <c r="AJ1730" s="109"/>
      <c r="AK1730" s="109"/>
      <c r="AL1730" s="109"/>
      <c r="AM1730" s="109"/>
      <c r="AN1730" s="109"/>
      <c r="AO1730" s="109"/>
      <c r="AP1730" s="109"/>
      <c r="AQ1730" s="109"/>
      <c r="AR1730" s="109"/>
      <c r="AS1730" s="109"/>
    </row>
    <row r="1731" spans="1:45" ht="12.6" customHeight="1" x14ac:dyDescent="0.3">
      <c r="A1731" s="68"/>
      <c r="B1731" s="97" t="str">
        <f>" t4 (적재작업이 시작될 때까지의 시간) = "&amp;Z1731&amp;""</f>
        <v xml:space="preserve"> t4 (적재작업이 시작될 때까지의 시간) = 0.7</v>
      </c>
      <c r="C1731" s="78"/>
      <c r="D1731" s="78"/>
      <c r="E1731" s="78"/>
      <c r="F1731" s="78"/>
      <c r="G1731" s="16" t="s">
        <v>1925</v>
      </c>
      <c r="Z1731" s="110">
        <v>0.7</v>
      </c>
      <c r="AA1731" s="20" t="s">
        <v>1326</v>
      </c>
      <c r="AB1731" s="112">
        <f>Z1731</f>
        <v>0.7</v>
      </c>
      <c r="AC1731" s="109"/>
      <c r="AD1731" s="109"/>
      <c r="AE1731" s="109"/>
      <c r="AF1731" s="109"/>
      <c r="AG1731" s="109"/>
      <c r="AH1731" s="109"/>
      <c r="AI1731" s="109"/>
      <c r="AJ1731" s="109"/>
      <c r="AK1731" s="109"/>
      <c r="AL1731" s="109"/>
      <c r="AM1731" s="109"/>
      <c r="AN1731" s="109"/>
      <c r="AO1731" s="109"/>
      <c r="AP1731" s="109"/>
      <c r="AQ1731" s="109"/>
      <c r="AR1731" s="109"/>
      <c r="AS1731" s="109"/>
    </row>
    <row r="1732" spans="1:45" ht="12.6" customHeight="1" x14ac:dyDescent="0.3">
      <c r="A1732" s="78"/>
      <c r="B1732" s="78"/>
      <c r="C1732" s="78"/>
      <c r="D1732" s="78"/>
      <c r="E1732" s="78"/>
      <c r="F1732" s="78"/>
      <c r="G1732" s="16" t="s">
        <v>1317</v>
      </c>
      <c r="Z1732" s="109"/>
      <c r="AA1732" s="109"/>
      <c r="AB1732" s="109"/>
      <c r="AC1732" s="109"/>
      <c r="AD1732" s="109"/>
      <c r="AE1732" s="109"/>
      <c r="AF1732" s="109"/>
      <c r="AG1732" s="109"/>
      <c r="AH1732" s="109"/>
      <c r="AI1732" s="109"/>
      <c r="AJ1732" s="109"/>
      <c r="AK1732" s="109"/>
      <c r="AL1732" s="109"/>
      <c r="AM1732" s="109"/>
      <c r="AN1732" s="109"/>
      <c r="AO1732" s="109"/>
      <c r="AP1732" s="109"/>
      <c r="AQ1732" s="109"/>
      <c r="AR1732" s="109"/>
      <c r="AS1732" s="109"/>
    </row>
    <row r="1733" spans="1:45" ht="12.6" customHeight="1" x14ac:dyDescent="0.3">
      <c r="A1733" s="68"/>
      <c r="B1733" s="97" t="str">
        <f>" Cm (1회 사이클 시간(분)) = t1 + t2 + t3 + t4  = "&amp;AH1733&amp;""</f>
        <v xml:space="preserve"> Cm (1회 사이클 시간(분)) = t1 + t2 + t3 + t4  = 19.93</v>
      </c>
      <c r="C1733" s="78"/>
      <c r="D1733" s="78"/>
      <c r="E1733" s="78"/>
      <c r="F1733" s="78"/>
      <c r="G1733" s="16" t="s">
        <v>1926</v>
      </c>
      <c r="Z1733" s="112" t="str">
        <f>AI1725</f>
        <v>17.10</v>
      </c>
      <c r="AA1733" s="20" t="s">
        <v>1535</v>
      </c>
      <c r="AB1733" s="112" t="str">
        <f>AK1727</f>
        <v>1.03</v>
      </c>
      <c r="AC1733" s="20" t="s">
        <v>1535</v>
      </c>
      <c r="AD1733" s="112">
        <f>AB1729</f>
        <v>1.1000000000000001</v>
      </c>
      <c r="AE1733" s="20" t="s">
        <v>1535</v>
      </c>
      <c r="AF1733" s="112">
        <f>AB1731</f>
        <v>0.7</v>
      </c>
      <c r="AG1733" s="20" t="s">
        <v>1326</v>
      </c>
      <c r="AH1733" s="112" t="str">
        <f>TEXT(ROUND(AI1725+AK1727+AB1729+AB1731,2),"0.00")</f>
        <v>19.93</v>
      </c>
      <c r="AI1733" s="109"/>
      <c r="AJ1733" s="109"/>
      <c r="AK1733" s="109"/>
      <c r="AL1733" s="109"/>
      <c r="AM1733" s="109"/>
      <c r="AN1733" s="109"/>
      <c r="AO1733" s="109"/>
      <c r="AP1733" s="109"/>
      <c r="AQ1733" s="109"/>
      <c r="AR1733" s="109"/>
      <c r="AS1733" s="109"/>
    </row>
    <row r="1734" spans="1:45" ht="12.6" customHeight="1" x14ac:dyDescent="0.3">
      <c r="A1734" s="78"/>
      <c r="B1734" s="78"/>
      <c r="C1734" s="78"/>
      <c r="D1734" s="78"/>
      <c r="E1734" s="78"/>
      <c r="F1734" s="78"/>
      <c r="G1734" s="16" t="s">
        <v>1317</v>
      </c>
      <c r="Z1734" s="109"/>
      <c r="AA1734" s="109"/>
      <c r="AB1734" s="109"/>
      <c r="AC1734" s="109"/>
      <c r="AD1734" s="109"/>
      <c r="AE1734" s="109"/>
      <c r="AF1734" s="109"/>
      <c r="AG1734" s="109"/>
      <c r="AH1734" s="109"/>
      <c r="AI1734" s="109"/>
      <c r="AJ1734" s="109"/>
      <c r="AK1734" s="109"/>
      <c r="AL1734" s="109"/>
      <c r="AM1734" s="109"/>
      <c r="AN1734" s="109"/>
      <c r="AO1734" s="109"/>
      <c r="AP1734" s="109"/>
      <c r="AQ1734" s="109"/>
      <c r="AR1734" s="109"/>
      <c r="AS1734" s="109"/>
    </row>
    <row r="1735" spans="1:45" ht="12.6" customHeight="1" x14ac:dyDescent="0.3">
      <c r="A1735" s="68"/>
      <c r="B1735" s="97" t="str">
        <f>" OH (상차 10분 초과 시 운반기계의 유류보정) = (cm-t1)/Cm = "&amp;AG1735&amp;""</f>
        <v xml:space="preserve"> OH (상차 10분 초과 시 운반기계의 유류보정) = (cm-t1)/Cm = 0.14</v>
      </c>
      <c r="C1735" s="78"/>
      <c r="D1735" s="78"/>
      <c r="E1735" s="78"/>
      <c r="F1735" s="78"/>
      <c r="G1735" s="16" t="s">
        <v>1927</v>
      </c>
      <c r="Z1735" s="20" t="s">
        <v>1526</v>
      </c>
      <c r="AA1735" s="112" t="str">
        <f>AH1733</f>
        <v>19.93</v>
      </c>
      <c r="AB1735" s="20" t="s">
        <v>1407</v>
      </c>
      <c r="AC1735" s="112" t="str">
        <f>AI1725</f>
        <v>17.10</v>
      </c>
      <c r="AD1735" s="20" t="s">
        <v>1727</v>
      </c>
      <c r="AE1735" s="112" t="str">
        <f>AH1733</f>
        <v>19.93</v>
      </c>
      <c r="AF1735" s="20" t="s">
        <v>1326</v>
      </c>
      <c r="AG1735" s="112" t="str">
        <f>TEXT(ROUND((AH1733-AI1725)/AH1733,2),"0.00")</f>
        <v>0.14</v>
      </c>
      <c r="AH1735" s="109"/>
      <c r="AI1735" s="109"/>
      <c r="AJ1735" s="109"/>
      <c r="AK1735" s="109"/>
      <c r="AL1735" s="109"/>
      <c r="AM1735" s="109"/>
      <c r="AN1735" s="109"/>
      <c r="AO1735" s="109"/>
      <c r="AP1735" s="109"/>
      <c r="AQ1735" s="109"/>
      <c r="AR1735" s="109"/>
      <c r="AS1735" s="109"/>
    </row>
    <row r="1736" spans="1:45" ht="12.6" customHeight="1" x14ac:dyDescent="0.3">
      <c r="A1736" s="78"/>
      <c r="B1736" s="78"/>
      <c r="C1736" s="78"/>
      <c r="D1736" s="78"/>
      <c r="E1736" s="78"/>
      <c r="F1736" s="78"/>
      <c r="G1736" s="16" t="s">
        <v>1317</v>
      </c>
      <c r="Z1736" s="109"/>
      <c r="AA1736" s="109"/>
      <c r="AB1736" s="109"/>
      <c r="AC1736" s="109"/>
      <c r="AD1736" s="109"/>
      <c r="AE1736" s="109"/>
      <c r="AF1736" s="109"/>
      <c r="AG1736" s="109"/>
      <c r="AH1736" s="109"/>
      <c r="AI1736" s="109"/>
      <c r="AJ1736" s="109"/>
      <c r="AK1736" s="109"/>
      <c r="AL1736" s="109"/>
      <c r="AM1736" s="109"/>
      <c r="AN1736" s="109"/>
      <c r="AO1736" s="109"/>
      <c r="AP1736" s="109"/>
      <c r="AQ1736" s="109"/>
      <c r="AR1736" s="109"/>
      <c r="AS1736" s="109"/>
    </row>
    <row r="1737" spans="1:45" ht="12.6" customHeight="1" x14ac:dyDescent="0.3">
      <c r="A1737" s="68"/>
      <c r="B1737" s="97" t="str">
        <f>" Q1 (시간당 작업량) = "&amp;Z1737&amp;" * q1 * F * E / Cm = "&amp;AJ1737&amp;" m3/hr "</f>
        <v xml:space="preserve"> Q1 (시간당 작업량) = 60 * q1 * F * E / Cm = 23.50 m3/hr </v>
      </c>
      <c r="C1737" s="78"/>
      <c r="D1737" s="78"/>
      <c r="E1737" s="78"/>
      <c r="F1737" s="78"/>
      <c r="G1737" s="16" t="s">
        <v>1928</v>
      </c>
      <c r="Z1737" s="111">
        <v>60</v>
      </c>
      <c r="AA1737" s="20" t="s">
        <v>1390</v>
      </c>
      <c r="AB1737" s="112" t="str">
        <f>AG1719</f>
        <v>12.57</v>
      </c>
      <c r="AC1737" s="20" t="s">
        <v>1390</v>
      </c>
      <c r="AD1737" s="112" t="str">
        <f>AD1717</f>
        <v>0.69</v>
      </c>
      <c r="AE1737" s="20" t="s">
        <v>1390</v>
      </c>
      <c r="AF1737" s="112">
        <f>AF1715</f>
        <v>0.9</v>
      </c>
      <c r="AG1737" s="20" t="s">
        <v>1387</v>
      </c>
      <c r="AH1737" s="112" t="str">
        <f>AH1733</f>
        <v>19.93</v>
      </c>
      <c r="AI1737" s="20" t="s">
        <v>1326</v>
      </c>
      <c r="AJ1737" s="112" t="str">
        <f>TEXT(ROUND(Z1737*AG1719*AD1717*AF1715/AH1733,2),"0.00")</f>
        <v>23.50</v>
      </c>
      <c r="AK1737" s="109"/>
      <c r="AL1737" s="109"/>
      <c r="AM1737" s="109"/>
      <c r="AN1737" s="109"/>
      <c r="AO1737" s="109"/>
      <c r="AP1737" s="109"/>
      <c r="AQ1737" s="109"/>
      <c r="AR1737" s="109"/>
      <c r="AS1737" s="109"/>
    </row>
    <row r="1738" spans="1:45" ht="12.6" customHeight="1" x14ac:dyDescent="0.3">
      <c r="A1738" s="78"/>
      <c r="B1738" s="78"/>
      <c r="C1738" s="78"/>
      <c r="D1738" s="78"/>
      <c r="E1738" s="78"/>
      <c r="F1738" s="78"/>
      <c r="G1738" s="16" t="s">
        <v>1317</v>
      </c>
      <c r="Z1738" s="109"/>
      <c r="AA1738" s="109"/>
      <c r="AB1738" s="109"/>
      <c r="AC1738" s="109"/>
      <c r="AD1738" s="109"/>
      <c r="AE1738" s="109"/>
      <c r="AF1738" s="109"/>
      <c r="AG1738" s="109"/>
      <c r="AH1738" s="109"/>
      <c r="AI1738" s="109"/>
      <c r="AJ1738" s="109"/>
      <c r="AK1738" s="109"/>
      <c r="AL1738" s="109"/>
      <c r="AM1738" s="109"/>
      <c r="AN1738" s="109"/>
      <c r="AO1738" s="109"/>
      <c r="AP1738" s="109"/>
      <c r="AQ1738" s="109"/>
      <c r="AR1738" s="109"/>
      <c r="AS1738" s="109"/>
    </row>
    <row r="1739" spans="1:45" ht="12.6" customHeight="1" x14ac:dyDescent="0.3">
      <c r="A1739" s="68" t="s">
        <v>1812</v>
      </c>
      <c r="B1739" s="97" t="str">
        <f>" 노 무 비  :   "&amp;TEXT(I1739,"#,##0"&amp;IF(I1739&lt;&gt;INT(I1739),".###",""))&amp;" / Q1  = "&amp;TEXT(C1739,"#,##0.0")&amp;""</f>
        <v xml:space="preserve"> 노 무 비  :   55,700 / Q1  = 2,370.2</v>
      </c>
      <c r="C1739" s="99">
        <f>E1739+D1739+F1739</f>
        <v>2370.1999999999998</v>
      </c>
      <c r="D1739" s="99">
        <f>IF(H1739=0,0,ROUNDDOWN(J1739*H1739,1))</f>
        <v>2370.1999999999998</v>
      </c>
      <c r="E1739" s="99">
        <f>IF(H1739=0,0,ROUNDDOWN(K1739*H1739,1))</f>
        <v>0</v>
      </c>
      <c r="F1739" s="99">
        <f>IF(H1739=0,0,ROUNDDOWN(L1739*H1739,1))</f>
        <v>0</v>
      </c>
      <c r="G1739" s="16" t="s">
        <v>1929</v>
      </c>
      <c r="H1739" s="105">
        <f>AC1739</f>
        <v>4.2553191489361701E-2</v>
      </c>
      <c r="I1739" s="106">
        <f>K1739+J1739+L1739</f>
        <v>55700</v>
      </c>
      <c r="J1739" s="39">
        <f>중기목록표!F11</f>
        <v>55700</v>
      </c>
      <c r="M1739" s="20" t="s">
        <v>1813</v>
      </c>
      <c r="N1739" s="20" t="s">
        <v>1332</v>
      </c>
      <c r="X1739" s="108" t="str">
        <f>중기목록표!B11&amp;" / "&amp;중기목록표!C11</f>
        <v xml:space="preserve">덤프트럭15ton(토사) / </v>
      </c>
      <c r="Y1739" s="19" t="str">
        <f ca="1">HYPERLINK("#"&amp;중기목록표!J2&amp;"!A"&amp;ROW(중기목록표!A11),"중기    8 →")</f>
        <v>중기    8 →</v>
      </c>
      <c r="Z1739" s="20" t="s">
        <v>1393</v>
      </c>
      <c r="AA1739" s="112" t="str">
        <f>AJ1737</f>
        <v>23.50</v>
      </c>
      <c r="AB1739" s="20" t="s">
        <v>1326</v>
      </c>
      <c r="AC1739" s="113">
        <f>1/AJ1737</f>
        <v>4.2553191489361701E-2</v>
      </c>
      <c r="AD1739" s="109"/>
      <c r="AE1739" s="109"/>
      <c r="AF1739" s="109"/>
      <c r="AG1739" s="109"/>
      <c r="AH1739" s="109"/>
      <c r="AI1739" s="109"/>
      <c r="AJ1739" s="109"/>
      <c r="AK1739" s="109"/>
      <c r="AL1739" s="109"/>
      <c r="AM1739" s="109"/>
      <c r="AN1739" s="109"/>
      <c r="AO1739" s="109"/>
      <c r="AP1739" s="109"/>
      <c r="AQ1739" s="109"/>
      <c r="AR1739" s="109"/>
      <c r="AS1739" s="109"/>
    </row>
    <row r="1740" spans="1:45" ht="12.6" customHeight="1" x14ac:dyDescent="0.3">
      <c r="A1740" s="78"/>
      <c r="B1740" s="78"/>
      <c r="C1740" s="78"/>
      <c r="D1740" s="78"/>
      <c r="E1740" s="78"/>
      <c r="F1740" s="78"/>
      <c r="G1740" s="16" t="s">
        <v>1317</v>
      </c>
      <c r="Z1740" s="109"/>
      <c r="AA1740" s="109"/>
      <c r="AB1740" s="109"/>
      <c r="AC1740" s="109"/>
      <c r="AD1740" s="109"/>
      <c r="AE1740" s="109"/>
      <c r="AF1740" s="109"/>
      <c r="AG1740" s="109"/>
      <c r="AH1740" s="109"/>
      <c r="AI1740" s="109"/>
      <c r="AJ1740" s="109"/>
      <c r="AK1740" s="109"/>
      <c r="AL1740" s="109"/>
      <c r="AM1740" s="109"/>
      <c r="AN1740" s="109"/>
      <c r="AO1740" s="109"/>
      <c r="AP1740" s="109"/>
      <c r="AQ1740" s="109"/>
      <c r="AR1740" s="109"/>
      <c r="AS1740" s="109"/>
    </row>
    <row r="1741" spans="1:45" ht="12.6" customHeight="1" x14ac:dyDescent="0.3">
      <c r="A1741" s="68" t="s">
        <v>1815</v>
      </c>
      <c r="B1741" s="97" t="str">
        <f>" 재 료 비  :   "&amp;TEXT(I1741,"#,##0"&amp;IF(I1741&lt;&gt;INT(I1741),".###",""))&amp;" / Q1 * OH = "&amp;TEXT(C1741,"#,##0.0")&amp;""</f>
        <v xml:space="preserve"> 재 료 비  :   27,910 / Q1 * OH = 166.2</v>
      </c>
      <c r="C1741" s="99">
        <f>E1741+D1741+F1741</f>
        <v>166.2</v>
      </c>
      <c r="D1741" s="99">
        <f>IF(H1741=0,0,ROUNDDOWN(J1741*H1741,1))</f>
        <v>0</v>
      </c>
      <c r="E1741" s="99">
        <f>IF(H1741=0,0,ROUNDDOWN(K1741*H1741,1))</f>
        <v>166.2</v>
      </c>
      <c r="F1741" s="99">
        <f>IF(H1741=0,0,ROUNDDOWN(L1741*H1741,1))</f>
        <v>0</v>
      </c>
      <c r="G1741" s="16" t="s">
        <v>1930</v>
      </c>
      <c r="H1741" s="105">
        <f>AE1741</f>
        <v>5.9574468085106386E-3</v>
      </c>
      <c r="I1741" s="106">
        <f>K1741+J1741+L1741</f>
        <v>27910</v>
      </c>
      <c r="K1741" s="39">
        <f>중기목록표!G11</f>
        <v>27910</v>
      </c>
      <c r="M1741" s="20" t="s">
        <v>1813</v>
      </c>
      <c r="N1741" s="20" t="s">
        <v>1332</v>
      </c>
      <c r="X1741" s="108" t="str">
        <f>중기목록표!B11&amp;" / "&amp;중기목록표!C11</f>
        <v xml:space="preserve">덤프트럭15ton(토사) / </v>
      </c>
      <c r="Y1741" s="19" t="str">
        <f ca="1">HYPERLINK("#"&amp;중기목록표!J2&amp;"!A"&amp;ROW(중기목록표!A11),"중기    8 →")</f>
        <v>중기    8 →</v>
      </c>
      <c r="Z1741" s="20" t="s">
        <v>1393</v>
      </c>
      <c r="AA1741" s="112" t="str">
        <f>AJ1737</f>
        <v>23.50</v>
      </c>
      <c r="AB1741" s="20" t="s">
        <v>1390</v>
      </c>
      <c r="AC1741" s="112" t="str">
        <f>AG1735</f>
        <v>0.14</v>
      </c>
      <c r="AD1741" s="20" t="s">
        <v>1326</v>
      </c>
      <c r="AE1741" s="113">
        <f>1/AJ1737*AG1735</f>
        <v>5.9574468085106386E-3</v>
      </c>
      <c r="AF1741" s="109"/>
      <c r="AG1741" s="109"/>
      <c r="AH1741" s="109"/>
      <c r="AI1741" s="109"/>
      <c r="AJ1741" s="109"/>
      <c r="AK1741" s="109"/>
      <c r="AL1741" s="109"/>
      <c r="AM1741" s="109"/>
      <c r="AN1741" s="109"/>
      <c r="AO1741" s="109"/>
      <c r="AP1741" s="109"/>
      <c r="AQ1741" s="109"/>
      <c r="AR1741" s="109"/>
      <c r="AS1741" s="109"/>
    </row>
    <row r="1742" spans="1:45" ht="12.6" customHeight="1" x14ac:dyDescent="0.3">
      <c r="A1742" s="78"/>
      <c r="B1742" s="78"/>
      <c r="C1742" s="78"/>
      <c r="D1742" s="78"/>
      <c r="E1742" s="78"/>
      <c r="F1742" s="78"/>
      <c r="G1742" s="16" t="s">
        <v>1317</v>
      </c>
      <c r="Z1742" s="109"/>
      <c r="AA1742" s="109"/>
      <c r="AB1742" s="109"/>
      <c r="AC1742" s="109"/>
      <c r="AD1742" s="109"/>
      <c r="AE1742" s="109"/>
      <c r="AF1742" s="109"/>
      <c r="AG1742" s="109"/>
      <c r="AH1742" s="109"/>
      <c r="AI1742" s="109"/>
      <c r="AJ1742" s="109"/>
      <c r="AK1742" s="109"/>
      <c r="AL1742" s="109"/>
      <c r="AM1742" s="109"/>
      <c r="AN1742" s="109"/>
      <c r="AO1742" s="109"/>
      <c r="AP1742" s="109"/>
      <c r="AQ1742" s="109"/>
      <c r="AR1742" s="109"/>
      <c r="AS1742" s="109"/>
    </row>
    <row r="1743" spans="1:45" ht="12.6" customHeight="1" x14ac:dyDescent="0.3">
      <c r="A1743" s="68" t="s">
        <v>1817</v>
      </c>
      <c r="B1743" s="97" t="str">
        <f>" 경    비  :   "&amp;TEXT(I1743,"#,##0"&amp;IF(I1743&lt;&gt;INT(I1743),".###",""))&amp;" / Q1  = "&amp;TEXT(C1743,"#,##0.0")&amp;""</f>
        <v xml:space="preserve"> 경    비  :   19,631 / Q1  = 835.3</v>
      </c>
      <c r="C1743" s="99">
        <f>E1743+D1743+F1743</f>
        <v>835.3</v>
      </c>
      <c r="D1743" s="99">
        <f>IF(H1743=0,0,ROUNDDOWN(J1743*H1743,1))</f>
        <v>0</v>
      </c>
      <c r="E1743" s="99">
        <f>IF(H1743=0,0,ROUNDDOWN(K1743*H1743,1))</f>
        <v>0</v>
      </c>
      <c r="F1743" s="99">
        <f>IF(H1743=0,0,ROUNDDOWN(L1743*H1743,1))</f>
        <v>835.3</v>
      </c>
      <c r="G1743" s="16" t="s">
        <v>1931</v>
      </c>
      <c r="H1743" s="105">
        <f>AC1743</f>
        <v>4.2553191489361701E-2</v>
      </c>
      <c r="I1743" s="106">
        <f>K1743+J1743+L1743</f>
        <v>19631</v>
      </c>
      <c r="L1743" s="39">
        <f>중기목록표!H11</f>
        <v>19631</v>
      </c>
      <c r="M1743" s="20" t="s">
        <v>1813</v>
      </c>
      <c r="N1743" s="20" t="s">
        <v>1332</v>
      </c>
      <c r="X1743" s="108" t="str">
        <f>중기목록표!B11&amp;" / "&amp;중기목록표!C11</f>
        <v xml:space="preserve">덤프트럭15ton(토사) / </v>
      </c>
      <c r="Y1743" s="19" t="str">
        <f ca="1">HYPERLINK("#"&amp;중기목록표!J2&amp;"!A"&amp;ROW(중기목록표!A11),"중기    8 →")</f>
        <v>중기    8 →</v>
      </c>
      <c r="Z1743" s="20" t="s">
        <v>1393</v>
      </c>
      <c r="AA1743" s="112" t="str">
        <f>AJ1737</f>
        <v>23.50</v>
      </c>
      <c r="AB1743" s="20" t="s">
        <v>1326</v>
      </c>
      <c r="AC1743" s="113">
        <f>1/AJ1737</f>
        <v>4.2553191489361701E-2</v>
      </c>
      <c r="AD1743" s="109"/>
      <c r="AE1743" s="109"/>
      <c r="AF1743" s="109"/>
      <c r="AG1743" s="109"/>
      <c r="AH1743" s="109"/>
      <c r="AI1743" s="109"/>
      <c r="AJ1743" s="109"/>
      <c r="AK1743" s="109"/>
      <c r="AL1743" s="109"/>
      <c r="AM1743" s="109"/>
      <c r="AN1743" s="109"/>
      <c r="AO1743" s="109"/>
      <c r="AP1743" s="109"/>
      <c r="AQ1743" s="109"/>
      <c r="AR1743" s="109"/>
      <c r="AS1743" s="109"/>
    </row>
    <row r="1744" spans="1:45" ht="12.6" customHeight="1" x14ac:dyDescent="0.3">
      <c r="A1744" s="78"/>
      <c r="B1744" s="78"/>
      <c r="C1744" s="78"/>
      <c r="D1744" s="78"/>
      <c r="E1744" s="78"/>
      <c r="F1744" s="78"/>
      <c r="G1744" s="16" t="s">
        <v>1317</v>
      </c>
      <c r="Z1744" s="109"/>
      <c r="AA1744" s="109"/>
      <c r="AB1744" s="109"/>
      <c r="AC1744" s="109"/>
      <c r="AD1744" s="109"/>
      <c r="AE1744" s="109"/>
      <c r="AF1744" s="109"/>
      <c r="AG1744" s="109"/>
      <c r="AH1744" s="109"/>
      <c r="AI1744" s="109"/>
      <c r="AJ1744" s="109"/>
      <c r="AK1744" s="109"/>
      <c r="AL1744" s="109"/>
      <c r="AM1744" s="109"/>
      <c r="AN1744" s="109"/>
      <c r="AO1744" s="109"/>
      <c r="AP1744" s="109"/>
      <c r="AQ1744" s="109"/>
      <c r="AR1744" s="109"/>
      <c r="AS1744" s="109"/>
    </row>
    <row r="1745" spans="1:45" ht="12.6" customHeight="1" x14ac:dyDescent="0.3">
      <c r="A1745" s="68"/>
      <c r="B1745" s="77" t="s">
        <v>1331</v>
      </c>
      <c r="C1745" s="100">
        <f>E1745+D1745+F1745</f>
        <v>3371.7</v>
      </c>
      <c r="D1745" s="100">
        <f>SUMIF(N1710:N1744,M1745,D1710:D1744)</f>
        <v>2370.1999999999998</v>
      </c>
      <c r="E1745" s="100">
        <f>SUMIF(N1710:N1744,M1745,E1710:E1744)</f>
        <v>166.2</v>
      </c>
      <c r="F1745" s="100">
        <f>SUMIF(N1710:N1744,M1745,F1710:F1744)</f>
        <v>835.3</v>
      </c>
      <c r="G1745" s="16" t="s">
        <v>1363</v>
      </c>
      <c r="M1745" s="20" t="s">
        <v>1332</v>
      </c>
      <c r="N1745" s="20" t="s">
        <v>1341</v>
      </c>
      <c r="Z1745" s="109"/>
      <c r="AA1745" s="109"/>
      <c r="AB1745" s="109"/>
      <c r="AC1745" s="109"/>
      <c r="AD1745" s="109"/>
      <c r="AE1745" s="109"/>
      <c r="AF1745" s="109"/>
      <c r="AG1745" s="109"/>
      <c r="AH1745" s="109"/>
      <c r="AI1745" s="109"/>
      <c r="AJ1745" s="109"/>
      <c r="AK1745" s="109"/>
      <c r="AL1745" s="109"/>
      <c r="AM1745" s="109"/>
      <c r="AN1745" s="109"/>
      <c r="AO1745" s="109"/>
      <c r="AP1745" s="109"/>
      <c r="AQ1745" s="109"/>
      <c r="AR1745" s="109"/>
      <c r="AS1745" s="109"/>
    </row>
    <row r="1746" spans="1:45" ht="12.6" customHeight="1" x14ac:dyDescent="0.3">
      <c r="A1746" s="78"/>
      <c r="B1746" s="78"/>
      <c r="C1746" s="98"/>
      <c r="D1746" s="98"/>
      <c r="E1746" s="98"/>
      <c r="F1746" s="98"/>
      <c r="G1746" s="16" t="s">
        <v>1317</v>
      </c>
      <c r="Z1746" s="109"/>
      <c r="AA1746" s="109"/>
      <c r="AB1746" s="109"/>
      <c r="AC1746" s="109"/>
      <c r="AD1746" s="109"/>
      <c r="AE1746" s="109"/>
      <c r="AF1746" s="109"/>
      <c r="AG1746" s="109"/>
      <c r="AH1746" s="109"/>
      <c r="AI1746" s="109"/>
      <c r="AJ1746" s="109"/>
      <c r="AK1746" s="109"/>
      <c r="AL1746" s="109"/>
      <c r="AM1746" s="109"/>
      <c r="AN1746" s="109"/>
      <c r="AO1746" s="109"/>
      <c r="AP1746" s="109"/>
      <c r="AQ1746" s="109"/>
      <c r="AR1746" s="109"/>
      <c r="AS1746" s="109"/>
    </row>
    <row r="1747" spans="1:45" ht="12.6" customHeight="1" x14ac:dyDescent="0.3">
      <c r="A1747" s="78"/>
      <c r="B1747" s="78"/>
      <c r="C1747" s="78"/>
      <c r="D1747" s="78"/>
      <c r="E1747" s="78"/>
      <c r="F1747" s="78"/>
      <c r="G1747" s="16" t="s">
        <v>1317</v>
      </c>
      <c r="Z1747" s="109"/>
      <c r="AA1747" s="109"/>
      <c r="AB1747" s="109"/>
      <c r="AC1747" s="109"/>
      <c r="AD1747" s="109"/>
      <c r="AE1747" s="109"/>
      <c r="AF1747" s="109"/>
      <c r="AG1747" s="109"/>
      <c r="AH1747" s="109"/>
      <c r="AI1747" s="109"/>
      <c r="AJ1747" s="109"/>
      <c r="AK1747" s="109"/>
      <c r="AL1747" s="109"/>
      <c r="AM1747" s="109"/>
      <c r="AN1747" s="109"/>
      <c r="AO1747" s="109"/>
      <c r="AP1747" s="109"/>
      <c r="AQ1747" s="109"/>
      <c r="AR1747" s="109"/>
      <c r="AS1747" s="109"/>
    </row>
    <row r="1748" spans="1:45" ht="12.6" customHeight="1" x14ac:dyDescent="0.3">
      <c r="A1748" s="68"/>
      <c r="B1748" s="77" t="s">
        <v>1933</v>
      </c>
      <c r="C1748" s="78"/>
      <c r="D1748" s="78"/>
      <c r="E1748" s="78"/>
      <c r="F1748" s="78"/>
      <c r="G1748" s="16" t="s">
        <v>1932</v>
      </c>
      <c r="Z1748" s="109"/>
      <c r="AA1748" s="109"/>
      <c r="AB1748" s="109"/>
      <c r="AC1748" s="109"/>
      <c r="AD1748" s="109"/>
      <c r="AE1748" s="109"/>
      <c r="AF1748" s="109"/>
      <c r="AG1748" s="109"/>
      <c r="AH1748" s="109"/>
      <c r="AI1748" s="109"/>
      <c r="AJ1748" s="109"/>
      <c r="AK1748" s="109"/>
      <c r="AL1748" s="109"/>
      <c r="AM1748" s="109"/>
      <c r="AN1748" s="109"/>
      <c r="AO1748" s="109"/>
      <c r="AP1748" s="109"/>
      <c r="AQ1748" s="109"/>
      <c r="AR1748" s="109"/>
      <c r="AS1748" s="109"/>
    </row>
    <row r="1749" spans="1:45" ht="12.6" customHeight="1" x14ac:dyDescent="0.3">
      <c r="A1749" s="78"/>
      <c r="B1749" s="78"/>
      <c r="C1749" s="78"/>
      <c r="D1749" s="78"/>
      <c r="E1749" s="78"/>
      <c r="F1749" s="78"/>
      <c r="G1749" s="16" t="s">
        <v>1317</v>
      </c>
      <c r="Z1749" s="109"/>
      <c r="AA1749" s="109"/>
      <c r="AB1749" s="109"/>
      <c r="AC1749" s="109"/>
      <c r="AD1749" s="109"/>
      <c r="AE1749" s="109"/>
      <c r="AF1749" s="109"/>
      <c r="AG1749" s="109"/>
      <c r="AH1749" s="109"/>
      <c r="AI1749" s="109"/>
      <c r="AJ1749" s="109"/>
      <c r="AK1749" s="109"/>
      <c r="AL1749" s="109"/>
      <c r="AM1749" s="109"/>
      <c r="AN1749" s="109"/>
      <c r="AO1749" s="109"/>
      <c r="AP1749" s="109"/>
      <c r="AQ1749" s="109"/>
      <c r="AR1749" s="109"/>
      <c r="AS1749" s="109"/>
    </row>
    <row r="1750" spans="1:45" ht="12.6" customHeight="1" x14ac:dyDescent="0.3">
      <c r="A1750" s="68"/>
      <c r="B1750" s="97" t="str">
        <f>"q (버킷용량) = "&amp;Z1750&amp;" , k (버킷계수) = "&amp;AD1750&amp;" , f (체적환산계수) = "&amp;AH1750&amp;""</f>
        <v>q (버킷용량) = 0.7 , k (버킷계수) = 0.7 , f (체적환산계수) = 1</v>
      </c>
      <c r="C1750" s="78"/>
      <c r="D1750" s="78"/>
      <c r="E1750" s="78"/>
      <c r="F1750" s="78"/>
      <c r="G1750" s="16" t="s">
        <v>1934</v>
      </c>
      <c r="Z1750" s="110">
        <v>0.7</v>
      </c>
      <c r="AA1750" s="20" t="s">
        <v>1326</v>
      </c>
      <c r="AB1750" s="112">
        <f>Z1750</f>
        <v>0.7</v>
      </c>
      <c r="AC1750" s="20" t="s">
        <v>1385</v>
      </c>
      <c r="AD1750" s="110">
        <v>0.7</v>
      </c>
      <c r="AE1750" s="20" t="s">
        <v>1326</v>
      </c>
      <c r="AF1750" s="112">
        <f>AD1750</f>
        <v>0.7</v>
      </c>
      <c r="AG1750" s="20" t="s">
        <v>1385</v>
      </c>
      <c r="AH1750" s="111">
        <v>1</v>
      </c>
      <c r="AI1750" s="20" t="s">
        <v>1326</v>
      </c>
      <c r="AJ1750" s="112">
        <f>AH1750</f>
        <v>1</v>
      </c>
      <c r="AK1750" s="20" t="s">
        <v>1385</v>
      </c>
      <c r="AL1750" s="109"/>
      <c r="AM1750" s="109"/>
      <c r="AN1750" s="109"/>
      <c r="AO1750" s="109"/>
      <c r="AP1750" s="109"/>
      <c r="AQ1750" s="109"/>
      <c r="AR1750" s="109"/>
      <c r="AS1750" s="109"/>
    </row>
    <row r="1751" spans="1:45" ht="12.6" customHeight="1" x14ac:dyDescent="0.3">
      <c r="A1751" s="78"/>
      <c r="B1751" s="78"/>
      <c r="C1751" s="78"/>
      <c r="D1751" s="78"/>
      <c r="E1751" s="78"/>
      <c r="F1751" s="78"/>
      <c r="G1751" s="16" t="s">
        <v>1317</v>
      </c>
      <c r="Z1751" s="109"/>
      <c r="AA1751" s="109"/>
      <c r="AB1751" s="109"/>
      <c r="AC1751" s="109"/>
      <c r="AD1751" s="109"/>
      <c r="AE1751" s="109"/>
      <c r="AF1751" s="109"/>
      <c r="AG1751" s="109"/>
      <c r="AH1751" s="109"/>
      <c r="AI1751" s="109"/>
      <c r="AJ1751" s="109"/>
      <c r="AK1751" s="109"/>
      <c r="AL1751" s="109"/>
      <c r="AM1751" s="109"/>
      <c r="AN1751" s="109"/>
      <c r="AO1751" s="109"/>
      <c r="AP1751" s="109"/>
      <c r="AQ1751" s="109"/>
      <c r="AR1751" s="109"/>
      <c r="AS1751" s="109"/>
    </row>
    <row r="1752" spans="1:45" ht="12.6" customHeight="1" x14ac:dyDescent="0.3">
      <c r="A1752" s="68"/>
      <c r="B1752" s="97" t="str">
        <f>"E (작업효율) = "&amp;Z1752&amp;" , Cm (1회사이클시간(초)) = "&amp;AD1752&amp;"  sec(90) "</f>
        <v xml:space="preserve">E (작업효율) = 0.65 , Cm (1회사이클시간(초)) = 18  sec(90) </v>
      </c>
      <c r="C1752" s="78"/>
      <c r="D1752" s="78"/>
      <c r="E1752" s="78"/>
      <c r="F1752" s="78"/>
      <c r="G1752" s="16" t="s">
        <v>1935</v>
      </c>
      <c r="Z1752" s="110">
        <v>0.65</v>
      </c>
      <c r="AA1752" s="20" t="s">
        <v>1326</v>
      </c>
      <c r="AB1752" s="112">
        <f>Z1752</f>
        <v>0.65</v>
      </c>
      <c r="AC1752" s="20" t="s">
        <v>1385</v>
      </c>
      <c r="AD1752" s="111">
        <v>18</v>
      </c>
      <c r="AE1752" s="20" t="s">
        <v>1326</v>
      </c>
      <c r="AF1752" s="112">
        <f>AD1752</f>
        <v>18</v>
      </c>
      <c r="AG1752" s="20" t="s">
        <v>1385</v>
      </c>
      <c r="AH1752" s="109"/>
      <c r="AI1752" s="109"/>
      <c r="AJ1752" s="109"/>
      <c r="AK1752" s="109"/>
      <c r="AL1752" s="109"/>
      <c r="AM1752" s="109"/>
      <c r="AN1752" s="109"/>
      <c r="AO1752" s="109"/>
      <c r="AP1752" s="109"/>
      <c r="AQ1752" s="109"/>
      <c r="AR1752" s="109"/>
      <c r="AS1752" s="109"/>
    </row>
    <row r="1753" spans="1:45" ht="12.6" customHeight="1" x14ac:dyDescent="0.3">
      <c r="A1753" s="78"/>
      <c r="B1753" s="78"/>
      <c r="C1753" s="78"/>
      <c r="D1753" s="78"/>
      <c r="E1753" s="78"/>
      <c r="F1753" s="78"/>
      <c r="G1753" s="16" t="s">
        <v>1317</v>
      </c>
      <c r="Z1753" s="109"/>
      <c r="AA1753" s="109"/>
      <c r="AB1753" s="109"/>
      <c r="AC1753" s="109"/>
      <c r="AD1753" s="109"/>
      <c r="AE1753" s="109"/>
      <c r="AF1753" s="109"/>
      <c r="AG1753" s="109"/>
      <c r="AH1753" s="109"/>
      <c r="AI1753" s="109"/>
      <c r="AJ1753" s="109"/>
      <c r="AK1753" s="109"/>
      <c r="AL1753" s="109"/>
      <c r="AM1753" s="109"/>
      <c r="AN1753" s="109"/>
      <c r="AO1753" s="109"/>
      <c r="AP1753" s="109"/>
      <c r="AQ1753" s="109"/>
      <c r="AR1753" s="109"/>
      <c r="AS1753" s="109"/>
    </row>
    <row r="1754" spans="1:45" ht="12.6" customHeight="1" x14ac:dyDescent="0.3">
      <c r="A1754" s="68"/>
      <c r="B1754" s="97" t="str">
        <f>"Q (시간당 작업량) = "&amp;Z1754&amp;"*q*k*E*f/Cm = "&amp;AL1754&amp;" m3/hr "</f>
        <v xml:space="preserve">Q (시간당 작업량) = 3600*q*k*E*f/Cm = 63.70 m3/hr </v>
      </c>
      <c r="C1754" s="78"/>
      <c r="D1754" s="78"/>
      <c r="E1754" s="78"/>
      <c r="F1754" s="78"/>
      <c r="G1754" s="16" t="s">
        <v>1936</v>
      </c>
      <c r="Z1754" s="111">
        <v>3600</v>
      </c>
      <c r="AA1754" s="20" t="s">
        <v>1390</v>
      </c>
      <c r="AB1754" s="112">
        <f>AB1750</f>
        <v>0.7</v>
      </c>
      <c r="AC1754" s="20" t="s">
        <v>1390</v>
      </c>
      <c r="AD1754" s="112">
        <f>AF1750</f>
        <v>0.7</v>
      </c>
      <c r="AE1754" s="20" t="s">
        <v>1390</v>
      </c>
      <c r="AF1754" s="112">
        <f>AB1752</f>
        <v>0.65</v>
      </c>
      <c r="AG1754" s="20" t="s">
        <v>1390</v>
      </c>
      <c r="AH1754" s="112">
        <f>AJ1750</f>
        <v>1</v>
      </c>
      <c r="AI1754" s="20" t="s">
        <v>1387</v>
      </c>
      <c r="AJ1754" s="112">
        <f>AF1752</f>
        <v>18</v>
      </c>
      <c r="AK1754" s="20" t="s">
        <v>1326</v>
      </c>
      <c r="AL1754" s="112" t="str">
        <f>TEXT(ROUND(Z1754*AB1750*AF1750*AB1752*AJ1750/AF1752,2),"0.00")</f>
        <v>63.70</v>
      </c>
      <c r="AM1754" s="109"/>
      <c r="AN1754" s="109"/>
      <c r="AO1754" s="109"/>
      <c r="AP1754" s="109"/>
      <c r="AQ1754" s="109"/>
      <c r="AR1754" s="109"/>
      <c r="AS1754" s="109"/>
    </row>
    <row r="1755" spans="1:45" ht="12.6" customHeight="1" x14ac:dyDescent="0.3">
      <c r="A1755" s="78"/>
      <c r="B1755" s="78"/>
      <c r="C1755" s="78"/>
      <c r="D1755" s="78"/>
      <c r="E1755" s="78"/>
      <c r="F1755" s="78"/>
      <c r="G1755" s="16" t="s">
        <v>1317</v>
      </c>
      <c r="Z1755" s="109"/>
      <c r="AA1755" s="109"/>
      <c r="AB1755" s="109"/>
      <c r="AC1755" s="109"/>
      <c r="AD1755" s="109"/>
      <c r="AE1755" s="109"/>
      <c r="AF1755" s="109"/>
      <c r="AG1755" s="109"/>
      <c r="AH1755" s="109"/>
      <c r="AI1755" s="109"/>
      <c r="AJ1755" s="109"/>
      <c r="AK1755" s="109"/>
      <c r="AL1755" s="109"/>
      <c r="AM1755" s="109"/>
      <c r="AN1755" s="109"/>
      <c r="AO1755" s="109"/>
      <c r="AP1755" s="109"/>
      <c r="AQ1755" s="109"/>
      <c r="AR1755" s="109"/>
      <c r="AS1755" s="109"/>
    </row>
    <row r="1756" spans="1:45" ht="12.6" customHeight="1" x14ac:dyDescent="0.3">
      <c r="A1756" s="68" t="s">
        <v>1473</v>
      </c>
      <c r="B1756" s="97" t="str">
        <f>" 노 무 비  :   "&amp;TEXT(I1756,"#,##0"&amp;IF(I1756&lt;&gt;INT(I1756),".###",""))&amp;" / Q / "&amp;AC1756&amp;" = "&amp;TEXT(C1756,"#,##0.0")&amp;""</f>
        <v xml:space="preserve"> 노 무 비  :   55,700 / Q / 3 = 291.4</v>
      </c>
      <c r="C1756" s="99">
        <f>E1756+D1756+F1756</f>
        <v>291.39999999999998</v>
      </c>
      <c r="D1756" s="99">
        <f>IF(H1756=0,0,ROUNDDOWN(J1756*H1756,1))</f>
        <v>291.39999999999998</v>
      </c>
      <c r="E1756" s="99">
        <f>IF(H1756=0,0,ROUNDDOWN(K1756*H1756,1))</f>
        <v>0</v>
      </c>
      <c r="F1756" s="99">
        <f>IF(H1756=0,0,ROUNDDOWN(L1756*H1756,1))</f>
        <v>0</v>
      </c>
      <c r="G1756" s="16" t="s">
        <v>1937</v>
      </c>
      <c r="H1756" s="105">
        <f>AE1756</f>
        <v>5.2328623757195184E-3</v>
      </c>
      <c r="I1756" s="106">
        <f>K1756+J1756+L1756</f>
        <v>55700</v>
      </c>
      <c r="J1756" s="39">
        <f>중기목록표!F7</f>
        <v>55700</v>
      </c>
      <c r="M1756" s="20" t="s">
        <v>1193</v>
      </c>
      <c r="N1756" s="20" t="s">
        <v>1332</v>
      </c>
      <c r="X1756" s="108" t="str">
        <f>중기목록표!B7&amp;" / "&amp;중기목록표!C7</f>
        <v xml:space="preserve">굴삭기(0.7m3) / </v>
      </c>
      <c r="Y1756" s="19" t="str">
        <f ca="1">HYPERLINK("#"&amp;중기목록표!J2&amp;"!A"&amp;ROW(중기목록표!A7),"중기    4 →")</f>
        <v>중기    4 →</v>
      </c>
      <c r="Z1756" s="20" t="s">
        <v>1393</v>
      </c>
      <c r="AA1756" s="112" t="str">
        <f>AL1754</f>
        <v>63.70</v>
      </c>
      <c r="AB1756" s="20" t="s">
        <v>1387</v>
      </c>
      <c r="AC1756" s="111">
        <v>3</v>
      </c>
      <c r="AD1756" s="20" t="s">
        <v>1326</v>
      </c>
      <c r="AE1756" s="113">
        <f>1/AL1754/AC1756</f>
        <v>5.2328623757195184E-3</v>
      </c>
      <c r="AF1756" s="109"/>
      <c r="AG1756" s="109"/>
      <c r="AH1756" s="109"/>
      <c r="AI1756" s="109"/>
      <c r="AJ1756" s="109"/>
      <c r="AK1756" s="109"/>
      <c r="AL1756" s="109"/>
      <c r="AM1756" s="109"/>
      <c r="AN1756" s="109"/>
      <c r="AO1756" s="109"/>
      <c r="AP1756" s="109"/>
      <c r="AQ1756" s="109"/>
      <c r="AR1756" s="109"/>
      <c r="AS1756" s="109"/>
    </row>
    <row r="1757" spans="1:45" ht="12.6" customHeight="1" x14ac:dyDescent="0.3">
      <c r="A1757" s="78"/>
      <c r="B1757" s="78"/>
      <c r="C1757" s="78"/>
      <c r="D1757" s="78"/>
      <c r="E1757" s="78"/>
      <c r="F1757" s="78"/>
      <c r="G1757" s="16" t="s">
        <v>1317</v>
      </c>
      <c r="Z1757" s="109"/>
      <c r="AA1757" s="109"/>
      <c r="AB1757" s="109"/>
      <c r="AC1757" s="109"/>
      <c r="AD1757" s="109"/>
      <c r="AE1757" s="109"/>
      <c r="AF1757" s="109"/>
      <c r="AG1757" s="109"/>
      <c r="AH1757" s="109"/>
      <c r="AI1757" s="109"/>
      <c r="AJ1757" s="109"/>
      <c r="AK1757" s="109"/>
      <c r="AL1757" s="109"/>
      <c r="AM1757" s="109"/>
      <c r="AN1757" s="109"/>
      <c r="AO1757" s="109"/>
      <c r="AP1757" s="109"/>
      <c r="AQ1757" s="109"/>
      <c r="AR1757" s="109"/>
      <c r="AS1757" s="109"/>
    </row>
    <row r="1758" spans="1:45" ht="12.6" customHeight="1" x14ac:dyDescent="0.3">
      <c r="A1758" s="68" t="s">
        <v>1475</v>
      </c>
      <c r="B1758" s="97" t="str">
        <f>" 재 료 비  :   "&amp;TEXT(I1758,"#,##0"&amp;IF(I1758&lt;&gt;INT(I1758),".###",""))&amp;" / Q / "&amp;AC1758&amp;" = "&amp;TEXT(C1758,"#,##0.0")&amp;""</f>
        <v xml:space="preserve"> 재 료 비  :   18,001 / Q / 3 = 94.1</v>
      </c>
      <c r="C1758" s="99">
        <f>E1758+D1758+F1758</f>
        <v>94.1</v>
      </c>
      <c r="D1758" s="99">
        <f>IF(H1758=0,0,ROUNDDOWN(J1758*H1758,1))</f>
        <v>0</v>
      </c>
      <c r="E1758" s="99">
        <f>IF(H1758=0,0,ROUNDDOWN(K1758*H1758,1))</f>
        <v>94.1</v>
      </c>
      <c r="F1758" s="99">
        <f>IF(H1758=0,0,ROUNDDOWN(L1758*H1758,1))</f>
        <v>0</v>
      </c>
      <c r="G1758" s="16" t="s">
        <v>1938</v>
      </c>
      <c r="H1758" s="105">
        <f>AE1758</f>
        <v>5.2328623757195184E-3</v>
      </c>
      <c r="I1758" s="106">
        <f>K1758+J1758+L1758</f>
        <v>18001</v>
      </c>
      <c r="K1758" s="39">
        <f>중기목록표!G7</f>
        <v>18001</v>
      </c>
      <c r="M1758" s="20" t="s">
        <v>1193</v>
      </c>
      <c r="N1758" s="20" t="s">
        <v>1332</v>
      </c>
      <c r="X1758" s="108" t="str">
        <f>중기목록표!B7&amp;" / "&amp;중기목록표!C7</f>
        <v xml:space="preserve">굴삭기(0.7m3) / </v>
      </c>
      <c r="Y1758" s="19" t="str">
        <f ca="1">HYPERLINK("#"&amp;중기목록표!J2&amp;"!A"&amp;ROW(중기목록표!A7),"중기    4 →")</f>
        <v>중기    4 →</v>
      </c>
      <c r="Z1758" s="20" t="s">
        <v>1393</v>
      </c>
      <c r="AA1758" s="112" t="str">
        <f>AL1754</f>
        <v>63.70</v>
      </c>
      <c r="AB1758" s="20" t="s">
        <v>1387</v>
      </c>
      <c r="AC1758" s="111">
        <v>3</v>
      </c>
      <c r="AD1758" s="20" t="s">
        <v>1326</v>
      </c>
      <c r="AE1758" s="113">
        <f>1/AL1754/AC1758</f>
        <v>5.2328623757195184E-3</v>
      </c>
      <c r="AF1758" s="109"/>
      <c r="AG1758" s="109"/>
      <c r="AH1758" s="109"/>
      <c r="AI1758" s="109"/>
      <c r="AJ1758" s="109"/>
      <c r="AK1758" s="109"/>
      <c r="AL1758" s="109"/>
      <c r="AM1758" s="109"/>
      <c r="AN1758" s="109"/>
      <c r="AO1758" s="109"/>
      <c r="AP1758" s="109"/>
      <c r="AQ1758" s="109"/>
      <c r="AR1758" s="109"/>
      <c r="AS1758" s="109"/>
    </row>
    <row r="1759" spans="1:45" ht="12.6" customHeight="1" x14ac:dyDescent="0.3">
      <c r="A1759" s="78"/>
      <c r="B1759" s="78"/>
      <c r="C1759" s="78"/>
      <c r="D1759" s="78"/>
      <c r="E1759" s="78"/>
      <c r="F1759" s="78"/>
      <c r="G1759" s="16" t="s">
        <v>1317</v>
      </c>
      <c r="Z1759" s="109"/>
      <c r="AA1759" s="109"/>
      <c r="AB1759" s="109"/>
      <c r="AC1759" s="109"/>
      <c r="AD1759" s="109"/>
      <c r="AE1759" s="109"/>
      <c r="AF1759" s="109"/>
      <c r="AG1759" s="109"/>
      <c r="AH1759" s="109"/>
      <c r="AI1759" s="109"/>
      <c r="AJ1759" s="109"/>
      <c r="AK1759" s="109"/>
      <c r="AL1759" s="109"/>
      <c r="AM1759" s="109"/>
      <c r="AN1759" s="109"/>
      <c r="AO1759" s="109"/>
      <c r="AP1759" s="109"/>
      <c r="AQ1759" s="109"/>
      <c r="AR1759" s="109"/>
      <c r="AS1759" s="109"/>
    </row>
    <row r="1760" spans="1:45" ht="12.6" customHeight="1" x14ac:dyDescent="0.3">
      <c r="A1760" s="68" t="s">
        <v>1477</v>
      </c>
      <c r="B1760" s="97" t="str">
        <f>" 경    비  :   "&amp;TEXT(I1760,"#,##0"&amp;IF(I1760&lt;&gt;INT(I1760),".###",""))&amp;" / Q / "&amp;AC1760&amp;" = "&amp;TEXT(C1760,"#,##0.0")&amp;""</f>
        <v xml:space="preserve"> 경    비  :   23,128 / Q / 3 = 121.0</v>
      </c>
      <c r="C1760" s="99">
        <f>E1760+D1760+F1760</f>
        <v>121</v>
      </c>
      <c r="D1760" s="99">
        <f>IF(H1760=0,0,ROUNDDOWN(J1760*H1760,1))</f>
        <v>0</v>
      </c>
      <c r="E1760" s="99">
        <f>IF(H1760=0,0,ROUNDDOWN(K1760*H1760,1))</f>
        <v>0</v>
      </c>
      <c r="F1760" s="99">
        <f>IF(H1760=0,0,ROUNDDOWN(L1760*H1760,1))</f>
        <v>121</v>
      </c>
      <c r="G1760" s="16" t="s">
        <v>1939</v>
      </c>
      <c r="H1760" s="105">
        <f>AE1760</f>
        <v>5.2328623757195184E-3</v>
      </c>
      <c r="I1760" s="106">
        <f>K1760+J1760+L1760</f>
        <v>23128</v>
      </c>
      <c r="L1760" s="39">
        <f>중기목록표!H7</f>
        <v>23128</v>
      </c>
      <c r="M1760" s="20" t="s">
        <v>1193</v>
      </c>
      <c r="N1760" s="20" t="s">
        <v>1332</v>
      </c>
      <c r="X1760" s="108" t="str">
        <f>중기목록표!B7&amp;" / "&amp;중기목록표!C7</f>
        <v xml:space="preserve">굴삭기(0.7m3) / </v>
      </c>
      <c r="Y1760" s="19" t="str">
        <f ca="1">HYPERLINK("#"&amp;중기목록표!J2&amp;"!A"&amp;ROW(중기목록표!A7),"중기    4 →")</f>
        <v>중기    4 →</v>
      </c>
      <c r="Z1760" s="20" t="s">
        <v>1393</v>
      </c>
      <c r="AA1760" s="112" t="str">
        <f>AL1754</f>
        <v>63.70</v>
      </c>
      <c r="AB1760" s="20" t="s">
        <v>1387</v>
      </c>
      <c r="AC1760" s="111">
        <v>3</v>
      </c>
      <c r="AD1760" s="20" t="s">
        <v>1326</v>
      </c>
      <c r="AE1760" s="113">
        <f>1/AL1754/AC1760</f>
        <v>5.2328623757195184E-3</v>
      </c>
      <c r="AF1760" s="109"/>
      <c r="AG1760" s="109"/>
      <c r="AH1760" s="109"/>
      <c r="AI1760" s="109"/>
      <c r="AJ1760" s="109"/>
      <c r="AK1760" s="109"/>
      <c r="AL1760" s="109"/>
      <c r="AM1760" s="109"/>
      <c r="AN1760" s="109"/>
      <c r="AO1760" s="109"/>
      <c r="AP1760" s="109"/>
      <c r="AQ1760" s="109"/>
      <c r="AR1760" s="109"/>
      <c r="AS1760" s="109"/>
    </row>
    <row r="1761" spans="1:45" ht="12.6" customHeight="1" x14ac:dyDescent="0.3">
      <c r="A1761" s="78"/>
      <c r="B1761" s="78"/>
      <c r="C1761" s="78"/>
      <c r="D1761" s="78"/>
      <c r="E1761" s="78"/>
      <c r="F1761" s="78"/>
      <c r="G1761" s="16" t="s">
        <v>1317</v>
      </c>
      <c r="Z1761" s="109"/>
      <c r="AA1761" s="109"/>
      <c r="AB1761" s="109"/>
      <c r="AC1761" s="109"/>
      <c r="AD1761" s="109"/>
      <c r="AE1761" s="109"/>
      <c r="AF1761" s="109"/>
      <c r="AG1761" s="109"/>
      <c r="AH1761" s="109"/>
      <c r="AI1761" s="109"/>
      <c r="AJ1761" s="109"/>
      <c r="AK1761" s="109"/>
      <c r="AL1761" s="109"/>
      <c r="AM1761" s="109"/>
      <c r="AN1761" s="109"/>
      <c r="AO1761" s="109"/>
      <c r="AP1761" s="109"/>
      <c r="AQ1761" s="109"/>
      <c r="AR1761" s="109"/>
      <c r="AS1761" s="109"/>
    </row>
    <row r="1762" spans="1:45" ht="12.6" customHeight="1" x14ac:dyDescent="0.3">
      <c r="A1762" s="68"/>
      <c r="B1762" s="77" t="s">
        <v>1331</v>
      </c>
      <c r="C1762" s="100">
        <f>E1762+D1762+F1762</f>
        <v>506.5</v>
      </c>
      <c r="D1762" s="100">
        <f>SUMIF(N1746:N1761,M1762,D1746:D1761)</f>
        <v>291.39999999999998</v>
      </c>
      <c r="E1762" s="100">
        <f>SUMIF(N1746:N1761,M1762,E1746:E1761)</f>
        <v>94.1</v>
      </c>
      <c r="F1762" s="100">
        <f>SUMIF(N1746:N1761,M1762,F1746:F1761)</f>
        <v>121</v>
      </c>
      <c r="G1762" s="16" t="s">
        <v>1415</v>
      </c>
      <c r="M1762" s="20" t="s">
        <v>1332</v>
      </c>
      <c r="N1762" s="20" t="s">
        <v>1341</v>
      </c>
      <c r="Z1762" s="109"/>
      <c r="AA1762" s="109"/>
      <c r="AB1762" s="109"/>
      <c r="AC1762" s="109"/>
      <c r="AD1762" s="109"/>
      <c r="AE1762" s="109"/>
      <c r="AF1762" s="109"/>
      <c r="AG1762" s="109"/>
      <c r="AH1762" s="109"/>
      <c r="AI1762" s="109"/>
      <c r="AJ1762" s="109"/>
      <c r="AK1762" s="109"/>
      <c r="AL1762" s="109"/>
      <c r="AM1762" s="109"/>
      <c r="AN1762" s="109"/>
      <c r="AO1762" s="109"/>
      <c r="AP1762" s="109"/>
      <c r="AQ1762" s="109"/>
      <c r="AR1762" s="109"/>
      <c r="AS1762" s="109"/>
    </row>
    <row r="1763" spans="1:45" ht="12.6" customHeight="1" x14ac:dyDescent="0.3">
      <c r="A1763" s="78"/>
      <c r="B1763" s="78"/>
      <c r="C1763" s="98"/>
      <c r="D1763" s="98"/>
      <c r="E1763" s="98"/>
      <c r="F1763" s="98"/>
      <c r="G1763" s="16" t="s">
        <v>1317</v>
      </c>
      <c r="Z1763" s="109"/>
      <c r="AA1763" s="109"/>
      <c r="AB1763" s="109"/>
      <c r="AC1763" s="109"/>
      <c r="AD1763" s="109"/>
      <c r="AE1763" s="109"/>
      <c r="AF1763" s="109"/>
      <c r="AG1763" s="109"/>
      <c r="AH1763" s="109"/>
      <c r="AI1763" s="109"/>
      <c r="AJ1763" s="109"/>
      <c r="AK1763" s="109"/>
      <c r="AL1763" s="109"/>
      <c r="AM1763" s="109"/>
      <c r="AN1763" s="109"/>
      <c r="AO1763" s="109"/>
      <c r="AP1763" s="109"/>
      <c r="AQ1763" s="109"/>
      <c r="AR1763" s="109"/>
      <c r="AS1763" s="109"/>
    </row>
    <row r="1764" spans="1:45" ht="12.6" customHeight="1" x14ac:dyDescent="0.3">
      <c r="A1764" s="68"/>
      <c r="B1764" s="77" t="s">
        <v>1340</v>
      </c>
      <c r="C1764" s="100">
        <f>E1764+D1764+F1764</f>
        <v>6927.7999999999993</v>
      </c>
      <c r="D1764" s="100">
        <f>SUMIF(N1687:N1763,M1764,D1687:D1763)</f>
        <v>4415.8999999999996</v>
      </c>
      <c r="E1764" s="100">
        <f>SUMIF(N1687:N1763,M1764,E1687:E1763)</f>
        <v>827.19999999999993</v>
      </c>
      <c r="F1764" s="100">
        <f>SUMIF(N1687:N1763,M1764,F1687:F1763)</f>
        <v>1684.6999999999998</v>
      </c>
      <c r="G1764" s="16" t="s">
        <v>1380</v>
      </c>
      <c r="M1764" s="20" t="s">
        <v>1341</v>
      </c>
      <c r="N1764" s="20" t="s">
        <v>1128</v>
      </c>
      <c r="Z1764" s="109"/>
      <c r="AA1764" s="109"/>
      <c r="AB1764" s="109"/>
      <c r="AC1764" s="109"/>
      <c r="AD1764" s="109"/>
      <c r="AE1764" s="109"/>
      <c r="AF1764" s="109"/>
      <c r="AG1764" s="109"/>
      <c r="AH1764" s="109"/>
      <c r="AI1764" s="109"/>
      <c r="AJ1764" s="109"/>
      <c r="AK1764" s="109"/>
      <c r="AL1764" s="109"/>
      <c r="AM1764" s="109"/>
      <c r="AN1764" s="109"/>
      <c r="AO1764" s="109"/>
      <c r="AP1764" s="109"/>
      <c r="AQ1764" s="109"/>
      <c r="AR1764" s="109"/>
      <c r="AS1764" s="109"/>
    </row>
    <row r="1765" spans="1:45" ht="12.6" customHeight="1" x14ac:dyDescent="0.3">
      <c r="A1765" s="78"/>
      <c r="B1765" s="78"/>
      <c r="C1765" s="98"/>
      <c r="D1765" s="98"/>
      <c r="E1765" s="98"/>
      <c r="F1765" s="98"/>
      <c r="Z1765" s="109"/>
      <c r="AA1765" s="109"/>
      <c r="AB1765" s="109"/>
      <c r="AC1765" s="109"/>
      <c r="AD1765" s="109"/>
      <c r="AE1765" s="109"/>
      <c r="AF1765" s="109"/>
      <c r="AG1765" s="109"/>
      <c r="AH1765" s="109"/>
      <c r="AI1765" s="109"/>
      <c r="AJ1765" s="109"/>
      <c r="AK1765" s="109"/>
      <c r="AL1765" s="109"/>
      <c r="AM1765" s="109"/>
      <c r="AN1765" s="109"/>
      <c r="AO1765" s="109"/>
      <c r="AP1765" s="109"/>
      <c r="AQ1765" s="109"/>
      <c r="AR1765" s="109"/>
      <c r="AS1765" s="109"/>
    </row>
    <row r="1766" spans="1:45" ht="12.6" customHeight="1" x14ac:dyDescent="0.3">
      <c r="A1766" s="78"/>
      <c r="B1766" s="78"/>
      <c r="C1766" s="78"/>
      <c r="D1766" s="78"/>
      <c r="E1766" s="78"/>
      <c r="F1766" s="78"/>
      <c r="Z1766" s="109"/>
      <c r="AA1766" s="109"/>
      <c r="AB1766" s="109"/>
      <c r="AC1766" s="109"/>
      <c r="AD1766" s="109"/>
      <c r="AE1766" s="109"/>
      <c r="AF1766" s="109"/>
      <c r="AG1766" s="109"/>
      <c r="AH1766" s="109"/>
      <c r="AI1766" s="109"/>
      <c r="AJ1766" s="109"/>
      <c r="AK1766" s="109"/>
      <c r="AL1766" s="109"/>
      <c r="AM1766" s="109"/>
      <c r="AN1766" s="109"/>
      <c r="AO1766" s="109"/>
      <c r="AP1766" s="109"/>
      <c r="AQ1766" s="109"/>
      <c r="AR1766" s="109"/>
      <c r="AS1766" s="109"/>
    </row>
    <row r="1767" spans="1:45" ht="12.6" customHeight="1" x14ac:dyDescent="0.3">
      <c r="A1767" s="78"/>
      <c r="B1767" s="78"/>
      <c r="C1767" s="78"/>
      <c r="D1767" s="78"/>
      <c r="E1767" s="78"/>
      <c r="F1767" s="78"/>
      <c r="Z1767" s="109"/>
      <c r="AA1767" s="109"/>
      <c r="AB1767" s="109"/>
      <c r="AC1767" s="109"/>
      <c r="AD1767" s="109"/>
      <c r="AE1767" s="109"/>
      <c r="AF1767" s="109"/>
      <c r="AG1767" s="109"/>
      <c r="AH1767" s="109"/>
      <c r="AI1767" s="109"/>
      <c r="AJ1767" s="109"/>
      <c r="AK1767" s="109"/>
      <c r="AL1767" s="109"/>
      <c r="AM1767" s="109"/>
      <c r="AN1767" s="109"/>
      <c r="AO1767" s="109"/>
      <c r="AP1767" s="109"/>
      <c r="AQ1767" s="109"/>
      <c r="AR1767" s="109"/>
      <c r="AS1767" s="109"/>
    </row>
    <row r="1768" spans="1:45" ht="12.6" customHeight="1" x14ac:dyDescent="0.3">
      <c r="A1768" s="78"/>
      <c r="B1768" s="78"/>
      <c r="C1768" s="78"/>
      <c r="D1768" s="78"/>
      <c r="E1768" s="78"/>
      <c r="F1768" s="78"/>
      <c r="Z1768" s="109"/>
      <c r="AA1768" s="109"/>
      <c r="AB1768" s="109"/>
      <c r="AC1768" s="109"/>
      <c r="AD1768" s="109"/>
      <c r="AE1768" s="109"/>
      <c r="AF1768" s="109"/>
      <c r="AG1768" s="109"/>
      <c r="AH1768" s="109"/>
      <c r="AI1768" s="109"/>
      <c r="AJ1768" s="109"/>
      <c r="AK1768" s="109"/>
      <c r="AL1768" s="109"/>
      <c r="AM1768" s="109"/>
      <c r="AN1768" s="109"/>
      <c r="AO1768" s="109"/>
      <c r="AP1768" s="109"/>
      <c r="AQ1768" s="109"/>
      <c r="AR1768" s="109"/>
      <c r="AS1768" s="109"/>
    </row>
    <row r="1769" spans="1:45" ht="12.6" customHeight="1" x14ac:dyDescent="0.3">
      <c r="A1769" s="78"/>
      <c r="B1769" s="78"/>
      <c r="C1769" s="78"/>
      <c r="D1769" s="78"/>
      <c r="E1769" s="78"/>
      <c r="F1769" s="78"/>
      <c r="Z1769" s="109"/>
      <c r="AA1769" s="109"/>
      <c r="AB1769" s="109"/>
      <c r="AC1769" s="109"/>
      <c r="AD1769" s="109"/>
      <c r="AE1769" s="109"/>
      <c r="AF1769" s="109"/>
      <c r="AG1769" s="109"/>
      <c r="AH1769" s="109"/>
      <c r="AI1769" s="109"/>
      <c r="AJ1769" s="109"/>
      <c r="AK1769" s="109"/>
      <c r="AL1769" s="109"/>
      <c r="AM1769" s="109"/>
      <c r="AN1769" s="109"/>
      <c r="AO1769" s="109"/>
      <c r="AP1769" s="109"/>
      <c r="AQ1769" s="109"/>
      <c r="AR1769" s="109"/>
      <c r="AS1769" s="109"/>
    </row>
    <row r="1770" spans="1:45" ht="12.6" customHeight="1" x14ac:dyDescent="0.3">
      <c r="A1770" s="78"/>
      <c r="B1770" s="78"/>
      <c r="C1770" s="78"/>
      <c r="D1770" s="78"/>
      <c r="E1770" s="78"/>
      <c r="F1770" s="78"/>
      <c r="Z1770" s="109"/>
      <c r="AA1770" s="109"/>
      <c r="AB1770" s="109"/>
      <c r="AC1770" s="109"/>
      <c r="AD1770" s="109"/>
      <c r="AE1770" s="109"/>
      <c r="AF1770" s="109"/>
      <c r="AG1770" s="109"/>
      <c r="AH1770" s="109"/>
      <c r="AI1770" s="109"/>
      <c r="AJ1770" s="109"/>
      <c r="AK1770" s="109"/>
      <c r="AL1770" s="109"/>
      <c r="AM1770" s="109"/>
      <c r="AN1770" s="109"/>
      <c r="AO1770" s="109"/>
      <c r="AP1770" s="109"/>
      <c r="AQ1770" s="109"/>
      <c r="AR1770" s="109"/>
      <c r="AS1770" s="109"/>
    </row>
    <row r="1771" spans="1:45" ht="12.6" customHeight="1" x14ac:dyDescent="0.3">
      <c r="A1771" s="78"/>
      <c r="B1771" s="78"/>
      <c r="C1771" s="78"/>
      <c r="D1771" s="78"/>
      <c r="E1771" s="78"/>
      <c r="F1771" s="78"/>
      <c r="Z1771" s="109"/>
      <c r="AA1771" s="109"/>
      <c r="AB1771" s="109"/>
      <c r="AC1771" s="109"/>
      <c r="AD1771" s="109"/>
      <c r="AE1771" s="109"/>
      <c r="AF1771" s="109"/>
      <c r="AG1771" s="109"/>
      <c r="AH1771" s="109"/>
      <c r="AI1771" s="109"/>
      <c r="AJ1771" s="109"/>
      <c r="AK1771" s="109"/>
      <c r="AL1771" s="109"/>
      <c r="AM1771" s="109"/>
      <c r="AN1771" s="109"/>
      <c r="AO1771" s="109"/>
      <c r="AP1771" s="109"/>
      <c r="AQ1771" s="109"/>
      <c r="AR1771" s="109"/>
      <c r="AS1771" s="109"/>
    </row>
    <row r="1772" spans="1:45" ht="12.6" customHeight="1" x14ac:dyDescent="0.3">
      <c r="A1772" s="78"/>
      <c r="B1772" s="78"/>
      <c r="C1772" s="78"/>
      <c r="D1772" s="78"/>
      <c r="E1772" s="78"/>
      <c r="F1772" s="78"/>
      <c r="Z1772" s="109"/>
      <c r="AA1772" s="109"/>
      <c r="AB1772" s="109"/>
      <c r="AC1772" s="109"/>
      <c r="AD1772" s="109"/>
      <c r="AE1772" s="109"/>
      <c r="AF1772" s="109"/>
      <c r="AG1772" s="109"/>
      <c r="AH1772" s="109"/>
      <c r="AI1772" s="109"/>
      <c r="AJ1772" s="109"/>
      <c r="AK1772" s="109"/>
      <c r="AL1772" s="109"/>
      <c r="AM1772" s="109"/>
      <c r="AN1772" s="109"/>
      <c r="AO1772" s="109"/>
      <c r="AP1772" s="109"/>
      <c r="AQ1772" s="109"/>
      <c r="AR1772" s="109"/>
      <c r="AS1772" s="109"/>
    </row>
    <row r="1773" spans="1:45" ht="12.6" customHeight="1" x14ac:dyDescent="0.3">
      <c r="A1773" s="78"/>
      <c r="B1773" s="78"/>
      <c r="C1773" s="78"/>
      <c r="D1773" s="78"/>
      <c r="E1773" s="78"/>
      <c r="F1773" s="78"/>
      <c r="Z1773" s="109"/>
      <c r="AA1773" s="109"/>
      <c r="AB1773" s="109"/>
      <c r="AC1773" s="109"/>
      <c r="AD1773" s="109"/>
      <c r="AE1773" s="109"/>
      <c r="AF1773" s="109"/>
      <c r="AG1773" s="109"/>
      <c r="AH1773" s="109"/>
      <c r="AI1773" s="109"/>
      <c r="AJ1773" s="109"/>
      <c r="AK1773" s="109"/>
      <c r="AL1773" s="109"/>
      <c r="AM1773" s="109"/>
      <c r="AN1773" s="109"/>
      <c r="AO1773" s="109"/>
      <c r="AP1773" s="109"/>
      <c r="AQ1773" s="109"/>
      <c r="AR1773" s="109"/>
      <c r="AS1773" s="109"/>
    </row>
    <row r="1774" spans="1:45" ht="12.6" customHeight="1" x14ac:dyDescent="0.3">
      <c r="A1774" s="78"/>
      <c r="B1774" s="78"/>
      <c r="C1774" s="78"/>
      <c r="D1774" s="78"/>
      <c r="E1774" s="78"/>
      <c r="F1774" s="78"/>
      <c r="Z1774" s="109"/>
      <c r="AA1774" s="109"/>
      <c r="AB1774" s="109"/>
      <c r="AC1774" s="109"/>
      <c r="AD1774" s="109"/>
      <c r="AE1774" s="109"/>
      <c r="AF1774" s="109"/>
      <c r="AG1774" s="109"/>
      <c r="AH1774" s="109"/>
      <c r="AI1774" s="109"/>
      <c r="AJ1774" s="109"/>
      <c r="AK1774" s="109"/>
      <c r="AL1774" s="109"/>
      <c r="AM1774" s="109"/>
      <c r="AN1774" s="109"/>
      <c r="AO1774" s="109"/>
      <c r="AP1774" s="109"/>
      <c r="AQ1774" s="109"/>
      <c r="AR1774" s="109"/>
      <c r="AS1774" s="109"/>
    </row>
    <row r="1775" spans="1:45" ht="12.6" customHeight="1" x14ac:dyDescent="0.3">
      <c r="A1775" s="78"/>
      <c r="B1775" s="78"/>
      <c r="C1775" s="78"/>
      <c r="D1775" s="78"/>
      <c r="E1775" s="78"/>
      <c r="F1775" s="78"/>
      <c r="Z1775" s="109"/>
      <c r="AA1775" s="109"/>
      <c r="AB1775" s="109"/>
      <c r="AC1775" s="109"/>
      <c r="AD1775" s="109"/>
      <c r="AE1775" s="109"/>
      <c r="AF1775" s="109"/>
      <c r="AG1775" s="109"/>
      <c r="AH1775" s="109"/>
      <c r="AI1775" s="109"/>
      <c r="AJ1775" s="109"/>
      <c r="AK1775" s="109"/>
      <c r="AL1775" s="109"/>
      <c r="AM1775" s="109"/>
      <c r="AN1775" s="109"/>
      <c r="AO1775" s="109"/>
      <c r="AP1775" s="109"/>
      <c r="AQ1775" s="109"/>
      <c r="AR1775" s="109"/>
      <c r="AS1775" s="109"/>
    </row>
    <row r="1776" spans="1:45" ht="12.6" customHeight="1" x14ac:dyDescent="0.3">
      <c r="A1776" s="78"/>
      <c r="B1776" s="78"/>
      <c r="C1776" s="78"/>
      <c r="D1776" s="78"/>
      <c r="E1776" s="78"/>
      <c r="F1776" s="78"/>
      <c r="Z1776" s="109"/>
      <c r="AA1776" s="109"/>
      <c r="AB1776" s="109"/>
      <c r="AC1776" s="109"/>
      <c r="AD1776" s="109"/>
      <c r="AE1776" s="109"/>
      <c r="AF1776" s="109"/>
      <c r="AG1776" s="109"/>
      <c r="AH1776" s="109"/>
      <c r="AI1776" s="109"/>
      <c r="AJ1776" s="109"/>
      <c r="AK1776" s="109"/>
      <c r="AL1776" s="109"/>
      <c r="AM1776" s="109"/>
      <c r="AN1776" s="109"/>
      <c r="AO1776" s="109"/>
      <c r="AP1776" s="109"/>
      <c r="AQ1776" s="109"/>
      <c r="AR1776" s="109"/>
      <c r="AS1776" s="109"/>
    </row>
    <row r="1777" spans="1:45" ht="12.6" customHeight="1" x14ac:dyDescent="0.3">
      <c r="A1777" s="78"/>
      <c r="B1777" s="78"/>
      <c r="C1777" s="78"/>
      <c r="D1777" s="78"/>
      <c r="E1777" s="78"/>
      <c r="F1777" s="78"/>
      <c r="Z1777" s="109"/>
      <c r="AA1777" s="109"/>
      <c r="AB1777" s="109"/>
      <c r="AC1777" s="109"/>
      <c r="AD1777" s="109"/>
      <c r="AE1777" s="109"/>
      <c r="AF1777" s="109"/>
      <c r="AG1777" s="109"/>
      <c r="AH1777" s="109"/>
      <c r="AI1777" s="109"/>
      <c r="AJ1777" s="109"/>
      <c r="AK1777" s="109"/>
      <c r="AL1777" s="109"/>
      <c r="AM1777" s="109"/>
      <c r="AN1777" s="109"/>
      <c r="AO1777" s="109"/>
      <c r="AP1777" s="109"/>
      <c r="AQ1777" s="109"/>
      <c r="AR1777" s="109"/>
      <c r="AS1777" s="109"/>
    </row>
    <row r="1778" spans="1:45" ht="12.6" customHeight="1" x14ac:dyDescent="0.3">
      <c r="A1778" s="78"/>
      <c r="B1778" s="78"/>
      <c r="C1778" s="78"/>
      <c r="D1778" s="78"/>
      <c r="E1778" s="78"/>
      <c r="F1778" s="78"/>
      <c r="Z1778" s="109"/>
      <c r="AA1778" s="109"/>
      <c r="AB1778" s="109"/>
      <c r="AC1778" s="109"/>
      <c r="AD1778" s="109"/>
      <c r="AE1778" s="109"/>
      <c r="AF1778" s="109"/>
      <c r="AG1778" s="109"/>
      <c r="AH1778" s="109"/>
      <c r="AI1778" s="109"/>
      <c r="AJ1778" s="109"/>
      <c r="AK1778" s="109"/>
      <c r="AL1778" s="109"/>
      <c r="AM1778" s="109"/>
      <c r="AN1778" s="109"/>
      <c r="AO1778" s="109"/>
      <c r="AP1778" s="109"/>
      <c r="AQ1778" s="109"/>
      <c r="AR1778" s="109"/>
      <c r="AS1778" s="109"/>
    </row>
    <row r="1779" spans="1:45" ht="12.6" customHeight="1" x14ac:dyDescent="0.3">
      <c r="A1779" s="78"/>
      <c r="B1779" s="78"/>
      <c r="C1779" s="78"/>
      <c r="D1779" s="78"/>
      <c r="E1779" s="78"/>
      <c r="F1779" s="78"/>
      <c r="Z1779" s="109"/>
      <c r="AA1779" s="109"/>
      <c r="AB1779" s="109"/>
      <c r="AC1779" s="109"/>
      <c r="AD1779" s="109"/>
      <c r="AE1779" s="109"/>
      <c r="AF1779" s="109"/>
      <c r="AG1779" s="109"/>
      <c r="AH1779" s="109"/>
      <c r="AI1779" s="109"/>
      <c r="AJ1779" s="109"/>
      <c r="AK1779" s="109"/>
      <c r="AL1779" s="109"/>
      <c r="AM1779" s="109"/>
      <c r="AN1779" s="109"/>
      <c r="AO1779" s="109"/>
      <c r="AP1779" s="109"/>
      <c r="AQ1779" s="109"/>
      <c r="AR1779" s="109"/>
      <c r="AS1779" s="109"/>
    </row>
    <row r="1780" spans="1:45" ht="12.6" customHeight="1" x14ac:dyDescent="0.3">
      <c r="A1780" s="78"/>
      <c r="B1780" s="78"/>
      <c r="C1780" s="78"/>
      <c r="D1780" s="78"/>
      <c r="E1780" s="78"/>
      <c r="F1780" s="78"/>
      <c r="Z1780" s="109"/>
      <c r="AA1780" s="109"/>
      <c r="AB1780" s="109"/>
      <c r="AC1780" s="109"/>
      <c r="AD1780" s="109"/>
      <c r="AE1780" s="109"/>
      <c r="AF1780" s="109"/>
      <c r="AG1780" s="109"/>
      <c r="AH1780" s="109"/>
      <c r="AI1780" s="109"/>
      <c r="AJ1780" s="109"/>
      <c r="AK1780" s="109"/>
      <c r="AL1780" s="109"/>
      <c r="AM1780" s="109"/>
      <c r="AN1780" s="109"/>
      <c r="AO1780" s="109"/>
      <c r="AP1780" s="109"/>
      <c r="AQ1780" s="109"/>
      <c r="AR1780" s="109"/>
      <c r="AS1780" s="109"/>
    </row>
    <row r="1781" spans="1:45" ht="12.6" customHeight="1" x14ac:dyDescent="0.3">
      <c r="A1781" s="78"/>
      <c r="B1781" s="78"/>
      <c r="C1781" s="78"/>
      <c r="D1781" s="78"/>
      <c r="E1781" s="78"/>
      <c r="F1781" s="78"/>
      <c r="Z1781" s="109"/>
      <c r="AA1781" s="109"/>
      <c r="AB1781" s="109"/>
      <c r="AC1781" s="109"/>
      <c r="AD1781" s="109"/>
      <c r="AE1781" s="109"/>
      <c r="AF1781" s="109"/>
      <c r="AG1781" s="109"/>
      <c r="AH1781" s="109"/>
      <c r="AI1781" s="109"/>
      <c r="AJ1781" s="109"/>
      <c r="AK1781" s="109"/>
      <c r="AL1781" s="109"/>
      <c r="AM1781" s="109"/>
      <c r="AN1781" s="109"/>
      <c r="AO1781" s="109"/>
      <c r="AP1781" s="109"/>
      <c r="AQ1781" s="109"/>
      <c r="AR1781" s="109"/>
      <c r="AS1781" s="109"/>
    </row>
    <row r="1782" spans="1:45" ht="12.6" customHeight="1" x14ac:dyDescent="0.3">
      <c r="A1782" s="78"/>
      <c r="B1782" s="78"/>
      <c r="C1782" s="78"/>
      <c r="D1782" s="78"/>
      <c r="E1782" s="78"/>
      <c r="F1782" s="78"/>
      <c r="Z1782" s="109"/>
      <c r="AA1782" s="109"/>
      <c r="AB1782" s="109"/>
      <c r="AC1782" s="109"/>
      <c r="AD1782" s="109"/>
      <c r="AE1782" s="109"/>
      <c r="AF1782" s="109"/>
      <c r="AG1782" s="109"/>
      <c r="AH1782" s="109"/>
      <c r="AI1782" s="109"/>
      <c r="AJ1782" s="109"/>
      <c r="AK1782" s="109"/>
      <c r="AL1782" s="109"/>
      <c r="AM1782" s="109"/>
      <c r="AN1782" s="109"/>
      <c r="AO1782" s="109"/>
      <c r="AP1782" s="109"/>
      <c r="AQ1782" s="109"/>
      <c r="AR1782" s="109"/>
      <c r="AS1782" s="109"/>
    </row>
    <row r="1783" spans="1:45" ht="12.6" customHeight="1" x14ac:dyDescent="0.3">
      <c r="A1783" s="78"/>
      <c r="B1783" s="78"/>
      <c r="C1783" s="78"/>
      <c r="D1783" s="78"/>
      <c r="E1783" s="78"/>
      <c r="F1783" s="78"/>
      <c r="Z1783" s="109"/>
      <c r="AA1783" s="109"/>
      <c r="AB1783" s="109"/>
      <c r="AC1783" s="109"/>
      <c r="AD1783" s="109"/>
      <c r="AE1783" s="109"/>
      <c r="AF1783" s="109"/>
      <c r="AG1783" s="109"/>
      <c r="AH1783" s="109"/>
      <c r="AI1783" s="109"/>
      <c r="AJ1783" s="109"/>
      <c r="AK1783" s="109"/>
      <c r="AL1783" s="109"/>
      <c r="AM1783" s="109"/>
      <c r="AN1783" s="109"/>
      <c r="AO1783" s="109"/>
      <c r="AP1783" s="109"/>
      <c r="AQ1783" s="109"/>
      <c r="AR1783" s="109"/>
      <c r="AS1783" s="109"/>
    </row>
    <row r="1784" spans="1:45" ht="12.6" customHeight="1" x14ac:dyDescent="0.3">
      <c r="A1784" s="78"/>
      <c r="B1784" s="78"/>
      <c r="C1784" s="78"/>
      <c r="D1784" s="78"/>
      <c r="E1784" s="78"/>
      <c r="F1784" s="78"/>
      <c r="Z1784" s="109"/>
      <c r="AA1784" s="109"/>
      <c r="AB1784" s="109"/>
      <c r="AC1784" s="109"/>
      <c r="AD1784" s="109"/>
      <c r="AE1784" s="109"/>
      <c r="AF1784" s="109"/>
      <c r="AG1784" s="109"/>
      <c r="AH1784" s="109"/>
      <c r="AI1784" s="109"/>
      <c r="AJ1784" s="109"/>
      <c r="AK1784" s="109"/>
      <c r="AL1784" s="109"/>
      <c r="AM1784" s="109"/>
      <c r="AN1784" s="109"/>
      <c r="AO1784" s="109"/>
      <c r="AP1784" s="109"/>
      <c r="AQ1784" s="109"/>
      <c r="AR1784" s="109"/>
      <c r="AS1784" s="109"/>
    </row>
    <row r="1785" spans="1:45" ht="12.6" customHeight="1" x14ac:dyDescent="0.3">
      <c r="A1785" s="78"/>
      <c r="B1785" s="78"/>
      <c r="C1785" s="78"/>
      <c r="D1785" s="78"/>
      <c r="E1785" s="78"/>
      <c r="F1785" s="78"/>
      <c r="Z1785" s="109"/>
      <c r="AA1785" s="109"/>
      <c r="AB1785" s="109"/>
      <c r="AC1785" s="109"/>
      <c r="AD1785" s="109"/>
      <c r="AE1785" s="109"/>
      <c r="AF1785" s="109"/>
      <c r="AG1785" s="109"/>
      <c r="AH1785" s="109"/>
      <c r="AI1785" s="109"/>
      <c r="AJ1785" s="109"/>
      <c r="AK1785" s="109"/>
      <c r="AL1785" s="109"/>
      <c r="AM1785" s="109"/>
      <c r="AN1785" s="109"/>
      <c r="AO1785" s="109"/>
      <c r="AP1785" s="109"/>
      <c r="AQ1785" s="109"/>
      <c r="AR1785" s="109"/>
      <c r="AS1785" s="109"/>
    </row>
    <row r="1786" spans="1:45" ht="12.6" customHeight="1" x14ac:dyDescent="0.3">
      <c r="A1786" s="78"/>
      <c r="B1786" s="78"/>
      <c r="C1786" s="78"/>
      <c r="D1786" s="78"/>
      <c r="E1786" s="78"/>
      <c r="F1786" s="78"/>
      <c r="Z1786" s="109"/>
      <c r="AA1786" s="109"/>
      <c r="AB1786" s="109"/>
      <c r="AC1786" s="109"/>
      <c r="AD1786" s="109"/>
      <c r="AE1786" s="109"/>
      <c r="AF1786" s="109"/>
      <c r="AG1786" s="109"/>
      <c r="AH1786" s="109"/>
      <c r="AI1786" s="109"/>
      <c r="AJ1786" s="109"/>
      <c r="AK1786" s="109"/>
      <c r="AL1786" s="109"/>
      <c r="AM1786" s="109"/>
      <c r="AN1786" s="109"/>
      <c r="AO1786" s="109"/>
      <c r="AP1786" s="109"/>
      <c r="AQ1786" s="109"/>
      <c r="AR1786" s="109"/>
      <c r="AS1786" s="109"/>
    </row>
    <row r="1787" spans="1:45" ht="12.6" customHeight="1" x14ac:dyDescent="0.3">
      <c r="A1787" s="78"/>
      <c r="B1787" s="78"/>
      <c r="C1787" s="78"/>
      <c r="D1787" s="78"/>
      <c r="E1787" s="78"/>
      <c r="F1787" s="78"/>
      <c r="Z1787" s="109"/>
      <c r="AA1787" s="109"/>
      <c r="AB1787" s="109"/>
      <c r="AC1787" s="109"/>
      <c r="AD1787" s="109"/>
      <c r="AE1787" s="109"/>
      <c r="AF1787" s="109"/>
      <c r="AG1787" s="109"/>
      <c r="AH1787" s="109"/>
      <c r="AI1787" s="109"/>
      <c r="AJ1787" s="109"/>
      <c r="AK1787" s="109"/>
      <c r="AL1787" s="109"/>
      <c r="AM1787" s="109"/>
      <c r="AN1787" s="109"/>
      <c r="AO1787" s="109"/>
      <c r="AP1787" s="109"/>
      <c r="AQ1787" s="109"/>
      <c r="AR1787" s="109"/>
      <c r="AS1787" s="109"/>
    </row>
    <row r="1788" spans="1:45" ht="12.6" customHeight="1" x14ac:dyDescent="0.3">
      <c r="A1788" s="58"/>
      <c r="B1788" s="58"/>
      <c r="C1788" s="58"/>
      <c r="D1788" s="58"/>
      <c r="E1788" s="58"/>
      <c r="F1788" s="58"/>
      <c r="Z1788" s="109"/>
      <c r="AA1788" s="109"/>
      <c r="AB1788" s="109"/>
      <c r="AC1788" s="109"/>
      <c r="AD1788" s="109"/>
      <c r="AE1788" s="109"/>
      <c r="AF1788" s="109"/>
      <c r="AG1788" s="109"/>
      <c r="AH1788" s="109"/>
      <c r="AI1788" s="109"/>
      <c r="AJ1788" s="109"/>
      <c r="AK1788" s="109"/>
      <c r="AL1788" s="109"/>
      <c r="AM1788" s="109"/>
      <c r="AN1788" s="109"/>
      <c r="AO1788" s="109"/>
      <c r="AP1788" s="109"/>
      <c r="AQ1788" s="109"/>
      <c r="AR1788" s="109"/>
      <c r="AS1788" s="109"/>
    </row>
    <row r="1789" spans="1:45" ht="12.6" customHeight="1" x14ac:dyDescent="0.3">
      <c r="A1789" s="159" t="s">
        <v>1401</v>
      </c>
      <c r="B1789" s="152"/>
      <c r="C1789" s="55">
        <f>E1789+D1789+F1789</f>
        <v>6926</v>
      </c>
      <c r="D1789" s="54">
        <f>ROUNDDOWN(SUMIF(N1687:N1764,M1789,D1687:D1764),0)</f>
        <v>4415</v>
      </c>
      <c r="E1789" s="63">
        <f>ROUNDDOWN(SUMIF(N1687:N1764,M1789,E1687:E1764),0)</f>
        <v>827</v>
      </c>
      <c r="F1789" s="55">
        <f>ROUNDDOWN(SUMIF(N1687:N1764,M1789,F1687:F1764),0)</f>
        <v>1684</v>
      </c>
      <c r="M1789" s="20" t="s">
        <v>1128</v>
      </c>
      <c r="Z1789" s="109"/>
      <c r="AA1789" s="109"/>
      <c r="AB1789" s="109"/>
      <c r="AC1789" s="109"/>
      <c r="AD1789" s="109"/>
      <c r="AE1789" s="109"/>
      <c r="AF1789" s="109"/>
      <c r="AG1789" s="109"/>
      <c r="AH1789" s="109"/>
      <c r="AI1789" s="109"/>
      <c r="AJ1789" s="109"/>
      <c r="AK1789" s="109"/>
      <c r="AL1789" s="109"/>
      <c r="AM1789" s="109"/>
      <c r="AN1789" s="109"/>
      <c r="AO1789" s="109"/>
      <c r="AP1789" s="109"/>
      <c r="AQ1789" s="109"/>
      <c r="AR1789" s="109"/>
      <c r="AS1789" s="109"/>
    </row>
    <row r="1790" spans="1:45" ht="12.6" customHeight="1" x14ac:dyDescent="0.3">
      <c r="A1790" s="95" t="s">
        <v>135</v>
      </c>
      <c r="B1790" s="96" t="s">
        <v>135</v>
      </c>
      <c r="C1790" s="158">
        <f>C1929</f>
        <v>7825</v>
      </c>
      <c r="D1790" s="158">
        <f>D1929</f>
        <v>5005</v>
      </c>
      <c r="E1790" s="158">
        <f>E1929</f>
        <v>902</v>
      </c>
      <c r="F1790" s="158">
        <f>F1929</f>
        <v>1918</v>
      </c>
      <c r="G1790" s="36" t="str">
        <f>HYPERLINK("#G"&amp;ROW(G1898),"_x0005_`BDCOD|D02175_x0007_`POSS|"&amp;ROW(G1792)&amp;"_x0007_`POSE|"&amp;ROW(G1898)&amp;"_x0007_`")</f>
        <v>_x0005_`BDCOD|D02175_x0007_`POSS|1792_x0007_`POSE|1898_x0007_`</v>
      </c>
      <c r="Z1790" s="109"/>
      <c r="AA1790" s="109"/>
      <c r="AB1790" s="109"/>
      <c r="AC1790" s="109"/>
      <c r="AD1790" s="109"/>
      <c r="AE1790" s="109"/>
      <c r="AF1790" s="109"/>
      <c r="AG1790" s="109"/>
      <c r="AH1790" s="109"/>
      <c r="AI1790" s="109"/>
      <c r="AJ1790" s="109"/>
      <c r="AK1790" s="109"/>
      <c r="AL1790" s="109"/>
      <c r="AM1790" s="109"/>
      <c r="AN1790" s="109"/>
      <c r="AO1790" s="109"/>
      <c r="AP1790" s="109"/>
      <c r="AQ1790" s="109"/>
      <c r="AR1790" s="109"/>
      <c r="AS1790" s="109"/>
    </row>
    <row r="1791" spans="1:45" ht="12.6" customHeight="1" x14ac:dyDescent="0.3">
      <c r="A1791" s="84"/>
      <c r="B1791" s="96" t="s">
        <v>267</v>
      </c>
      <c r="C1791" s="141"/>
      <c r="D1791" s="141"/>
      <c r="E1791" s="141"/>
      <c r="F1791" s="141"/>
      <c r="M1791" s="20" t="s">
        <v>266</v>
      </c>
      <c r="Z1791" s="109"/>
      <c r="AA1791" s="109"/>
      <c r="AB1791" s="109"/>
      <c r="AC1791" s="109"/>
      <c r="AD1791" s="109"/>
      <c r="AE1791" s="109"/>
      <c r="AF1791" s="109"/>
      <c r="AG1791" s="109"/>
      <c r="AH1791" s="109"/>
      <c r="AI1791" s="109"/>
      <c r="AJ1791" s="109"/>
      <c r="AK1791" s="109"/>
      <c r="AL1791" s="109"/>
      <c r="AM1791" s="109"/>
      <c r="AN1791" s="109"/>
      <c r="AO1791" s="109"/>
      <c r="AP1791" s="109"/>
      <c r="AQ1791" s="109"/>
      <c r="AR1791" s="109"/>
      <c r="AS1791" s="109"/>
    </row>
    <row r="1792" spans="1:45" ht="12.6" customHeight="1" x14ac:dyDescent="0.3">
      <c r="A1792" s="68"/>
      <c r="B1792" s="77" t="s">
        <v>1905</v>
      </c>
      <c r="C1792" s="98"/>
      <c r="D1792" s="98"/>
      <c r="E1792" s="98"/>
      <c r="F1792" s="98"/>
      <c r="G1792" s="16" t="s">
        <v>1904</v>
      </c>
      <c r="Z1792" s="109"/>
      <c r="AA1792" s="109"/>
      <c r="AB1792" s="109"/>
      <c r="AC1792" s="109"/>
      <c r="AD1792" s="109"/>
      <c r="AE1792" s="109"/>
      <c r="AF1792" s="109"/>
      <c r="AG1792" s="109"/>
      <c r="AH1792" s="109"/>
      <c r="AI1792" s="109"/>
      <c r="AJ1792" s="109"/>
      <c r="AK1792" s="109"/>
      <c r="AL1792" s="109"/>
      <c r="AM1792" s="109"/>
      <c r="AN1792" s="109"/>
      <c r="AO1792" s="109"/>
      <c r="AP1792" s="109"/>
      <c r="AQ1792" s="109"/>
      <c r="AR1792" s="109"/>
      <c r="AS1792" s="109"/>
    </row>
    <row r="1793" spans="1:45" ht="12.6" customHeight="1" x14ac:dyDescent="0.3">
      <c r="A1793" s="78"/>
      <c r="B1793" s="78"/>
      <c r="C1793" s="78"/>
      <c r="D1793" s="78"/>
      <c r="E1793" s="78"/>
      <c r="F1793" s="78"/>
      <c r="G1793" s="16" t="s">
        <v>1317</v>
      </c>
      <c r="Z1793" s="109"/>
      <c r="AA1793" s="109"/>
      <c r="AB1793" s="109"/>
      <c r="AC1793" s="109"/>
      <c r="AD1793" s="109"/>
      <c r="AE1793" s="109"/>
      <c r="AF1793" s="109"/>
      <c r="AG1793" s="109"/>
      <c r="AH1793" s="109"/>
      <c r="AI1793" s="109"/>
      <c r="AJ1793" s="109"/>
      <c r="AK1793" s="109"/>
      <c r="AL1793" s="109"/>
      <c r="AM1793" s="109"/>
      <c r="AN1793" s="109"/>
      <c r="AO1793" s="109"/>
      <c r="AP1793" s="109"/>
      <c r="AQ1793" s="109"/>
      <c r="AR1793" s="109"/>
      <c r="AS1793" s="109"/>
    </row>
    <row r="1794" spans="1:45" ht="12.6" customHeight="1" x14ac:dyDescent="0.3">
      <c r="A1794" s="68"/>
      <c r="B1794" s="77" t="s">
        <v>1907</v>
      </c>
      <c r="C1794" s="78"/>
      <c r="D1794" s="78"/>
      <c r="E1794" s="78"/>
      <c r="F1794" s="78"/>
      <c r="G1794" s="16" t="s">
        <v>1906</v>
      </c>
      <c r="Z1794" s="109"/>
      <c r="AA1794" s="109"/>
      <c r="AB1794" s="109"/>
      <c r="AC1794" s="109"/>
      <c r="AD1794" s="109"/>
      <c r="AE1794" s="109"/>
      <c r="AF1794" s="109"/>
      <c r="AG1794" s="109"/>
      <c r="AH1794" s="109"/>
      <c r="AI1794" s="109"/>
      <c r="AJ1794" s="109"/>
      <c r="AK1794" s="109"/>
      <c r="AL1794" s="109"/>
      <c r="AM1794" s="109"/>
      <c r="AN1794" s="109"/>
      <c r="AO1794" s="109"/>
      <c r="AP1794" s="109"/>
      <c r="AQ1794" s="109"/>
      <c r="AR1794" s="109"/>
      <c r="AS1794" s="109"/>
    </row>
    <row r="1795" spans="1:45" ht="12.6" customHeight="1" x14ac:dyDescent="0.3">
      <c r="A1795" s="78"/>
      <c r="B1795" s="78"/>
      <c r="C1795" s="78"/>
      <c r="D1795" s="78"/>
      <c r="E1795" s="78"/>
      <c r="F1795" s="78"/>
      <c r="G1795" s="16" t="s">
        <v>1317</v>
      </c>
      <c r="Z1795" s="109"/>
      <c r="AA1795" s="109"/>
      <c r="AB1795" s="109"/>
      <c r="AC1795" s="109"/>
      <c r="AD1795" s="109"/>
      <c r="AE1795" s="109"/>
      <c r="AF1795" s="109"/>
      <c r="AG1795" s="109"/>
      <c r="AH1795" s="109"/>
      <c r="AI1795" s="109"/>
      <c r="AJ1795" s="109"/>
      <c r="AK1795" s="109"/>
      <c r="AL1795" s="109"/>
      <c r="AM1795" s="109"/>
      <c r="AN1795" s="109"/>
      <c r="AO1795" s="109"/>
      <c r="AP1795" s="109"/>
      <c r="AQ1795" s="109"/>
      <c r="AR1795" s="109"/>
      <c r="AS1795" s="109"/>
    </row>
    <row r="1796" spans="1:45" ht="12.6" customHeight="1" x14ac:dyDescent="0.3">
      <c r="A1796" s="68"/>
      <c r="B1796" s="97" t="str">
        <f>" 운반거리:   L = "&amp;Z1796&amp;" m "</f>
        <v xml:space="preserve"> 운반거리:   L = 0.064 m </v>
      </c>
      <c r="C1796" s="78"/>
      <c r="D1796" s="78"/>
      <c r="E1796" s="78"/>
      <c r="F1796" s="78"/>
      <c r="G1796" s="16" t="s">
        <v>1908</v>
      </c>
      <c r="Z1796" s="110">
        <v>6.4000000000000001E-2</v>
      </c>
      <c r="AA1796" s="20" t="s">
        <v>1326</v>
      </c>
      <c r="AB1796" s="112">
        <f>Z1796</f>
        <v>6.4000000000000001E-2</v>
      </c>
      <c r="AC1796" s="109"/>
      <c r="AD1796" s="109"/>
      <c r="AE1796" s="109"/>
      <c r="AF1796" s="109"/>
      <c r="AG1796" s="109"/>
      <c r="AH1796" s="109"/>
      <c r="AI1796" s="109"/>
      <c r="AJ1796" s="109"/>
      <c r="AK1796" s="109"/>
      <c r="AL1796" s="109"/>
      <c r="AM1796" s="109"/>
      <c r="AN1796" s="109"/>
      <c r="AO1796" s="109"/>
      <c r="AP1796" s="109"/>
      <c r="AQ1796" s="109"/>
      <c r="AR1796" s="109"/>
      <c r="AS1796" s="109"/>
    </row>
    <row r="1797" spans="1:45" ht="12.6" customHeight="1" x14ac:dyDescent="0.3">
      <c r="A1797" s="78"/>
      <c r="B1797" s="78"/>
      <c r="C1797" s="78"/>
      <c r="D1797" s="78"/>
      <c r="E1797" s="78"/>
      <c r="F1797" s="78"/>
      <c r="G1797" s="16" t="s">
        <v>1317</v>
      </c>
      <c r="Z1797" s="109"/>
      <c r="AA1797" s="109"/>
      <c r="AB1797" s="109"/>
      <c r="AC1797" s="109"/>
      <c r="AD1797" s="109"/>
      <c r="AE1797" s="109"/>
      <c r="AF1797" s="109"/>
      <c r="AG1797" s="109"/>
      <c r="AH1797" s="109"/>
      <c r="AI1797" s="109"/>
      <c r="AJ1797" s="109"/>
      <c r="AK1797" s="109"/>
      <c r="AL1797" s="109"/>
      <c r="AM1797" s="109"/>
      <c r="AN1797" s="109"/>
      <c r="AO1797" s="109"/>
      <c r="AP1797" s="109"/>
      <c r="AQ1797" s="109"/>
      <c r="AR1797" s="109"/>
      <c r="AS1797" s="109"/>
    </row>
    <row r="1798" spans="1:45" ht="12.6" customHeight="1" x14ac:dyDescent="0.3">
      <c r="A1798" s="68"/>
      <c r="B1798" s="77" t="s">
        <v>1910</v>
      </c>
      <c r="C1798" s="78"/>
      <c r="D1798" s="78"/>
      <c r="E1798" s="78"/>
      <c r="F1798" s="78"/>
      <c r="G1798" s="16" t="s">
        <v>1909</v>
      </c>
      <c r="Z1798" s="109"/>
      <c r="AA1798" s="109"/>
      <c r="AB1798" s="109"/>
      <c r="AC1798" s="109"/>
      <c r="AD1798" s="109"/>
      <c r="AE1798" s="109"/>
      <c r="AF1798" s="109"/>
      <c r="AG1798" s="109"/>
      <c r="AH1798" s="109"/>
      <c r="AI1798" s="109"/>
      <c r="AJ1798" s="109"/>
      <c r="AK1798" s="109"/>
      <c r="AL1798" s="109"/>
      <c r="AM1798" s="109"/>
      <c r="AN1798" s="109"/>
      <c r="AO1798" s="109"/>
      <c r="AP1798" s="109"/>
      <c r="AQ1798" s="109"/>
      <c r="AR1798" s="109"/>
      <c r="AS1798" s="109"/>
    </row>
    <row r="1799" spans="1:45" ht="12.6" customHeight="1" x14ac:dyDescent="0.3">
      <c r="A1799" s="78"/>
      <c r="B1799" s="78"/>
      <c r="C1799" s="78"/>
      <c r="D1799" s="78"/>
      <c r="E1799" s="78"/>
      <c r="F1799" s="78"/>
      <c r="G1799" s="16" t="s">
        <v>1317</v>
      </c>
      <c r="Z1799" s="109"/>
      <c r="AA1799" s="109"/>
      <c r="AB1799" s="109"/>
      <c r="AC1799" s="109"/>
      <c r="AD1799" s="109"/>
      <c r="AE1799" s="109"/>
      <c r="AF1799" s="109"/>
      <c r="AG1799" s="109"/>
      <c r="AH1799" s="109"/>
      <c r="AI1799" s="109"/>
      <c r="AJ1799" s="109"/>
      <c r="AK1799" s="109"/>
      <c r="AL1799" s="109"/>
      <c r="AM1799" s="109"/>
      <c r="AN1799" s="109"/>
      <c r="AO1799" s="109"/>
      <c r="AP1799" s="109"/>
      <c r="AQ1799" s="109"/>
      <c r="AR1799" s="109"/>
      <c r="AS1799" s="109"/>
    </row>
    <row r="1800" spans="1:45" ht="12.6" customHeight="1" x14ac:dyDescent="0.3">
      <c r="A1800" s="68"/>
      <c r="B1800" s="97" t="str">
        <f>"q (버킷용량) = "&amp;Z1800&amp;" , k (버킷계수) = "&amp;AD1800&amp;" , E (작업효율) = "&amp;AH1800&amp;""</f>
        <v>q (버킷용량) = 0.7 , k (버킷계수) = 0.55 , E (작업효율) = 0.45</v>
      </c>
      <c r="C1800" s="78"/>
      <c r="D1800" s="78"/>
      <c r="E1800" s="78"/>
      <c r="F1800" s="78"/>
      <c r="G1800" s="16" t="s">
        <v>1940</v>
      </c>
      <c r="Z1800" s="110">
        <v>0.7</v>
      </c>
      <c r="AA1800" s="20" t="s">
        <v>1326</v>
      </c>
      <c r="AB1800" s="112">
        <f>Z1800</f>
        <v>0.7</v>
      </c>
      <c r="AC1800" s="20" t="s">
        <v>1385</v>
      </c>
      <c r="AD1800" s="110">
        <v>0.55000000000000004</v>
      </c>
      <c r="AE1800" s="20" t="s">
        <v>1326</v>
      </c>
      <c r="AF1800" s="112">
        <f>AD1800</f>
        <v>0.55000000000000004</v>
      </c>
      <c r="AG1800" s="20" t="s">
        <v>1385</v>
      </c>
      <c r="AH1800" s="110">
        <v>0.45</v>
      </c>
      <c r="AI1800" s="20" t="s">
        <v>1326</v>
      </c>
      <c r="AJ1800" s="112">
        <f>AH1800</f>
        <v>0.45</v>
      </c>
      <c r="AK1800" s="20" t="s">
        <v>1385</v>
      </c>
      <c r="AL1800" s="109"/>
      <c r="AM1800" s="109"/>
      <c r="AN1800" s="109"/>
      <c r="AO1800" s="109"/>
      <c r="AP1800" s="109"/>
      <c r="AQ1800" s="109"/>
      <c r="AR1800" s="109"/>
      <c r="AS1800" s="109"/>
    </row>
    <row r="1801" spans="1:45" ht="12.6" customHeight="1" x14ac:dyDescent="0.3">
      <c r="A1801" s="78"/>
      <c r="B1801" s="78"/>
      <c r="C1801" s="78"/>
      <c r="D1801" s="78"/>
      <c r="E1801" s="78"/>
      <c r="F1801" s="78"/>
      <c r="G1801" s="16" t="s">
        <v>1317</v>
      </c>
      <c r="Z1801" s="109"/>
      <c r="AA1801" s="109"/>
      <c r="AB1801" s="109"/>
      <c r="AC1801" s="109"/>
      <c r="AD1801" s="109"/>
      <c r="AE1801" s="109"/>
      <c r="AF1801" s="109"/>
      <c r="AG1801" s="109"/>
      <c r="AH1801" s="109"/>
      <c r="AI1801" s="109"/>
      <c r="AJ1801" s="109"/>
      <c r="AK1801" s="109"/>
      <c r="AL1801" s="109"/>
      <c r="AM1801" s="109"/>
      <c r="AN1801" s="109"/>
      <c r="AO1801" s="109"/>
      <c r="AP1801" s="109"/>
      <c r="AQ1801" s="109"/>
      <c r="AR1801" s="109"/>
      <c r="AS1801" s="109"/>
    </row>
    <row r="1802" spans="1:45" ht="12.6" customHeight="1" x14ac:dyDescent="0.3">
      <c r="A1802" s="68"/>
      <c r="B1802" s="97" t="str">
        <f>"f (체적환산계수) = "&amp;Z1802&amp;"/"&amp;AB1802&amp;" = "&amp;AD1802&amp;""</f>
        <v>f (체적환산계수) = 1.15/1.4 = 0.82</v>
      </c>
      <c r="C1802" s="78"/>
      <c r="D1802" s="78"/>
      <c r="E1802" s="78"/>
      <c r="F1802" s="78"/>
      <c r="G1802" s="16" t="s">
        <v>1941</v>
      </c>
      <c r="Z1802" s="110">
        <v>1.1499999999999999</v>
      </c>
      <c r="AA1802" s="20" t="s">
        <v>1387</v>
      </c>
      <c r="AB1802" s="110">
        <v>1.4</v>
      </c>
      <c r="AC1802" s="20" t="s">
        <v>1326</v>
      </c>
      <c r="AD1802" s="112" t="str">
        <f>TEXT(ROUND(Z1802/AB1802,2),"0.00")</f>
        <v>0.82</v>
      </c>
      <c r="AE1802" s="109"/>
      <c r="AF1802" s="109"/>
      <c r="AG1802" s="109"/>
      <c r="AH1802" s="109"/>
      <c r="AI1802" s="109"/>
      <c r="AJ1802" s="109"/>
      <c r="AK1802" s="109"/>
      <c r="AL1802" s="109"/>
      <c r="AM1802" s="109"/>
      <c r="AN1802" s="109"/>
      <c r="AO1802" s="109"/>
      <c r="AP1802" s="109"/>
      <c r="AQ1802" s="109"/>
      <c r="AR1802" s="109"/>
      <c r="AS1802" s="109"/>
    </row>
    <row r="1803" spans="1:45" ht="12.6" customHeight="1" x14ac:dyDescent="0.3">
      <c r="A1803" s="78"/>
      <c r="B1803" s="78"/>
      <c r="C1803" s="78"/>
      <c r="D1803" s="78"/>
      <c r="E1803" s="78"/>
      <c r="F1803" s="78"/>
      <c r="G1803" s="16" t="s">
        <v>1317</v>
      </c>
      <c r="Z1803" s="109"/>
      <c r="AA1803" s="109"/>
      <c r="AB1803" s="109"/>
      <c r="AC1803" s="109"/>
      <c r="AD1803" s="109"/>
      <c r="AE1803" s="109"/>
      <c r="AF1803" s="109"/>
      <c r="AG1803" s="109"/>
      <c r="AH1803" s="109"/>
      <c r="AI1803" s="109"/>
      <c r="AJ1803" s="109"/>
      <c r="AK1803" s="109"/>
      <c r="AL1803" s="109"/>
      <c r="AM1803" s="109"/>
      <c r="AN1803" s="109"/>
      <c r="AO1803" s="109"/>
      <c r="AP1803" s="109"/>
      <c r="AQ1803" s="109"/>
      <c r="AR1803" s="109"/>
      <c r="AS1803" s="109"/>
    </row>
    <row r="1804" spans="1:45" ht="12.6" customHeight="1" x14ac:dyDescent="0.3">
      <c r="A1804" s="68"/>
      <c r="B1804" s="97" t="str">
        <f>"Cm (1회 사이클 시간(초)) = "&amp;Z1804&amp;"  sec(135) "</f>
        <v xml:space="preserve">Cm (1회 사이클 시간(초)) = 20  sec(135) </v>
      </c>
      <c r="C1804" s="78"/>
      <c r="D1804" s="78"/>
      <c r="E1804" s="78"/>
      <c r="F1804" s="78"/>
      <c r="G1804" s="16" t="s">
        <v>1942</v>
      </c>
      <c r="Z1804" s="111">
        <v>20</v>
      </c>
      <c r="AA1804" s="20" t="s">
        <v>1326</v>
      </c>
      <c r="AB1804" s="112">
        <f>Z1804</f>
        <v>20</v>
      </c>
      <c r="AC1804" s="109"/>
      <c r="AD1804" s="109"/>
      <c r="AE1804" s="109"/>
      <c r="AF1804" s="109"/>
      <c r="AG1804" s="109"/>
      <c r="AH1804" s="109"/>
      <c r="AI1804" s="109"/>
      <c r="AJ1804" s="109"/>
      <c r="AK1804" s="109"/>
      <c r="AL1804" s="109"/>
      <c r="AM1804" s="109"/>
      <c r="AN1804" s="109"/>
      <c r="AO1804" s="109"/>
      <c r="AP1804" s="109"/>
      <c r="AQ1804" s="109"/>
      <c r="AR1804" s="109"/>
      <c r="AS1804" s="109"/>
    </row>
    <row r="1805" spans="1:45" ht="12.6" customHeight="1" x14ac:dyDescent="0.3">
      <c r="A1805" s="78"/>
      <c r="B1805" s="78"/>
      <c r="C1805" s="78"/>
      <c r="D1805" s="78"/>
      <c r="E1805" s="78"/>
      <c r="F1805" s="78"/>
      <c r="G1805" s="16" t="s">
        <v>1317</v>
      </c>
      <c r="Z1805" s="109"/>
      <c r="AA1805" s="109"/>
      <c r="AB1805" s="109"/>
      <c r="AC1805" s="109"/>
      <c r="AD1805" s="109"/>
      <c r="AE1805" s="109"/>
      <c r="AF1805" s="109"/>
      <c r="AG1805" s="109"/>
      <c r="AH1805" s="109"/>
      <c r="AI1805" s="109"/>
      <c r="AJ1805" s="109"/>
      <c r="AK1805" s="109"/>
      <c r="AL1805" s="109"/>
      <c r="AM1805" s="109"/>
      <c r="AN1805" s="109"/>
      <c r="AO1805" s="109"/>
      <c r="AP1805" s="109"/>
      <c r="AQ1805" s="109"/>
      <c r="AR1805" s="109"/>
      <c r="AS1805" s="109"/>
    </row>
    <row r="1806" spans="1:45" ht="12.6" customHeight="1" x14ac:dyDescent="0.3">
      <c r="A1806" s="68"/>
      <c r="B1806" s="97" t="str">
        <f>"Q (시간당 작업량) = "&amp;Z1806&amp;"*q*k*E*f/Cm = "&amp;AL1806&amp;" m3/hr "</f>
        <v xml:space="preserve">Q (시간당 작업량) = 3600*q*k*E*f/Cm = 25.57 m3/hr </v>
      </c>
      <c r="C1806" s="78"/>
      <c r="D1806" s="78"/>
      <c r="E1806" s="78"/>
      <c r="F1806" s="78"/>
      <c r="G1806" s="16" t="s">
        <v>1936</v>
      </c>
      <c r="Z1806" s="111">
        <v>3600</v>
      </c>
      <c r="AA1806" s="20" t="s">
        <v>1390</v>
      </c>
      <c r="AB1806" s="112">
        <f>AB1800</f>
        <v>0.7</v>
      </c>
      <c r="AC1806" s="20" t="s">
        <v>1390</v>
      </c>
      <c r="AD1806" s="112">
        <f>AF1800</f>
        <v>0.55000000000000004</v>
      </c>
      <c r="AE1806" s="20" t="s">
        <v>1390</v>
      </c>
      <c r="AF1806" s="112">
        <f>AJ1800</f>
        <v>0.45</v>
      </c>
      <c r="AG1806" s="20" t="s">
        <v>1390</v>
      </c>
      <c r="AH1806" s="112" t="str">
        <f>AD1802</f>
        <v>0.82</v>
      </c>
      <c r="AI1806" s="20" t="s">
        <v>1387</v>
      </c>
      <c r="AJ1806" s="112">
        <f>AB1804</f>
        <v>20</v>
      </c>
      <c r="AK1806" s="20" t="s">
        <v>1326</v>
      </c>
      <c r="AL1806" s="112" t="str">
        <f>TEXT(ROUND(Z1806*AB1800*AF1800*AJ1800*AD1802/AB1804,2),"0.00")</f>
        <v>25.57</v>
      </c>
      <c r="AM1806" s="109"/>
      <c r="AN1806" s="109"/>
      <c r="AO1806" s="109"/>
      <c r="AP1806" s="109"/>
      <c r="AQ1806" s="109"/>
      <c r="AR1806" s="109"/>
      <c r="AS1806" s="109"/>
    </row>
    <row r="1807" spans="1:45" ht="12.6" customHeight="1" x14ac:dyDescent="0.3">
      <c r="A1807" s="78"/>
      <c r="B1807" s="78"/>
      <c r="C1807" s="78"/>
      <c r="D1807" s="78"/>
      <c r="E1807" s="78"/>
      <c r="F1807" s="78"/>
      <c r="G1807" s="16" t="s">
        <v>1317</v>
      </c>
      <c r="Z1807" s="109"/>
      <c r="AA1807" s="109"/>
      <c r="AB1807" s="109"/>
      <c r="AC1807" s="109"/>
      <c r="AD1807" s="109"/>
      <c r="AE1807" s="109"/>
      <c r="AF1807" s="109"/>
      <c r="AG1807" s="109"/>
      <c r="AH1807" s="109"/>
      <c r="AI1807" s="109"/>
      <c r="AJ1807" s="109"/>
      <c r="AK1807" s="109"/>
      <c r="AL1807" s="109"/>
      <c r="AM1807" s="109"/>
      <c r="AN1807" s="109"/>
      <c r="AO1807" s="109"/>
      <c r="AP1807" s="109"/>
      <c r="AQ1807" s="109"/>
      <c r="AR1807" s="109"/>
      <c r="AS1807" s="109"/>
    </row>
    <row r="1808" spans="1:45" ht="12.6" customHeight="1" x14ac:dyDescent="0.3">
      <c r="A1808" s="68" t="s">
        <v>1441</v>
      </c>
      <c r="B1808" s="97" t="str">
        <f>" 노 무 비  :  "&amp;TEXT(I1808,"#,##0"&amp;IF(I1808&lt;&gt;INT(I1808),".###",""))&amp;" / Q  = "&amp;TEXT(C1808,"#,##0.0")&amp;""</f>
        <v xml:space="preserve"> 노 무 비  :  55,700 / Q  = 2,178.3</v>
      </c>
      <c r="C1808" s="99">
        <f>E1808+D1808+F1808</f>
        <v>2178.3000000000002</v>
      </c>
      <c r="D1808" s="99">
        <f>IF(H1808=0,0,ROUNDDOWN(J1808*H1808,1))</f>
        <v>2178.3000000000002</v>
      </c>
      <c r="E1808" s="99">
        <f>IF(H1808=0,0,ROUNDDOWN(K1808*H1808,1))</f>
        <v>0</v>
      </c>
      <c r="F1808" s="99">
        <f>IF(H1808=0,0,ROUNDDOWN(L1808*H1808,1))</f>
        <v>0</v>
      </c>
      <c r="G1808" s="16" t="s">
        <v>1943</v>
      </c>
      <c r="H1808" s="105">
        <f>AC1808</f>
        <v>3.9108330074305829E-2</v>
      </c>
      <c r="I1808" s="106">
        <f>K1808+J1808+L1808</f>
        <v>55700</v>
      </c>
      <c r="J1808" s="39">
        <f>중기목록표!F9</f>
        <v>55700</v>
      </c>
      <c r="M1808" s="20" t="s">
        <v>1442</v>
      </c>
      <c r="N1808" s="20" t="s">
        <v>1332</v>
      </c>
      <c r="X1808" s="108" t="str">
        <f>중기목록표!B9&amp;" / "&amp;중기목록표!C9</f>
        <v>굴삭기(0.7m3) / 0.7㎥,(암석)</v>
      </c>
      <c r="Y1808" s="19" t="str">
        <f ca="1">HYPERLINK("#"&amp;중기목록표!J2&amp;"!A"&amp;ROW(중기목록표!A9),"중기    6 →")</f>
        <v>중기    6 →</v>
      </c>
      <c r="Z1808" s="20" t="s">
        <v>1393</v>
      </c>
      <c r="AA1808" s="112" t="str">
        <f>AL1806</f>
        <v>25.57</v>
      </c>
      <c r="AB1808" s="20" t="s">
        <v>1326</v>
      </c>
      <c r="AC1808" s="113">
        <f>1/AL1806</f>
        <v>3.9108330074305829E-2</v>
      </c>
      <c r="AD1808" s="109"/>
      <c r="AE1808" s="109"/>
      <c r="AF1808" s="109"/>
      <c r="AG1808" s="109"/>
      <c r="AH1808" s="109"/>
      <c r="AI1808" s="109"/>
      <c r="AJ1808" s="109"/>
      <c r="AK1808" s="109"/>
      <c r="AL1808" s="109"/>
      <c r="AM1808" s="109"/>
      <c r="AN1808" s="109"/>
      <c r="AO1808" s="109"/>
      <c r="AP1808" s="109"/>
      <c r="AQ1808" s="109"/>
      <c r="AR1808" s="109"/>
      <c r="AS1808" s="109"/>
    </row>
    <row r="1809" spans="1:45" ht="12.6" customHeight="1" x14ac:dyDescent="0.3">
      <c r="A1809" s="78"/>
      <c r="B1809" s="78"/>
      <c r="C1809" s="78"/>
      <c r="D1809" s="78"/>
      <c r="E1809" s="78"/>
      <c r="F1809" s="78"/>
      <c r="G1809" s="16" t="s">
        <v>1317</v>
      </c>
      <c r="Z1809" s="109"/>
      <c r="AA1809" s="109"/>
      <c r="AB1809" s="109"/>
      <c r="AC1809" s="109"/>
      <c r="AD1809" s="109"/>
      <c r="AE1809" s="109"/>
      <c r="AF1809" s="109"/>
      <c r="AG1809" s="109"/>
      <c r="AH1809" s="109"/>
      <c r="AI1809" s="109"/>
      <c r="AJ1809" s="109"/>
      <c r="AK1809" s="109"/>
      <c r="AL1809" s="109"/>
      <c r="AM1809" s="109"/>
      <c r="AN1809" s="109"/>
      <c r="AO1809" s="109"/>
      <c r="AP1809" s="109"/>
      <c r="AQ1809" s="109"/>
      <c r="AR1809" s="109"/>
      <c r="AS1809" s="109"/>
    </row>
    <row r="1810" spans="1:45" ht="12.6" customHeight="1" x14ac:dyDescent="0.3">
      <c r="A1810" s="68" t="s">
        <v>1444</v>
      </c>
      <c r="B1810" s="97" t="str">
        <f>" 재 료 비  :  "&amp;TEXT(I1810,"#,##0"&amp;IF(I1810&lt;&gt;INT(I1810),".###",""))&amp;" / Q  = "&amp;TEXT(C1810,"#,##0.0")&amp;""</f>
        <v xml:space="preserve"> 재 료 비  :  18,001 / Q  = 703.9</v>
      </c>
      <c r="C1810" s="99">
        <f>E1810+D1810+F1810</f>
        <v>703.9</v>
      </c>
      <c r="D1810" s="99">
        <f>IF(H1810=0,0,ROUNDDOWN(J1810*H1810,1))</f>
        <v>0</v>
      </c>
      <c r="E1810" s="99">
        <f>IF(H1810=0,0,ROUNDDOWN(K1810*H1810,1))</f>
        <v>703.9</v>
      </c>
      <c r="F1810" s="99">
        <f>IF(H1810=0,0,ROUNDDOWN(L1810*H1810,1))</f>
        <v>0</v>
      </c>
      <c r="G1810" s="16" t="s">
        <v>1944</v>
      </c>
      <c r="H1810" s="105">
        <f>AC1810</f>
        <v>3.9108330074305829E-2</v>
      </c>
      <c r="I1810" s="106">
        <f>K1810+J1810+L1810</f>
        <v>18001</v>
      </c>
      <c r="K1810" s="39">
        <f>중기목록표!G9</f>
        <v>18001</v>
      </c>
      <c r="M1810" s="20" t="s">
        <v>1442</v>
      </c>
      <c r="N1810" s="20" t="s">
        <v>1332</v>
      </c>
      <c r="X1810" s="108" t="str">
        <f>중기목록표!B9&amp;" / "&amp;중기목록표!C9</f>
        <v>굴삭기(0.7m3) / 0.7㎥,(암석)</v>
      </c>
      <c r="Y1810" s="19" t="str">
        <f ca="1">HYPERLINK("#"&amp;중기목록표!J2&amp;"!A"&amp;ROW(중기목록표!A9),"중기    6 →")</f>
        <v>중기    6 →</v>
      </c>
      <c r="Z1810" s="20" t="s">
        <v>1393</v>
      </c>
      <c r="AA1810" s="112" t="str">
        <f>AL1806</f>
        <v>25.57</v>
      </c>
      <c r="AB1810" s="20" t="s">
        <v>1326</v>
      </c>
      <c r="AC1810" s="113">
        <f>1/AL1806</f>
        <v>3.9108330074305829E-2</v>
      </c>
      <c r="AD1810" s="109"/>
      <c r="AE1810" s="109"/>
      <c r="AF1810" s="109"/>
      <c r="AG1810" s="109"/>
      <c r="AH1810" s="109"/>
      <c r="AI1810" s="109"/>
      <c r="AJ1810" s="109"/>
      <c r="AK1810" s="109"/>
      <c r="AL1810" s="109"/>
      <c r="AM1810" s="109"/>
      <c r="AN1810" s="109"/>
      <c r="AO1810" s="109"/>
      <c r="AP1810" s="109"/>
      <c r="AQ1810" s="109"/>
      <c r="AR1810" s="109"/>
      <c r="AS1810" s="109"/>
    </row>
    <row r="1811" spans="1:45" ht="12.6" customHeight="1" x14ac:dyDescent="0.3">
      <c r="A1811" s="78"/>
      <c r="B1811" s="78"/>
      <c r="C1811" s="78"/>
      <c r="D1811" s="78"/>
      <c r="E1811" s="78"/>
      <c r="F1811" s="78"/>
      <c r="G1811" s="16" t="s">
        <v>1317</v>
      </c>
      <c r="Z1811" s="109"/>
      <c r="AA1811" s="109"/>
      <c r="AB1811" s="109"/>
      <c r="AC1811" s="109"/>
      <c r="AD1811" s="109"/>
      <c r="AE1811" s="109"/>
      <c r="AF1811" s="109"/>
      <c r="AG1811" s="109"/>
      <c r="AH1811" s="109"/>
      <c r="AI1811" s="109"/>
      <c r="AJ1811" s="109"/>
      <c r="AK1811" s="109"/>
      <c r="AL1811" s="109"/>
      <c r="AM1811" s="109"/>
      <c r="AN1811" s="109"/>
      <c r="AO1811" s="109"/>
      <c r="AP1811" s="109"/>
      <c r="AQ1811" s="109"/>
      <c r="AR1811" s="109"/>
      <c r="AS1811" s="109"/>
    </row>
    <row r="1812" spans="1:45" ht="12.6" customHeight="1" x14ac:dyDescent="0.3">
      <c r="A1812" s="68" t="s">
        <v>1446</v>
      </c>
      <c r="B1812" s="97" t="str">
        <f>" 경    비  :  "&amp;TEXT(I1812,"#,##0"&amp;IF(I1812&lt;&gt;INT(I1812),".###",""))&amp;" / Q  = "&amp;TEXT(C1812,"#,##0.0")&amp;""</f>
        <v xml:space="preserve"> 경    비  :  26,677 / Q  = 1,043.2</v>
      </c>
      <c r="C1812" s="99">
        <f>E1812+D1812+F1812</f>
        <v>1043.2</v>
      </c>
      <c r="D1812" s="99">
        <f>IF(H1812=0,0,ROUNDDOWN(J1812*H1812,1))</f>
        <v>0</v>
      </c>
      <c r="E1812" s="99">
        <f>IF(H1812=0,0,ROUNDDOWN(K1812*H1812,1))</f>
        <v>0</v>
      </c>
      <c r="F1812" s="99">
        <f>IF(H1812=0,0,ROUNDDOWN(L1812*H1812,1))</f>
        <v>1043.2</v>
      </c>
      <c r="G1812" s="16" t="s">
        <v>1945</v>
      </c>
      <c r="H1812" s="105">
        <f>AC1812</f>
        <v>3.9108330074305829E-2</v>
      </c>
      <c r="I1812" s="106">
        <f>K1812+J1812+L1812</f>
        <v>26677</v>
      </c>
      <c r="L1812" s="39">
        <f>중기목록표!H9</f>
        <v>26677</v>
      </c>
      <c r="M1812" s="20" t="s">
        <v>1442</v>
      </c>
      <c r="N1812" s="20" t="s">
        <v>1332</v>
      </c>
      <c r="X1812" s="108" t="str">
        <f>중기목록표!B9&amp;" / "&amp;중기목록표!C9</f>
        <v>굴삭기(0.7m3) / 0.7㎥,(암석)</v>
      </c>
      <c r="Y1812" s="19" t="str">
        <f ca="1">HYPERLINK("#"&amp;중기목록표!J2&amp;"!A"&amp;ROW(중기목록표!A9),"중기    6 →")</f>
        <v>중기    6 →</v>
      </c>
      <c r="Z1812" s="20" t="s">
        <v>1393</v>
      </c>
      <c r="AA1812" s="112" t="str">
        <f>AL1806</f>
        <v>25.57</v>
      </c>
      <c r="AB1812" s="20" t="s">
        <v>1326</v>
      </c>
      <c r="AC1812" s="113">
        <f>1/AL1806</f>
        <v>3.9108330074305829E-2</v>
      </c>
      <c r="AD1812" s="109"/>
      <c r="AE1812" s="109"/>
      <c r="AF1812" s="109"/>
      <c r="AG1812" s="109"/>
      <c r="AH1812" s="109"/>
      <c r="AI1812" s="109"/>
      <c r="AJ1812" s="109"/>
      <c r="AK1812" s="109"/>
      <c r="AL1812" s="109"/>
      <c r="AM1812" s="109"/>
      <c r="AN1812" s="109"/>
      <c r="AO1812" s="109"/>
      <c r="AP1812" s="109"/>
      <c r="AQ1812" s="109"/>
      <c r="AR1812" s="109"/>
      <c r="AS1812" s="109"/>
    </row>
    <row r="1813" spans="1:45" ht="12.6" customHeight="1" x14ac:dyDescent="0.3">
      <c r="A1813" s="78"/>
      <c r="B1813" s="78"/>
      <c r="C1813" s="78"/>
      <c r="D1813" s="78"/>
      <c r="E1813" s="78"/>
      <c r="F1813" s="78"/>
      <c r="G1813" s="16" t="s">
        <v>1317</v>
      </c>
      <c r="Z1813" s="109"/>
      <c r="AA1813" s="109"/>
      <c r="AB1813" s="109"/>
      <c r="AC1813" s="109"/>
      <c r="AD1813" s="109"/>
      <c r="AE1813" s="109"/>
      <c r="AF1813" s="109"/>
      <c r="AG1813" s="109"/>
      <c r="AH1813" s="109"/>
      <c r="AI1813" s="109"/>
      <c r="AJ1813" s="109"/>
      <c r="AK1813" s="109"/>
      <c r="AL1813" s="109"/>
      <c r="AM1813" s="109"/>
      <c r="AN1813" s="109"/>
      <c r="AO1813" s="109"/>
      <c r="AP1813" s="109"/>
      <c r="AQ1813" s="109"/>
      <c r="AR1813" s="109"/>
      <c r="AS1813" s="109"/>
    </row>
    <row r="1814" spans="1:45" ht="12.6" customHeight="1" x14ac:dyDescent="0.3">
      <c r="A1814" s="68"/>
      <c r="B1814" s="77" t="s">
        <v>1331</v>
      </c>
      <c r="C1814" s="100">
        <f>E1814+D1814+F1814</f>
        <v>3925.4000000000005</v>
      </c>
      <c r="D1814" s="100">
        <f>SUMIF(N1792:N1813,M1814,D1792:D1813)</f>
        <v>2178.3000000000002</v>
      </c>
      <c r="E1814" s="100">
        <f>SUMIF(N1792:N1813,M1814,E1792:E1813)</f>
        <v>703.9</v>
      </c>
      <c r="F1814" s="100">
        <f>SUMIF(N1792:N1813,M1814,F1792:F1813)</f>
        <v>1043.2</v>
      </c>
      <c r="G1814" s="16" t="s">
        <v>1415</v>
      </c>
      <c r="M1814" s="20" t="s">
        <v>1332</v>
      </c>
      <c r="N1814" s="20" t="s">
        <v>1341</v>
      </c>
      <c r="Z1814" s="109"/>
      <c r="AA1814" s="109"/>
      <c r="AB1814" s="109"/>
      <c r="AC1814" s="109"/>
      <c r="AD1814" s="109"/>
      <c r="AE1814" s="109"/>
      <c r="AF1814" s="109"/>
      <c r="AG1814" s="109"/>
      <c r="AH1814" s="109"/>
      <c r="AI1814" s="109"/>
      <c r="AJ1814" s="109"/>
      <c r="AK1814" s="109"/>
      <c r="AL1814" s="109"/>
      <c r="AM1814" s="109"/>
      <c r="AN1814" s="109"/>
      <c r="AO1814" s="109"/>
      <c r="AP1814" s="109"/>
      <c r="AQ1814" s="109"/>
      <c r="AR1814" s="109"/>
      <c r="AS1814" s="109"/>
    </row>
    <row r="1815" spans="1:45" ht="12.6" customHeight="1" x14ac:dyDescent="0.3">
      <c r="A1815" s="78"/>
      <c r="B1815" s="78"/>
      <c r="C1815" s="98"/>
      <c r="D1815" s="98"/>
      <c r="E1815" s="98"/>
      <c r="F1815" s="98"/>
      <c r="G1815" s="16" t="s">
        <v>1317</v>
      </c>
      <c r="Z1815" s="109"/>
      <c r="AA1815" s="109"/>
      <c r="AB1815" s="109"/>
      <c r="AC1815" s="109"/>
      <c r="AD1815" s="109"/>
      <c r="AE1815" s="109"/>
      <c r="AF1815" s="109"/>
      <c r="AG1815" s="109"/>
      <c r="AH1815" s="109"/>
      <c r="AI1815" s="109"/>
      <c r="AJ1815" s="109"/>
      <c r="AK1815" s="109"/>
      <c r="AL1815" s="109"/>
      <c r="AM1815" s="109"/>
      <c r="AN1815" s="109"/>
      <c r="AO1815" s="109"/>
      <c r="AP1815" s="109"/>
      <c r="AQ1815" s="109"/>
      <c r="AR1815" s="109"/>
      <c r="AS1815" s="109"/>
    </row>
    <row r="1816" spans="1:45" ht="12.6" customHeight="1" x14ac:dyDescent="0.3">
      <c r="A1816" s="68"/>
      <c r="B1816" s="77" t="s">
        <v>1947</v>
      </c>
      <c r="C1816" s="78"/>
      <c r="D1816" s="78"/>
      <c r="E1816" s="78"/>
      <c r="F1816" s="78"/>
      <c r="G1816" s="16" t="s">
        <v>1946</v>
      </c>
      <c r="Z1816" s="109"/>
      <c r="AA1816" s="109"/>
      <c r="AB1816" s="109"/>
      <c r="AC1816" s="109"/>
      <c r="AD1816" s="109"/>
      <c r="AE1816" s="109"/>
      <c r="AF1816" s="109"/>
      <c r="AG1816" s="109"/>
      <c r="AH1816" s="109"/>
      <c r="AI1816" s="109"/>
      <c r="AJ1816" s="109"/>
      <c r="AK1816" s="109"/>
      <c r="AL1816" s="109"/>
      <c r="AM1816" s="109"/>
      <c r="AN1816" s="109"/>
      <c r="AO1816" s="109"/>
      <c r="AP1816" s="109"/>
      <c r="AQ1816" s="109"/>
      <c r="AR1816" s="109"/>
      <c r="AS1816" s="109"/>
    </row>
    <row r="1817" spans="1:45" ht="12.6" customHeight="1" x14ac:dyDescent="0.3">
      <c r="A1817" s="78"/>
      <c r="B1817" s="78"/>
      <c r="C1817" s="78"/>
      <c r="D1817" s="78"/>
      <c r="E1817" s="78"/>
      <c r="F1817" s="78"/>
      <c r="G1817" s="16" t="s">
        <v>1317</v>
      </c>
      <c r="Z1817" s="109"/>
      <c r="AA1817" s="109"/>
      <c r="AB1817" s="109"/>
      <c r="AC1817" s="109"/>
      <c r="AD1817" s="109"/>
      <c r="AE1817" s="109"/>
      <c r="AF1817" s="109"/>
      <c r="AG1817" s="109"/>
      <c r="AH1817" s="109"/>
      <c r="AI1817" s="109"/>
      <c r="AJ1817" s="109"/>
      <c r="AK1817" s="109"/>
      <c r="AL1817" s="109"/>
      <c r="AM1817" s="109"/>
      <c r="AN1817" s="109"/>
      <c r="AO1817" s="109"/>
      <c r="AP1817" s="109"/>
      <c r="AQ1817" s="109"/>
      <c r="AR1817" s="109"/>
      <c r="AS1817" s="109"/>
    </row>
    <row r="1818" spans="1:45" ht="12.6" customHeight="1" x14ac:dyDescent="0.3">
      <c r="A1818" s="68"/>
      <c r="B1818" s="77" t="s">
        <v>1949</v>
      </c>
      <c r="C1818" s="78"/>
      <c r="D1818" s="78"/>
      <c r="E1818" s="78"/>
      <c r="F1818" s="78"/>
      <c r="G1818" s="16" t="s">
        <v>1948</v>
      </c>
      <c r="Z1818" s="109"/>
      <c r="AA1818" s="109"/>
      <c r="AB1818" s="109"/>
      <c r="AC1818" s="109"/>
      <c r="AD1818" s="109"/>
      <c r="AE1818" s="109"/>
      <c r="AF1818" s="109"/>
      <c r="AG1818" s="109"/>
      <c r="AH1818" s="109"/>
      <c r="AI1818" s="109"/>
      <c r="AJ1818" s="109"/>
      <c r="AK1818" s="109"/>
      <c r="AL1818" s="109"/>
      <c r="AM1818" s="109"/>
      <c r="AN1818" s="109"/>
      <c r="AO1818" s="109"/>
      <c r="AP1818" s="109"/>
      <c r="AQ1818" s="109"/>
      <c r="AR1818" s="109"/>
      <c r="AS1818" s="109"/>
    </row>
    <row r="1819" spans="1:45" ht="12.6" customHeight="1" x14ac:dyDescent="0.3">
      <c r="A1819" s="78"/>
      <c r="B1819" s="78"/>
      <c r="C1819" s="78"/>
      <c r="D1819" s="78"/>
      <c r="E1819" s="78"/>
      <c r="F1819" s="78"/>
      <c r="G1819" s="16" t="s">
        <v>1317</v>
      </c>
      <c r="Z1819" s="109"/>
      <c r="AA1819" s="109"/>
      <c r="AB1819" s="109"/>
      <c r="AC1819" s="109"/>
      <c r="AD1819" s="109"/>
      <c r="AE1819" s="109"/>
      <c r="AF1819" s="109"/>
      <c r="AG1819" s="109"/>
      <c r="AH1819" s="109"/>
      <c r="AI1819" s="109"/>
      <c r="AJ1819" s="109"/>
      <c r="AK1819" s="109"/>
      <c r="AL1819" s="109"/>
      <c r="AM1819" s="109"/>
      <c r="AN1819" s="109"/>
      <c r="AO1819" s="109"/>
      <c r="AP1819" s="109"/>
      <c r="AQ1819" s="109"/>
      <c r="AR1819" s="109"/>
      <c r="AS1819" s="109"/>
    </row>
    <row r="1820" spans="1:45" ht="12.6" customHeight="1" x14ac:dyDescent="0.3">
      <c r="A1820" s="68"/>
      <c r="B1820" s="97" t="str">
        <f>" E (작업효율) = "&amp;Z1820&amp;""</f>
        <v xml:space="preserve"> E (작업효율) = 0.9</v>
      </c>
      <c r="C1820" s="78"/>
      <c r="D1820" s="78"/>
      <c r="E1820" s="78"/>
      <c r="F1820" s="78"/>
      <c r="G1820" s="16" t="s">
        <v>1950</v>
      </c>
      <c r="Z1820" s="110">
        <v>0.9</v>
      </c>
      <c r="AA1820" s="20" t="s">
        <v>1326</v>
      </c>
      <c r="AB1820" s="112">
        <f>Z1820</f>
        <v>0.9</v>
      </c>
      <c r="AC1820" s="109"/>
      <c r="AD1820" s="109"/>
      <c r="AE1820" s="109"/>
      <c r="AF1820" s="109"/>
      <c r="AG1820" s="109"/>
      <c r="AH1820" s="109"/>
      <c r="AI1820" s="109"/>
      <c r="AJ1820" s="109"/>
      <c r="AK1820" s="109"/>
      <c r="AL1820" s="109"/>
      <c r="AM1820" s="109"/>
      <c r="AN1820" s="109"/>
      <c r="AO1820" s="109"/>
      <c r="AP1820" s="109"/>
      <c r="AQ1820" s="109"/>
      <c r="AR1820" s="109"/>
      <c r="AS1820" s="109"/>
    </row>
    <row r="1821" spans="1:45" ht="12.6" customHeight="1" x14ac:dyDescent="0.3">
      <c r="A1821" s="78"/>
      <c r="B1821" s="78"/>
      <c r="C1821" s="78"/>
      <c r="D1821" s="78"/>
      <c r="E1821" s="78"/>
      <c r="F1821" s="78"/>
      <c r="G1821" s="16" t="s">
        <v>1317</v>
      </c>
      <c r="Z1821" s="109"/>
      <c r="AA1821" s="109"/>
      <c r="AB1821" s="109"/>
      <c r="AC1821" s="109"/>
      <c r="AD1821" s="109"/>
      <c r="AE1821" s="109"/>
      <c r="AF1821" s="109"/>
      <c r="AG1821" s="109"/>
      <c r="AH1821" s="109"/>
      <c r="AI1821" s="109"/>
      <c r="AJ1821" s="109"/>
      <c r="AK1821" s="109"/>
      <c r="AL1821" s="109"/>
      <c r="AM1821" s="109"/>
      <c r="AN1821" s="109"/>
      <c r="AO1821" s="109"/>
      <c r="AP1821" s="109"/>
      <c r="AQ1821" s="109"/>
      <c r="AR1821" s="109"/>
      <c r="AS1821" s="109"/>
    </row>
    <row r="1822" spans="1:45" ht="12.6" customHeight="1" x14ac:dyDescent="0.3">
      <c r="A1822" s="68"/>
      <c r="B1822" s="97" t="str">
        <f>" q1 (흐트러진상태의 덤프트럭 1회 적재량)  = ("&amp;AA1822&amp;"/"&amp;AC1822&amp;")*"&amp;AE1822&amp;"= "&amp;AG1822&amp;""</f>
        <v xml:space="preserve"> q1 (흐트러진상태의 덤프트럭 1회 적재량)  = (15/2)*1.625= 12.19</v>
      </c>
      <c r="C1822" s="78"/>
      <c r="D1822" s="78"/>
      <c r="E1822" s="78"/>
      <c r="F1822" s="78"/>
      <c r="G1822" s="16" t="s">
        <v>1951</v>
      </c>
      <c r="Z1822" s="20" t="s">
        <v>1526</v>
      </c>
      <c r="AA1822" s="111">
        <v>15</v>
      </c>
      <c r="AB1822" s="20" t="s">
        <v>1387</v>
      </c>
      <c r="AC1822" s="111">
        <v>2</v>
      </c>
      <c r="AD1822" s="20" t="s">
        <v>1527</v>
      </c>
      <c r="AE1822" s="110">
        <v>1.625</v>
      </c>
      <c r="AF1822" s="20" t="s">
        <v>1326</v>
      </c>
      <c r="AG1822" s="112" t="str">
        <f>TEXT(ROUND((AA1822/AC1822)*AE1822,2),"0.00")</f>
        <v>12.19</v>
      </c>
      <c r="AH1822" s="109"/>
      <c r="AI1822" s="109"/>
      <c r="AJ1822" s="109"/>
      <c r="AK1822" s="109"/>
      <c r="AL1822" s="109"/>
      <c r="AM1822" s="109"/>
      <c r="AN1822" s="109"/>
      <c r="AO1822" s="109"/>
      <c r="AP1822" s="109"/>
      <c r="AQ1822" s="109"/>
      <c r="AR1822" s="109"/>
      <c r="AS1822" s="109"/>
    </row>
    <row r="1823" spans="1:45" ht="12.6" customHeight="1" x14ac:dyDescent="0.3">
      <c r="A1823" s="78"/>
      <c r="B1823" s="78"/>
      <c r="C1823" s="78"/>
      <c r="D1823" s="78"/>
      <c r="E1823" s="78"/>
      <c r="F1823" s="78"/>
      <c r="G1823" s="16" t="s">
        <v>1317</v>
      </c>
      <c r="Z1823" s="109"/>
      <c r="AA1823" s="109"/>
      <c r="AB1823" s="109"/>
      <c r="AC1823" s="109"/>
      <c r="AD1823" s="109"/>
      <c r="AE1823" s="109"/>
      <c r="AF1823" s="109"/>
      <c r="AG1823" s="109"/>
      <c r="AH1823" s="109"/>
      <c r="AI1823" s="109"/>
      <c r="AJ1823" s="109"/>
      <c r="AK1823" s="109"/>
      <c r="AL1823" s="109"/>
      <c r="AM1823" s="109"/>
      <c r="AN1823" s="109"/>
      <c r="AO1823" s="109"/>
      <c r="AP1823" s="109"/>
      <c r="AQ1823" s="109"/>
      <c r="AR1823" s="109"/>
      <c r="AS1823" s="109"/>
    </row>
    <row r="1824" spans="1:45" ht="12.6" customHeight="1" x14ac:dyDescent="0.3">
      <c r="A1824" s="68"/>
      <c r="B1824" s="77" t="s">
        <v>1528</v>
      </c>
      <c r="C1824" s="78"/>
      <c r="D1824" s="78"/>
      <c r="E1824" s="78"/>
      <c r="F1824" s="78"/>
      <c r="G1824" s="16" t="s">
        <v>1803</v>
      </c>
      <c r="Z1824" s="109"/>
      <c r="AA1824" s="109"/>
      <c r="AB1824" s="109"/>
      <c r="AC1824" s="109"/>
      <c r="AD1824" s="109"/>
      <c r="AE1824" s="109"/>
      <c r="AF1824" s="109"/>
      <c r="AG1824" s="109"/>
      <c r="AH1824" s="109"/>
      <c r="AI1824" s="109"/>
      <c r="AJ1824" s="109"/>
      <c r="AK1824" s="109"/>
      <c r="AL1824" s="109"/>
      <c r="AM1824" s="109"/>
      <c r="AN1824" s="109"/>
      <c r="AO1824" s="109"/>
      <c r="AP1824" s="109"/>
      <c r="AQ1824" s="109"/>
      <c r="AR1824" s="109"/>
      <c r="AS1824" s="109"/>
    </row>
    <row r="1825" spans="1:45" ht="12.6" customHeight="1" x14ac:dyDescent="0.3">
      <c r="A1825" s="78"/>
      <c r="B1825" s="78"/>
      <c r="C1825" s="78"/>
      <c r="D1825" s="78"/>
      <c r="E1825" s="78"/>
      <c r="F1825" s="78"/>
      <c r="G1825" s="16" t="s">
        <v>1317</v>
      </c>
      <c r="Z1825" s="109"/>
      <c r="AA1825" s="109"/>
      <c r="AB1825" s="109"/>
      <c r="AC1825" s="109"/>
      <c r="AD1825" s="109"/>
      <c r="AE1825" s="109"/>
      <c r="AF1825" s="109"/>
      <c r="AG1825" s="109"/>
      <c r="AH1825" s="109"/>
      <c r="AI1825" s="109"/>
      <c r="AJ1825" s="109"/>
      <c r="AK1825" s="109"/>
      <c r="AL1825" s="109"/>
      <c r="AM1825" s="109"/>
      <c r="AN1825" s="109"/>
      <c r="AO1825" s="109"/>
      <c r="AP1825" s="109"/>
      <c r="AQ1825" s="109"/>
      <c r="AR1825" s="109"/>
      <c r="AS1825" s="109"/>
    </row>
    <row r="1826" spans="1:45" ht="12.6" customHeight="1" x14ac:dyDescent="0.3">
      <c r="A1826" s="68"/>
      <c r="B1826" s="97" t="str">
        <f>" n = q1 / ("&amp;AB1826&amp;" * k) = "&amp;AG1826&amp;" 회 "</f>
        <v xml:space="preserve"> n = q1 / (0.7 * k) = 31.66 회 </v>
      </c>
      <c r="C1826" s="78"/>
      <c r="D1826" s="78"/>
      <c r="E1826" s="78"/>
      <c r="F1826" s="78"/>
      <c r="G1826" s="16" t="s">
        <v>1952</v>
      </c>
      <c r="Z1826" s="112" t="str">
        <f>AG1822</f>
        <v>12.19</v>
      </c>
      <c r="AA1826" s="20" t="s">
        <v>1531</v>
      </c>
      <c r="AB1826" s="110">
        <v>0.7</v>
      </c>
      <c r="AC1826" s="20" t="s">
        <v>1390</v>
      </c>
      <c r="AD1826" s="112">
        <f>AF1800</f>
        <v>0.55000000000000004</v>
      </c>
      <c r="AE1826" s="20" t="s">
        <v>1532</v>
      </c>
      <c r="AF1826" s="20" t="s">
        <v>1326</v>
      </c>
      <c r="AG1826" s="112" t="str">
        <f>TEXT(ROUND(AG1822/(AB1826*AF1800),2),"0.00")</f>
        <v>31.66</v>
      </c>
      <c r="AH1826" s="109"/>
      <c r="AI1826" s="109"/>
      <c r="AJ1826" s="109"/>
      <c r="AK1826" s="109"/>
      <c r="AL1826" s="109"/>
      <c r="AM1826" s="109"/>
      <c r="AN1826" s="109"/>
      <c r="AO1826" s="109"/>
      <c r="AP1826" s="109"/>
      <c r="AQ1826" s="109"/>
      <c r="AR1826" s="109"/>
      <c r="AS1826" s="109"/>
    </row>
    <row r="1827" spans="1:45" ht="12.6" customHeight="1" x14ac:dyDescent="0.3">
      <c r="A1827" s="78"/>
      <c r="B1827" s="78"/>
      <c r="C1827" s="78"/>
      <c r="D1827" s="78"/>
      <c r="E1827" s="78"/>
      <c r="F1827" s="78"/>
      <c r="G1827" s="16" t="s">
        <v>1317</v>
      </c>
      <c r="Z1827" s="109"/>
      <c r="AA1827" s="109"/>
      <c r="AB1827" s="109"/>
      <c r="AC1827" s="109"/>
      <c r="AD1827" s="109"/>
      <c r="AE1827" s="109"/>
      <c r="AF1827" s="109"/>
      <c r="AG1827" s="109"/>
      <c r="AH1827" s="109"/>
      <c r="AI1827" s="109"/>
      <c r="AJ1827" s="109"/>
      <c r="AK1827" s="109"/>
      <c r="AL1827" s="109"/>
      <c r="AM1827" s="109"/>
      <c r="AN1827" s="109"/>
      <c r="AO1827" s="109"/>
      <c r="AP1827" s="109"/>
      <c r="AQ1827" s="109"/>
      <c r="AR1827" s="109"/>
      <c r="AS1827" s="109"/>
    </row>
    <row r="1828" spans="1:45" ht="12.6" customHeight="1" x14ac:dyDescent="0.3">
      <c r="A1828" s="68"/>
      <c r="B1828" s="97" t="str">
        <f>" t1 (적재시간) = "&amp;Z1828&amp;" * n / ("&amp;AD1828&amp;" * "&amp;AF1828&amp;") = "&amp;AI1828&amp;" 분 "</f>
        <v xml:space="preserve"> t1 (적재시간) = 20 * n / (60 * 0.45) = 23.45 분 </v>
      </c>
      <c r="C1828" s="78"/>
      <c r="D1828" s="78"/>
      <c r="E1828" s="78"/>
      <c r="F1828" s="78"/>
      <c r="G1828" s="16" t="s">
        <v>1953</v>
      </c>
      <c r="Z1828" s="111">
        <v>20</v>
      </c>
      <c r="AA1828" s="20" t="s">
        <v>1390</v>
      </c>
      <c r="AB1828" s="112" t="str">
        <f>AG1826</f>
        <v>31.66</v>
      </c>
      <c r="AC1828" s="20" t="s">
        <v>1531</v>
      </c>
      <c r="AD1828" s="111">
        <v>60</v>
      </c>
      <c r="AE1828" s="20" t="s">
        <v>1390</v>
      </c>
      <c r="AF1828" s="110">
        <v>0.45</v>
      </c>
      <c r="AG1828" s="20" t="s">
        <v>1532</v>
      </c>
      <c r="AH1828" s="20" t="s">
        <v>1326</v>
      </c>
      <c r="AI1828" s="112" t="str">
        <f>TEXT(ROUND(Z1828*AG1826/(AD1828*AF1828),2),"0.00")</f>
        <v>23.45</v>
      </c>
      <c r="AJ1828" s="109"/>
      <c r="AK1828" s="109"/>
      <c r="AL1828" s="109"/>
      <c r="AM1828" s="109"/>
      <c r="AN1828" s="109"/>
      <c r="AO1828" s="109"/>
      <c r="AP1828" s="109"/>
      <c r="AQ1828" s="109"/>
      <c r="AR1828" s="109"/>
      <c r="AS1828" s="109"/>
    </row>
    <row r="1829" spans="1:45" ht="12.6" customHeight="1" x14ac:dyDescent="0.3">
      <c r="A1829" s="78"/>
      <c r="B1829" s="78"/>
      <c r="C1829" s="78"/>
      <c r="D1829" s="78"/>
      <c r="E1829" s="78"/>
      <c r="F1829" s="78"/>
      <c r="G1829" s="16" t="s">
        <v>1317</v>
      </c>
      <c r="Z1829" s="109"/>
      <c r="AA1829" s="109"/>
      <c r="AB1829" s="109"/>
      <c r="AC1829" s="109"/>
      <c r="AD1829" s="109"/>
      <c r="AE1829" s="109"/>
      <c r="AF1829" s="109"/>
      <c r="AG1829" s="109"/>
      <c r="AH1829" s="109"/>
      <c r="AI1829" s="109"/>
      <c r="AJ1829" s="109"/>
      <c r="AK1829" s="109"/>
      <c r="AL1829" s="109"/>
      <c r="AM1829" s="109"/>
      <c r="AN1829" s="109"/>
      <c r="AO1829" s="109"/>
      <c r="AP1829" s="109"/>
      <c r="AQ1829" s="109"/>
      <c r="AR1829" s="109"/>
      <c r="AS1829" s="109"/>
    </row>
    <row r="1830" spans="1:45" ht="12.6" customHeight="1" x14ac:dyDescent="0.3">
      <c r="A1830" s="68"/>
      <c r="B1830" s="97" t="str">
        <f>" t2 (왕복시간) = (L/"&amp;AC1830&amp;"+L/"&amp;AG1830&amp;")* "&amp;AI1830&amp;" = "&amp;AK1830&amp;" 분 "</f>
        <v xml:space="preserve"> t2 (왕복시간) = (L/7+L/8)* 60 = 1.03 분 </v>
      </c>
      <c r="C1830" s="78"/>
      <c r="D1830" s="78"/>
      <c r="E1830" s="78"/>
      <c r="F1830" s="78"/>
      <c r="G1830" s="16" t="s">
        <v>1923</v>
      </c>
      <c r="Z1830" s="20" t="s">
        <v>1526</v>
      </c>
      <c r="AA1830" s="112">
        <f>AB1796</f>
        <v>6.4000000000000001E-2</v>
      </c>
      <c r="AB1830" s="20" t="s">
        <v>1387</v>
      </c>
      <c r="AC1830" s="111">
        <v>7</v>
      </c>
      <c r="AD1830" s="20" t="s">
        <v>1535</v>
      </c>
      <c r="AE1830" s="112">
        <f>AB1796</f>
        <v>6.4000000000000001E-2</v>
      </c>
      <c r="AF1830" s="20" t="s">
        <v>1387</v>
      </c>
      <c r="AG1830" s="111">
        <v>8</v>
      </c>
      <c r="AH1830" s="20" t="s">
        <v>1527</v>
      </c>
      <c r="AI1830" s="111">
        <v>60</v>
      </c>
      <c r="AJ1830" s="20" t="s">
        <v>1326</v>
      </c>
      <c r="AK1830" s="112" t="str">
        <f>TEXT(ROUND((AB1796/AC1830+AB1796/AG1830)*AI1830,2),"0.00")</f>
        <v>1.03</v>
      </c>
      <c r="AL1830" s="109"/>
      <c r="AM1830" s="109"/>
      <c r="AN1830" s="109"/>
      <c r="AO1830" s="109"/>
      <c r="AP1830" s="109"/>
      <c r="AQ1830" s="109"/>
      <c r="AR1830" s="109"/>
      <c r="AS1830" s="109"/>
    </row>
    <row r="1831" spans="1:45" ht="12.6" customHeight="1" x14ac:dyDescent="0.3">
      <c r="A1831" s="78"/>
      <c r="B1831" s="78"/>
      <c r="C1831" s="78"/>
      <c r="D1831" s="78"/>
      <c r="E1831" s="78"/>
      <c r="F1831" s="78"/>
      <c r="G1831" s="16" t="s">
        <v>1317</v>
      </c>
      <c r="Z1831" s="109"/>
      <c r="AA1831" s="109"/>
      <c r="AB1831" s="109"/>
      <c r="AC1831" s="109"/>
      <c r="AD1831" s="109"/>
      <c r="AE1831" s="109"/>
      <c r="AF1831" s="109"/>
      <c r="AG1831" s="109"/>
      <c r="AH1831" s="109"/>
      <c r="AI1831" s="109"/>
      <c r="AJ1831" s="109"/>
      <c r="AK1831" s="109"/>
      <c r="AL1831" s="109"/>
      <c r="AM1831" s="109"/>
      <c r="AN1831" s="109"/>
      <c r="AO1831" s="109"/>
      <c r="AP1831" s="109"/>
      <c r="AQ1831" s="109"/>
      <c r="AR1831" s="109"/>
      <c r="AS1831" s="109"/>
    </row>
    <row r="1832" spans="1:45" ht="12.6" customHeight="1" x14ac:dyDescent="0.3">
      <c r="A1832" s="68"/>
      <c r="B1832" s="97" t="str">
        <f>" t3 (적하시간) = "&amp;Z1832&amp;""</f>
        <v xml:space="preserve"> t3 (적하시간) = 1.1</v>
      </c>
      <c r="C1832" s="78"/>
      <c r="D1832" s="78"/>
      <c r="E1832" s="78"/>
      <c r="F1832" s="78"/>
      <c r="G1832" s="16" t="s">
        <v>1924</v>
      </c>
      <c r="Z1832" s="110">
        <v>1.1000000000000001</v>
      </c>
      <c r="AA1832" s="20" t="s">
        <v>1326</v>
      </c>
      <c r="AB1832" s="112">
        <f>Z1832</f>
        <v>1.1000000000000001</v>
      </c>
      <c r="AC1832" s="109"/>
      <c r="AD1832" s="109"/>
      <c r="AE1832" s="109"/>
      <c r="AF1832" s="109"/>
      <c r="AG1832" s="109"/>
      <c r="AH1832" s="109"/>
      <c r="AI1832" s="109"/>
      <c r="AJ1832" s="109"/>
      <c r="AK1832" s="109"/>
      <c r="AL1832" s="109"/>
      <c r="AM1832" s="109"/>
      <c r="AN1832" s="109"/>
      <c r="AO1832" s="109"/>
      <c r="AP1832" s="109"/>
      <c r="AQ1832" s="109"/>
      <c r="AR1832" s="109"/>
      <c r="AS1832" s="109"/>
    </row>
    <row r="1833" spans="1:45" ht="12.6" customHeight="1" x14ac:dyDescent="0.3">
      <c r="A1833" s="78"/>
      <c r="B1833" s="78"/>
      <c r="C1833" s="78"/>
      <c r="D1833" s="78"/>
      <c r="E1833" s="78"/>
      <c r="F1833" s="78"/>
      <c r="G1833" s="16" t="s">
        <v>1317</v>
      </c>
      <c r="Z1833" s="109"/>
      <c r="AA1833" s="109"/>
      <c r="AB1833" s="109"/>
      <c r="AC1833" s="109"/>
      <c r="AD1833" s="109"/>
      <c r="AE1833" s="109"/>
      <c r="AF1833" s="109"/>
      <c r="AG1833" s="109"/>
      <c r="AH1833" s="109"/>
      <c r="AI1833" s="109"/>
      <c r="AJ1833" s="109"/>
      <c r="AK1833" s="109"/>
      <c r="AL1833" s="109"/>
      <c r="AM1833" s="109"/>
      <c r="AN1833" s="109"/>
      <c r="AO1833" s="109"/>
      <c r="AP1833" s="109"/>
      <c r="AQ1833" s="109"/>
      <c r="AR1833" s="109"/>
      <c r="AS1833" s="109"/>
    </row>
    <row r="1834" spans="1:45" ht="12.6" customHeight="1" x14ac:dyDescent="0.3">
      <c r="A1834" s="68"/>
      <c r="B1834" s="97" t="str">
        <f>" t4 (적재장소 도착한 때로부터 적재작업이 시작될 때까지의 시간) = "&amp;Z1834&amp;""</f>
        <v xml:space="preserve"> t4 (적재장소 도착한 때로부터 적재작업이 시작될 때까지의 시간) = 0.7</v>
      </c>
      <c r="C1834" s="78"/>
      <c r="D1834" s="78"/>
      <c r="E1834" s="78"/>
      <c r="F1834" s="78"/>
      <c r="G1834" s="16" t="s">
        <v>1954</v>
      </c>
      <c r="Z1834" s="110">
        <v>0.7</v>
      </c>
      <c r="AA1834" s="20" t="s">
        <v>1326</v>
      </c>
      <c r="AB1834" s="112">
        <f>Z1834</f>
        <v>0.7</v>
      </c>
      <c r="AC1834" s="109"/>
      <c r="AD1834" s="109"/>
      <c r="AE1834" s="109"/>
      <c r="AF1834" s="109"/>
      <c r="AG1834" s="109"/>
      <c r="AH1834" s="109"/>
      <c r="AI1834" s="109"/>
      <c r="AJ1834" s="109"/>
      <c r="AK1834" s="109"/>
      <c r="AL1834" s="109"/>
      <c r="AM1834" s="109"/>
      <c r="AN1834" s="109"/>
      <c r="AO1834" s="109"/>
      <c r="AP1834" s="109"/>
      <c r="AQ1834" s="109"/>
      <c r="AR1834" s="109"/>
      <c r="AS1834" s="109"/>
    </row>
    <row r="1835" spans="1:45" ht="12.6" customHeight="1" x14ac:dyDescent="0.3">
      <c r="A1835" s="78"/>
      <c r="B1835" s="78"/>
      <c r="C1835" s="78"/>
      <c r="D1835" s="78"/>
      <c r="E1835" s="78"/>
      <c r="F1835" s="78"/>
      <c r="G1835" s="16" t="s">
        <v>1317</v>
      </c>
      <c r="Z1835" s="109"/>
      <c r="AA1835" s="109"/>
      <c r="AB1835" s="109"/>
      <c r="AC1835" s="109"/>
      <c r="AD1835" s="109"/>
      <c r="AE1835" s="109"/>
      <c r="AF1835" s="109"/>
      <c r="AG1835" s="109"/>
      <c r="AH1835" s="109"/>
      <c r="AI1835" s="109"/>
      <c r="AJ1835" s="109"/>
      <c r="AK1835" s="109"/>
      <c r="AL1835" s="109"/>
      <c r="AM1835" s="109"/>
      <c r="AN1835" s="109"/>
      <c r="AO1835" s="109"/>
      <c r="AP1835" s="109"/>
      <c r="AQ1835" s="109"/>
      <c r="AR1835" s="109"/>
      <c r="AS1835" s="109"/>
    </row>
    <row r="1836" spans="1:45" ht="12.6" customHeight="1" x14ac:dyDescent="0.3">
      <c r="A1836" s="68"/>
      <c r="B1836" s="97" t="str">
        <f>" Cm (1회 사이클 시간(분))  = t1 + t2 + t3 + t4  = "&amp;AH1836&amp;""</f>
        <v xml:space="preserve"> Cm (1회 사이클 시간(분))  = t1 + t2 + t3 + t4  = 26.28</v>
      </c>
      <c r="C1836" s="78"/>
      <c r="D1836" s="78"/>
      <c r="E1836" s="78"/>
      <c r="F1836" s="78"/>
      <c r="G1836" s="16" t="s">
        <v>1955</v>
      </c>
      <c r="Z1836" s="112" t="str">
        <f>AI1828</f>
        <v>23.45</v>
      </c>
      <c r="AA1836" s="20" t="s">
        <v>1535</v>
      </c>
      <c r="AB1836" s="112" t="str">
        <f>AK1830</f>
        <v>1.03</v>
      </c>
      <c r="AC1836" s="20" t="s">
        <v>1535</v>
      </c>
      <c r="AD1836" s="112">
        <f>AB1832</f>
        <v>1.1000000000000001</v>
      </c>
      <c r="AE1836" s="20" t="s">
        <v>1535</v>
      </c>
      <c r="AF1836" s="112">
        <f>AB1834</f>
        <v>0.7</v>
      </c>
      <c r="AG1836" s="20" t="s">
        <v>1326</v>
      </c>
      <c r="AH1836" s="112" t="str">
        <f>TEXT(ROUND(AI1828+AK1830+AB1832+AB1834,2),"0.00")</f>
        <v>26.28</v>
      </c>
      <c r="AI1836" s="109"/>
      <c r="AJ1836" s="109"/>
      <c r="AK1836" s="109"/>
      <c r="AL1836" s="109"/>
      <c r="AM1836" s="109"/>
      <c r="AN1836" s="109"/>
      <c r="AO1836" s="109"/>
      <c r="AP1836" s="109"/>
      <c r="AQ1836" s="109"/>
      <c r="AR1836" s="109"/>
      <c r="AS1836" s="109"/>
    </row>
    <row r="1837" spans="1:45" ht="12.6" customHeight="1" x14ac:dyDescent="0.3">
      <c r="A1837" s="78"/>
      <c r="B1837" s="78"/>
      <c r="C1837" s="78"/>
      <c r="D1837" s="78"/>
      <c r="E1837" s="78"/>
      <c r="F1837" s="78"/>
      <c r="G1837" s="16" t="s">
        <v>1317</v>
      </c>
      <c r="Z1837" s="109"/>
      <c r="AA1837" s="109"/>
      <c r="AB1837" s="109"/>
      <c r="AC1837" s="109"/>
      <c r="AD1837" s="109"/>
      <c r="AE1837" s="109"/>
      <c r="AF1837" s="109"/>
      <c r="AG1837" s="109"/>
      <c r="AH1837" s="109"/>
      <c r="AI1837" s="109"/>
      <c r="AJ1837" s="109"/>
      <c r="AK1837" s="109"/>
      <c r="AL1837" s="109"/>
      <c r="AM1837" s="109"/>
      <c r="AN1837" s="109"/>
      <c r="AO1837" s="109"/>
      <c r="AP1837" s="109"/>
      <c r="AQ1837" s="109"/>
      <c r="AR1837" s="109"/>
      <c r="AS1837" s="109"/>
    </row>
    <row r="1838" spans="1:45" ht="12.6" customHeight="1" x14ac:dyDescent="0.3">
      <c r="A1838" s="68"/>
      <c r="B1838" s="97" t="str">
        <f>" OH (상차 10분 초과 시 운반기계의 유류보정)  =  t2 / Cm = "&amp;AD1838&amp;""</f>
        <v xml:space="preserve"> OH (상차 10분 초과 시 운반기계의 유류보정)  =  t2 / Cm = 0.04</v>
      </c>
      <c r="C1838" s="78"/>
      <c r="D1838" s="78"/>
      <c r="E1838" s="78"/>
      <c r="F1838" s="78"/>
      <c r="G1838" s="16" t="s">
        <v>1956</v>
      </c>
      <c r="Z1838" s="112" t="str">
        <f>AK1830</f>
        <v>1.03</v>
      </c>
      <c r="AA1838" s="20" t="s">
        <v>1387</v>
      </c>
      <c r="AB1838" s="112" t="str">
        <f>AH1836</f>
        <v>26.28</v>
      </c>
      <c r="AC1838" s="20" t="s">
        <v>1326</v>
      </c>
      <c r="AD1838" s="112" t="str">
        <f>TEXT(ROUND(AK1830/AH1836,2),"0.00")</f>
        <v>0.04</v>
      </c>
      <c r="AE1838" s="109"/>
      <c r="AF1838" s="109"/>
      <c r="AG1838" s="109"/>
      <c r="AH1838" s="109"/>
      <c r="AI1838" s="109"/>
      <c r="AJ1838" s="109"/>
      <c r="AK1838" s="109"/>
      <c r="AL1838" s="109"/>
      <c r="AM1838" s="109"/>
      <c r="AN1838" s="109"/>
      <c r="AO1838" s="109"/>
      <c r="AP1838" s="109"/>
      <c r="AQ1838" s="109"/>
      <c r="AR1838" s="109"/>
      <c r="AS1838" s="109"/>
    </row>
    <row r="1839" spans="1:45" ht="12.6" customHeight="1" x14ac:dyDescent="0.3">
      <c r="A1839" s="78"/>
      <c r="B1839" s="78"/>
      <c r="C1839" s="78"/>
      <c r="D1839" s="78"/>
      <c r="E1839" s="78"/>
      <c r="F1839" s="78"/>
      <c r="G1839" s="16" t="s">
        <v>1317</v>
      </c>
      <c r="Z1839" s="109"/>
      <c r="AA1839" s="109"/>
      <c r="AB1839" s="109"/>
      <c r="AC1839" s="109"/>
      <c r="AD1839" s="109"/>
      <c r="AE1839" s="109"/>
      <c r="AF1839" s="109"/>
      <c r="AG1839" s="109"/>
      <c r="AH1839" s="109"/>
      <c r="AI1839" s="109"/>
      <c r="AJ1839" s="109"/>
      <c r="AK1839" s="109"/>
      <c r="AL1839" s="109"/>
      <c r="AM1839" s="109"/>
      <c r="AN1839" s="109"/>
      <c r="AO1839" s="109"/>
      <c r="AP1839" s="109"/>
      <c r="AQ1839" s="109"/>
      <c r="AR1839" s="109"/>
      <c r="AS1839" s="109"/>
    </row>
    <row r="1840" spans="1:45" ht="12.6" customHeight="1" x14ac:dyDescent="0.3">
      <c r="A1840" s="68"/>
      <c r="B1840" s="97" t="str">
        <f>" Q1 (시간당 작업량)  = "&amp;Z1840&amp;" * q1 * F * E / Cm = "&amp;AJ1840&amp;" m3/hr "</f>
        <v xml:space="preserve"> Q1 (시간당 작업량)  = 60 * q1 * F * E / Cm = 20.54 m3/hr </v>
      </c>
      <c r="C1840" s="78"/>
      <c r="D1840" s="78"/>
      <c r="E1840" s="78"/>
      <c r="F1840" s="78"/>
      <c r="G1840" s="16" t="s">
        <v>1957</v>
      </c>
      <c r="Z1840" s="111">
        <v>60</v>
      </c>
      <c r="AA1840" s="20" t="s">
        <v>1390</v>
      </c>
      <c r="AB1840" s="112" t="str">
        <f>AG1822</f>
        <v>12.19</v>
      </c>
      <c r="AC1840" s="20" t="s">
        <v>1390</v>
      </c>
      <c r="AD1840" s="112" t="str">
        <f>AD1802</f>
        <v>0.82</v>
      </c>
      <c r="AE1840" s="20" t="s">
        <v>1390</v>
      </c>
      <c r="AF1840" s="112">
        <f>AB1820</f>
        <v>0.9</v>
      </c>
      <c r="AG1840" s="20" t="s">
        <v>1387</v>
      </c>
      <c r="AH1840" s="112" t="str">
        <f>AH1836</f>
        <v>26.28</v>
      </c>
      <c r="AI1840" s="20" t="s">
        <v>1326</v>
      </c>
      <c r="AJ1840" s="112" t="str">
        <f>TEXT(ROUND(Z1840*AG1822*AD1802*AB1820/AH1836,2),"0.00")</f>
        <v>20.54</v>
      </c>
      <c r="AK1840" s="109"/>
      <c r="AL1840" s="109"/>
      <c r="AM1840" s="109"/>
      <c r="AN1840" s="109"/>
      <c r="AO1840" s="109"/>
      <c r="AP1840" s="109"/>
      <c r="AQ1840" s="109"/>
      <c r="AR1840" s="109"/>
      <c r="AS1840" s="109"/>
    </row>
    <row r="1841" spans="1:45" ht="12.6" customHeight="1" x14ac:dyDescent="0.3">
      <c r="A1841" s="78"/>
      <c r="B1841" s="78"/>
      <c r="C1841" s="78"/>
      <c r="D1841" s="78"/>
      <c r="E1841" s="78"/>
      <c r="F1841" s="78"/>
      <c r="G1841" s="16" t="s">
        <v>1317</v>
      </c>
      <c r="Z1841" s="109"/>
      <c r="AA1841" s="109"/>
      <c r="AB1841" s="109"/>
      <c r="AC1841" s="109"/>
      <c r="AD1841" s="109"/>
      <c r="AE1841" s="109"/>
      <c r="AF1841" s="109"/>
      <c r="AG1841" s="109"/>
      <c r="AH1841" s="109"/>
      <c r="AI1841" s="109"/>
      <c r="AJ1841" s="109"/>
      <c r="AK1841" s="109"/>
      <c r="AL1841" s="109"/>
      <c r="AM1841" s="109"/>
      <c r="AN1841" s="109"/>
      <c r="AO1841" s="109"/>
      <c r="AP1841" s="109"/>
      <c r="AQ1841" s="109"/>
      <c r="AR1841" s="109"/>
      <c r="AS1841" s="109"/>
    </row>
    <row r="1842" spans="1:45" ht="12.6" customHeight="1" x14ac:dyDescent="0.3">
      <c r="A1842" s="68" t="s">
        <v>1710</v>
      </c>
      <c r="B1842" s="97" t="str">
        <f>" 노 무 비  :  "&amp;TEXT(I1842,"#,##0"&amp;IF(I1842&lt;&gt;INT(I1842),".###",""))&amp;" / Q1  = "&amp;TEXT(C1842,"#,##0.0")&amp;""</f>
        <v xml:space="preserve"> 노 무 비  :  55,700 / Q1  = 2,711.7</v>
      </c>
      <c r="C1842" s="99">
        <f>E1842+D1842+F1842</f>
        <v>2711.7</v>
      </c>
      <c r="D1842" s="99">
        <f>IF(H1842=0,0,ROUNDDOWN(J1842*H1842,1))</f>
        <v>2711.7</v>
      </c>
      <c r="E1842" s="99">
        <f>IF(H1842=0,0,ROUNDDOWN(K1842*H1842,1))</f>
        <v>0</v>
      </c>
      <c r="F1842" s="99">
        <f>IF(H1842=0,0,ROUNDDOWN(L1842*H1842,1))</f>
        <v>0</v>
      </c>
      <c r="G1842" s="16" t="s">
        <v>1958</v>
      </c>
      <c r="H1842" s="105">
        <f>AC1842</f>
        <v>4.8685491723466409E-2</v>
      </c>
      <c r="I1842" s="106">
        <f>K1842+J1842+L1842</f>
        <v>55700</v>
      </c>
      <c r="J1842" s="39">
        <f>중기목록표!F13</f>
        <v>55700</v>
      </c>
      <c r="M1842" s="20" t="s">
        <v>1711</v>
      </c>
      <c r="N1842" s="20" t="s">
        <v>1721</v>
      </c>
      <c r="X1842" s="108" t="str">
        <f>중기목록표!B13&amp;" / "&amp;중기목록표!C13</f>
        <v>덤프트럭15ton(암) / 할증율:1.25</v>
      </c>
      <c r="Y1842" s="19" t="str">
        <f ca="1">HYPERLINK("#"&amp;중기목록표!J2&amp;"!A"&amp;ROW(중기목록표!A13),"중기   10 →")</f>
        <v>중기   10 →</v>
      </c>
      <c r="Z1842" s="20" t="s">
        <v>1393</v>
      </c>
      <c r="AA1842" s="112" t="str">
        <f>AJ1840</f>
        <v>20.54</v>
      </c>
      <c r="AB1842" s="20" t="s">
        <v>1326</v>
      </c>
      <c r="AC1842" s="113">
        <f>1/AJ1840</f>
        <v>4.8685491723466409E-2</v>
      </c>
      <c r="AD1842" s="109"/>
      <c r="AE1842" s="109"/>
      <c r="AF1842" s="109"/>
      <c r="AG1842" s="109"/>
      <c r="AH1842" s="109"/>
      <c r="AI1842" s="109"/>
      <c r="AJ1842" s="109"/>
      <c r="AK1842" s="109"/>
      <c r="AL1842" s="109"/>
      <c r="AM1842" s="109"/>
      <c r="AN1842" s="109"/>
      <c r="AO1842" s="109"/>
      <c r="AP1842" s="109"/>
      <c r="AQ1842" s="109"/>
      <c r="AR1842" s="109"/>
      <c r="AS1842" s="109"/>
    </row>
    <row r="1843" spans="1:45" ht="12.6" customHeight="1" x14ac:dyDescent="0.3">
      <c r="A1843" s="78"/>
      <c r="B1843" s="78"/>
      <c r="C1843" s="78"/>
      <c r="D1843" s="78"/>
      <c r="E1843" s="78"/>
      <c r="F1843" s="78"/>
      <c r="G1843" s="16" t="s">
        <v>1317</v>
      </c>
      <c r="Z1843" s="109"/>
      <c r="AA1843" s="109"/>
      <c r="AB1843" s="109"/>
      <c r="AC1843" s="109"/>
      <c r="AD1843" s="109"/>
      <c r="AE1843" s="109"/>
      <c r="AF1843" s="109"/>
      <c r="AG1843" s="109"/>
      <c r="AH1843" s="109"/>
      <c r="AI1843" s="109"/>
      <c r="AJ1843" s="109"/>
      <c r="AK1843" s="109"/>
      <c r="AL1843" s="109"/>
      <c r="AM1843" s="109"/>
      <c r="AN1843" s="109"/>
      <c r="AO1843" s="109"/>
      <c r="AP1843" s="109"/>
      <c r="AQ1843" s="109"/>
      <c r="AR1843" s="109"/>
      <c r="AS1843" s="109"/>
    </row>
    <row r="1844" spans="1:45" ht="12.6" customHeight="1" x14ac:dyDescent="0.3">
      <c r="A1844" s="68" t="s">
        <v>1713</v>
      </c>
      <c r="B1844" s="97" t="str">
        <f>" 재 료 비  :  "&amp;TEXT(I1844,"#,##0"&amp;IF(I1844&lt;&gt;INT(I1844),".###",""))&amp;" / Q1 * OH = "&amp;TEXT(C1844,"#,##0.0")&amp;""</f>
        <v xml:space="preserve"> 재 료 비  :  27,910 / Q1 * OH = 54.3</v>
      </c>
      <c r="C1844" s="99">
        <f>E1844+D1844+F1844</f>
        <v>54.3</v>
      </c>
      <c r="D1844" s="99">
        <f>IF(H1844=0,0,ROUNDDOWN(J1844*H1844,1))</f>
        <v>0</v>
      </c>
      <c r="E1844" s="99">
        <f>IF(H1844=0,0,ROUNDDOWN(K1844*H1844,1))</f>
        <v>54.3</v>
      </c>
      <c r="F1844" s="99">
        <f>IF(H1844=0,0,ROUNDDOWN(L1844*H1844,1))</f>
        <v>0</v>
      </c>
      <c r="G1844" s="16" t="s">
        <v>1959</v>
      </c>
      <c r="H1844" s="105">
        <f>AE1844</f>
        <v>1.9474196689386564E-3</v>
      </c>
      <c r="I1844" s="106">
        <f>K1844+J1844+L1844</f>
        <v>27910</v>
      </c>
      <c r="K1844" s="39">
        <f>중기목록표!G13</f>
        <v>27910</v>
      </c>
      <c r="M1844" s="20" t="s">
        <v>1711</v>
      </c>
      <c r="N1844" s="20" t="s">
        <v>1721</v>
      </c>
      <c r="X1844" s="108" t="str">
        <f>중기목록표!B13&amp;" / "&amp;중기목록표!C13</f>
        <v>덤프트럭15ton(암) / 할증율:1.25</v>
      </c>
      <c r="Y1844" s="19" t="str">
        <f ca="1">HYPERLINK("#"&amp;중기목록표!J2&amp;"!A"&amp;ROW(중기목록표!A13),"중기   10 →")</f>
        <v>중기   10 →</v>
      </c>
      <c r="Z1844" s="20" t="s">
        <v>1393</v>
      </c>
      <c r="AA1844" s="112" t="str">
        <f>AJ1840</f>
        <v>20.54</v>
      </c>
      <c r="AB1844" s="20" t="s">
        <v>1390</v>
      </c>
      <c r="AC1844" s="112" t="str">
        <f>AD1838</f>
        <v>0.04</v>
      </c>
      <c r="AD1844" s="20" t="s">
        <v>1326</v>
      </c>
      <c r="AE1844" s="113">
        <f>1/AJ1840*AD1838</f>
        <v>1.9474196689386564E-3</v>
      </c>
      <c r="AF1844" s="109"/>
      <c r="AG1844" s="109"/>
      <c r="AH1844" s="109"/>
      <c r="AI1844" s="109"/>
      <c r="AJ1844" s="109"/>
      <c r="AK1844" s="109"/>
      <c r="AL1844" s="109"/>
      <c r="AM1844" s="109"/>
      <c r="AN1844" s="109"/>
      <c r="AO1844" s="109"/>
      <c r="AP1844" s="109"/>
      <c r="AQ1844" s="109"/>
      <c r="AR1844" s="109"/>
      <c r="AS1844" s="109"/>
    </row>
    <row r="1845" spans="1:45" ht="12.6" customHeight="1" x14ac:dyDescent="0.3">
      <c r="A1845" s="78"/>
      <c r="B1845" s="78"/>
      <c r="C1845" s="78"/>
      <c r="D1845" s="78"/>
      <c r="E1845" s="78"/>
      <c r="F1845" s="78"/>
      <c r="G1845" s="16" t="s">
        <v>1317</v>
      </c>
      <c r="Z1845" s="109"/>
      <c r="AA1845" s="109"/>
      <c r="AB1845" s="109"/>
      <c r="AC1845" s="109"/>
      <c r="AD1845" s="109"/>
      <c r="AE1845" s="109"/>
      <c r="AF1845" s="109"/>
      <c r="AG1845" s="109"/>
      <c r="AH1845" s="109"/>
      <c r="AI1845" s="109"/>
      <c r="AJ1845" s="109"/>
      <c r="AK1845" s="109"/>
      <c r="AL1845" s="109"/>
      <c r="AM1845" s="109"/>
      <c r="AN1845" s="109"/>
      <c r="AO1845" s="109"/>
      <c r="AP1845" s="109"/>
      <c r="AQ1845" s="109"/>
      <c r="AR1845" s="109"/>
      <c r="AS1845" s="109"/>
    </row>
    <row r="1846" spans="1:45" ht="12.6" customHeight="1" x14ac:dyDescent="0.3">
      <c r="A1846" s="68" t="s">
        <v>1715</v>
      </c>
      <c r="B1846" s="97" t="str">
        <f>" 경    비  :  "&amp;TEXT(I1846,"#,##0"&amp;IF(I1846&lt;&gt;INT(I1846),".###",""))&amp;" / Q1  = "&amp;TEXT(C1846,"#,##0.0")&amp;""</f>
        <v xml:space="preserve"> 경    비  :  23,077 / Q1  = 1,123.5</v>
      </c>
      <c r="C1846" s="99">
        <f>E1846+D1846+F1846</f>
        <v>1123.5</v>
      </c>
      <c r="D1846" s="99">
        <f>IF(H1846=0,0,ROUNDDOWN(J1846*H1846,1))</f>
        <v>0</v>
      </c>
      <c r="E1846" s="99">
        <f>IF(H1846=0,0,ROUNDDOWN(K1846*H1846,1))</f>
        <v>0</v>
      </c>
      <c r="F1846" s="99">
        <f>IF(H1846=0,0,ROUNDDOWN(L1846*H1846,1))</f>
        <v>1123.5</v>
      </c>
      <c r="G1846" s="16" t="s">
        <v>1960</v>
      </c>
      <c r="H1846" s="105">
        <f>AC1846</f>
        <v>4.8685491723466409E-2</v>
      </c>
      <c r="I1846" s="106">
        <f>K1846+J1846+L1846</f>
        <v>23077</v>
      </c>
      <c r="L1846" s="39">
        <f>중기목록표!H13</f>
        <v>23077</v>
      </c>
      <c r="M1846" s="20" t="s">
        <v>1711</v>
      </c>
      <c r="N1846" s="20" t="s">
        <v>1721</v>
      </c>
      <c r="X1846" s="108" t="str">
        <f>중기목록표!B13&amp;" / "&amp;중기목록표!C13</f>
        <v>덤프트럭15ton(암) / 할증율:1.25</v>
      </c>
      <c r="Y1846" s="19" t="str">
        <f ca="1">HYPERLINK("#"&amp;중기목록표!J2&amp;"!A"&amp;ROW(중기목록표!A13),"중기   10 →")</f>
        <v>중기   10 →</v>
      </c>
      <c r="Z1846" s="20" t="s">
        <v>1393</v>
      </c>
      <c r="AA1846" s="112" t="str">
        <f>AJ1840</f>
        <v>20.54</v>
      </c>
      <c r="AB1846" s="20" t="s">
        <v>1326</v>
      </c>
      <c r="AC1846" s="113">
        <f>1/AJ1840</f>
        <v>4.8685491723466409E-2</v>
      </c>
      <c r="AD1846" s="109"/>
      <c r="AE1846" s="109"/>
      <c r="AF1846" s="109"/>
      <c r="AG1846" s="109"/>
      <c r="AH1846" s="109"/>
      <c r="AI1846" s="109"/>
      <c r="AJ1846" s="109"/>
      <c r="AK1846" s="109"/>
      <c r="AL1846" s="109"/>
      <c r="AM1846" s="109"/>
      <c r="AN1846" s="109"/>
      <c r="AO1846" s="109"/>
      <c r="AP1846" s="109"/>
      <c r="AQ1846" s="109"/>
      <c r="AR1846" s="109"/>
      <c r="AS1846" s="109"/>
    </row>
    <row r="1847" spans="1:45" ht="12.6" customHeight="1" x14ac:dyDescent="0.3">
      <c r="A1847" s="78"/>
      <c r="B1847" s="78"/>
      <c r="C1847" s="78"/>
      <c r="D1847" s="78"/>
      <c r="E1847" s="78"/>
      <c r="F1847" s="78"/>
      <c r="G1847" s="16" t="s">
        <v>1317</v>
      </c>
      <c r="Z1847" s="109"/>
      <c r="AA1847" s="109"/>
      <c r="AB1847" s="109"/>
      <c r="AC1847" s="109"/>
      <c r="AD1847" s="109"/>
      <c r="AE1847" s="109"/>
      <c r="AF1847" s="109"/>
      <c r="AG1847" s="109"/>
      <c r="AH1847" s="109"/>
      <c r="AI1847" s="109"/>
      <c r="AJ1847" s="109"/>
      <c r="AK1847" s="109"/>
      <c r="AL1847" s="109"/>
      <c r="AM1847" s="109"/>
      <c r="AN1847" s="109"/>
      <c r="AO1847" s="109"/>
      <c r="AP1847" s="109"/>
      <c r="AQ1847" s="109"/>
      <c r="AR1847" s="109"/>
      <c r="AS1847" s="109"/>
    </row>
    <row r="1848" spans="1:45" ht="12.6" customHeight="1" x14ac:dyDescent="0.3">
      <c r="A1848" s="68"/>
      <c r="B1848" s="77" t="s">
        <v>1720</v>
      </c>
      <c r="C1848" s="103">
        <f>E1848+D1848+F1848</f>
        <v>3889.5</v>
      </c>
      <c r="D1848" s="103">
        <f>SUMIF(N1815:N1847,M1848,D1815:D1847)</f>
        <v>2711.7</v>
      </c>
      <c r="E1848" s="103">
        <f>SUMIF(N1815:N1847,M1848,E1815:E1847)</f>
        <v>54.3</v>
      </c>
      <c r="F1848" s="103">
        <f>SUMIF(N1815:N1847,M1848,F1815:F1847)</f>
        <v>1123.5</v>
      </c>
      <c r="G1848" s="16" t="s">
        <v>1961</v>
      </c>
      <c r="M1848" s="20" t="s">
        <v>1721</v>
      </c>
      <c r="Z1848" s="109"/>
      <c r="AA1848" s="109"/>
      <c r="AB1848" s="109"/>
      <c r="AC1848" s="109"/>
      <c r="AD1848" s="109"/>
      <c r="AE1848" s="109"/>
      <c r="AF1848" s="109"/>
      <c r="AG1848" s="109"/>
      <c r="AH1848" s="109"/>
      <c r="AI1848" s="109"/>
      <c r="AJ1848" s="109"/>
      <c r="AK1848" s="109"/>
      <c r="AL1848" s="109"/>
      <c r="AM1848" s="109"/>
      <c r="AN1848" s="109"/>
      <c r="AO1848" s="109"/>
      <c r="AP1848" s="109"/>
      <c r="AQ1848" s="109"/>
      <c r="AR1848" s="109"/>
      <c r="AS1848" s="109"/>
    </row>
    <row r="1849" spans="1:45" ht="12.6" customHeight="1" x14ac:dyDescent="0.3">
      <c r="A1849" s="78"/>
      <c r="B1849" s="78"/>
      <c r="C1849" s="104"/>
      <c r="D1849" s="104"/>
      <c r="E1849" s="104"/>
      <c r="F1849" s="104"/>
      <c r="G1849" s="16" t="s">
        <v>1317</v>
      </c>
      <c r="Z1849" s="109"/>
      <c r="AA1849" s="109"/>
      <c r="AB1849" s="109"/>
      <c r="AC1849" s="109"/>
      <c r="AD1849" s="109"/>
      <c r="AE1849" s="109"/>
      <c r="AF1849" s="109"/>
      <c r="AG1849" s="109"/>
      <c r="AH1849" s="109"/>
      <c r="AI1849" s="109"/>
      <c r="AJ1849" s="109"/>
      <c r="AK1849" s="109"/>
      <c r="AL1849" s="109"/>
      <c r="AM1849" s="109"/>
      <c r="AN1849" s="109"/>
      <c r="AO1849" s="109"/>
      <c r="AP1849" s="109"/>
      <c r="AQ1849" s="109"/>
      <c r="AR1849" s="109"/>
      <c r="AS1849" s="109"/>
    </row>
    <row r="1850" spans="1:45" ht="12.6" customHeight="1" x14ac:dyDescent="0.3">
      <c r="A1850" s="68"/>
      <c r="B1850" s="77" t="s">
        <v>1963</v>
      </c>
      <c r="C1850" s="78"/>
      <c r="D1850" s="78"/>
      <c r="E1850" s="78"/>
      <c r="F1850" s="78"/>
      <c r="G1850" s="16" t="s">
        <v>1962</v>
      </c>
      <c r="Z1850" s="109"/>
      <c r="AA1850" s="109"/>
      <c r="AB1850" s="109"/>
      <c r="AC1850" s="109"/>
      <c r="AD1850" s="109"/>
      <c r="AE1850" s="109"/>
      <c r="AF1850" s="109"/>
      <c r="AG1850" s="109"/>
      <c r="AH1850" s="109"/>
      <c r="AI1850" s="109"/>
      <c r="AJ1850" s="109"/>
      <c r="AK1850" s="109"/>
      <c r="AL1850" s="109"/>
      <c r="AM1850" s="109"/>
      <c r="AN1850" s="109"/>
      <c r="AO1850" s="109"/>
      <c r="AP1850" s="109"/>
      <c r="AQ1850" s="109"/>
      <c r="AR1850" s="109"/>
      <c r="AS1850" s="109"/>
    </row>
    <row r="1851" spans="1:45" ht="12.6" customHeight="1" x14ac:dyDescent="0.3">
      <c r="A1851" s="78"/>
      <c r="B1851" s="78"/>
      <c r="C1851" s="78"/>
      <c r="D1851" s="78"/>
      <c r="E1851" s="78"/>
      <c r="F1851" s="78"/>
      <c r="G1851" s="16" t="s">
        <v>1317</v>
      </c>
      <c r="Z1851" s="109"/>
      <c r="AA1851" s="109"/>
      <c r="AB1851" s="109"/>
      <c r="AC1851" s="109"/>
      <c r="AD1851" s="109"/>
      <c r="AE1851" s="109"/>
      <c r="AF1851" s="109"/>
      <c r="AG1851" s="109"/>
      <c r="AH1851" s="109"/>
      <c r="AI1851" s="109"/>
      <c r="AJ1851" s="109"/>
      <c r="AK1851" s="109"/>
      <c r="AL1851" s="109"/>
      <c r="AM1851" s="109"/>
      <c r="AN1851" s="109"/>
      <c r="AO1851" s="109"/>
      <c r="AP1851" s="109"/>
      <c r="AQ1851" s="109"/>
      <c r="AR1851" s="109"/>
      <c r="AS1851" s="109"/>
    </row>
    <row r="1852" spans="1:45" ht="12.6" customHeight="1" x14ac:dyDescent="0.3">
      <c r="A1852" s="68"/>
      <c r="B1852" s="97" t="str">
        <f>" E (작업효율) = "&amp;Z1852&amp;""</f>
        <v xml:space="preserve"> E (작업효율) = 0.9</v>
      </c>
      <c r="C1852" s="78"/>
      <c r="D1852" s="78"/>
      <c r="E1852" s="78"/>
      <c r="F1852" s="78"/>
      <c r="G1852" s="16" t="s">
        <v>1950</v>
      </c>
      <c r="Z1852" s="110">
        <v>0.9</v>
      </c>
      <c r="AA1852" s="20" t="s">
        <v>1326</v>
      </c>
      <c r="AB1852" s="112">
        <f>Z1852</f>
        <v>0.9</v>
      </c>
      <c r="AC1852" s="109"/>
      <c r="AD1852" s="109"/>
      <c r="AE1852" s="109"/>
      <c r="AF1852" s="109"/>
      <c r="AG1852" s="109"/>
      <c r="AH1852" s="109"/>
      <c r="AI1852" s="109"/>
      <c r="AJ1852" s="109"/>
      <c r="AK1852" s="109"/>
      <c r="AL1852" s="109"/>
      <c r="AM1852" s="109"/>
      <c r="AN1852" s="109"/>
      <c r="AO1852" s="109"/>
      <c r="AP1852" s="109"/>
      <c r="AQ1852" s="109"/>
      <c r="AR1852" s="109"/>
      <c r="AS1852" s="109"/>
    </row>
    <row r="1853" spans="1:45" ht="12.6" customHeight="1" x14ac:dyDescent="0.3">
      <c r="A1853" s="78"/>
      <c r="B1853" s="78"/>
      <c r="C1853" s="78"/>
      <c r="D1853" s="78"/>
      <c r="E1853" s="78"/>
      <c r="F1853" s="78"/>
      <c r="G1853" s="16" t="s">
        <v>1317</v>
      </c>
      <c r="Z1853" s="109"/>
      <c r="AA1853" s="109"/>
      <c r="AB1853" s="109"/>
      <c r="AC1853" s="109"/>
      <c r="AD1853" s="109"/>
      <c r="AE1853" s="109"/>
      <c r="AF1853" s="109"/>
      <c r="AG1853" s="109"/>
      <c r="AH1853" s="109"/>
      <c r="AI1853" s="109"/>
      <c r="AJ1853" s="109"/>
      <c r="AK1853" s="109"/>
      <c r="AL1853" s="109"/>
      <c r="AM1853" s="109"/>
      <c r="AN1853" s="109"/>
      <c r="AO1853" s="109"/>
      <c r="AP1853" s="109"/>
      <c r="AQ1853" s="109"/>
      <c r="AR1853" s="109"/>
      <c r="AS1853" s="109"/>
    </row>
    <row r="1854" spans="1:45" ht="12.6" customHeight="1" x14ac:dyDescent="0.3">
      <c r="A1854" s="68"/>
      <c r="B1854" s="97" t="str">
        <f>" q1 (흐트러진상태의 덤프트럭 1회 적재량)  = ("&amp;AA1854&amp;"/"&amp;AC1854&amp;")*"&amp;AE1854&amp;"= "&amp;AG1854&amp;""</f>
        <v xml:space="preserve"> q1 (흐트러진상태의 덤프트럭 1회 적재량)  = (10.5/2)*1.625= 8.53</v>
      </c>
      <c r="C1854" s="78"/>
      <c r="D1854" s="78"/>
      <c r="E1854" s="78"/>
      <c r="F1854" s="78"/>
      <c r="G1854" s="16" t="s">
        <v>1964</v>
      </c>
      <c r="Z1854" s="20" t="s">
        <v>1526</v>
      </c>
      <c r="AA1854" s="110">
        <v>10.5</v>
      </c>
      <c r="AB1854" s="20" t="s">
        <v>1387</v>
      </c>
      <c r="AC1854" s="111">
        <v>2</v>
      </c>
      <c r="AD1854" s="20" t="s">
        <v>1527</v>
      </c>
      <c r="AE1854" s="110">
        <v>1.625</v>
      </c>
      <c r="AF1854" s="20" t="s">
        <v>1326</v>
      </c>
      <c r="AG1854" s="112" t="str">
        <f>TEXT(ROUND((AA1854/AC1854)*AE1854,2),"0.00")</f>
        <v>8.53</v>
      </c>
      <c r="AH1854" s="109"/>
      <c r="AI1854" s="109"/>
      <c r="AJ1854" s="109"/>
      <c r="AK1854" s="109"/>
      <c r="AL1854" s="109"/>
      <c r="AM1854" s="109"/>
      <c r="AN1854" s="109"/>
      <c r="AO1854" s="109"/>
      <c r="AP1854" s="109"/>
      <c r="AQ1854" s="109"/>
      <c r="AR1854" s="109"/>
      <c r="AS1854" s="109"/>
    </row>
    <row r="1855" spans="1:45" ht="12.6" customHeight="1" x14ac:dyDescent="0.3">
      <c r="A1855" s="78"/>
      <c r="B1855" s="78"/>
      <c r="C1855" s="78"/>
      <c r="D1855" s="78"/>
      <c r="E1855" s="78"/>
      <c r="F1855" s="78"/>
      <c r="G1855" s="16" t="s">
        <v>1317</v>
      </c>
      <c r="Z1855" s="109"/>
      <c r="AA1855" s="109"/>
      <c r="AB1855" s="109"/>
      <c r="AC1855" s="109"/>
      <c r="AD1855" s="109"/>
      <c r="AE1855" s="109"/>
      <c r="AF1855" s="109"/>
      <c r="AG1855" s="109"/>
      <c r="AH1855" s="109"/>
      <c r="AI1855" s="109"/>
      <c r="AJ1855" s="109"/>
      <c r="AK1855" s="109"/>
      <c r="AL1855" s="109"/>
      <c r="AM1855" s="109"/>
      <c r="AN1855" s="109"/>
      <c r="AO1855" s="109"/>
      <c r="AP1855" s="109"/>
      <c r="AQ1855" s="109"/>
      <c r="AR1855" s="109"/>
      <c r="AS1855" s="109"/>
    </row>
    <row r="1856" spans="1:45" ht="12.6" customHeight="1" x14ac:dyDescent="0.3">
      <c r="A1856" s="68"/>
      <c r="B1856" s="77" t="s">
        <v>1528</v>
      </c>
      <c r="C1856" s="78"/>
      <c r="D1856" s="78"/>
      <c r="E1856" s="78"/>
      <c r="F1856" s="78"/>
      <c r="G1856" s="16" t="s">
        <v>1803</v>
      </c>
      <c r="Z1856" s="109"/>
      <c r="AA1856" s="109"/>
      <c r="AB1856" s="109"/>
      <c r="AC1856" s="109"/>
      <c r="AD1856" s="109"/>
      <c r="AE1856" s="109"/>
      <c r="AF1856" s="109"/>
      <c r="AG1856" s="109"/>
      <c r="AH1856" s="109"/>
      <c r="AI1856" s="109"/>
      <c r="AJ1856" s="109"/>
      <c r="AK1856" s="109"/>
      <c r="AL1856" s="109"/>
      <c r="AM1856" s="109"/>
      <c r="AN1856" s="109"/>
      <c r="AO1856" s="109"/>
      <c r="AP1856" s="109"/>
      <c r="AQ1856" s="109"/>
      <c r="AR1856" s="109"/>
      <c r="AS1856" s="109"/>
    </row>
    <row r="1857" spans="1:45" ht="12.6" customHeight="1" x14ac:dyDescent="0.3">
      <c r="A1857" s="78"/>
      <c r="B1857" s="78"/>
      <c r="C1857" s="78"/>
      <c r="D1857" s="78"/>
      <c r="E1857" s="78"/>
      <c r="F1857" s="78"/>
      <c r="G1857" s="16" t="s">
        <v>1317</v>
      </c>
      <c r="Z1857" s="109"/>
      <c r="AA1857" s="109"/>
      <c r="AB1857" s="109"/>
      <c r="AC1857" s="109"/>
      <c r="AD1857" s="109"/>
      <c r="AE1857" s="109"/>
      <c r="AF1857" s="109"/>
      <c r="AG1857" s="109"/>
      <c r="AH1857" s="109"/>
      <c r="AI1857" s="109"/>
      <c r="AJ1857" s="109"/>
      <c r="AK1857" s="109"/>
      <c r="AL1857" s="109"/>
      <c r="AM1857" s="109"/>
      <c r="AN1857" s="109"/>
      <c r="AO1857" s="109"/>
      <c r="AP1857" s="109"/>
      <c r="AQ1857" s="109"/>
      <c r="AR1857" s="109"/>
      <c r="AS1857" s="109"/>
    </row>
    <row r="1858" spans="1:45" ht="12.6" customHeight="1" x14ac:dyDescent="0.3">
      <c r="A1858" s="68"/>
      <c r="B1858" s="97" t="str">
        <f>" n = q1 / ("&amp;AB1858&amp;" * k) = "&amp;AG1858&amp;" 회 "</f>
        <v xml:space="preserve"> n = q1 / (0.7 * k) = 22.16 회 </v>
      </c>
      <c r="C1858" s="78"/>
      <c r="D1858" s="78"/>
      <c r="E1858" s="78"/>
      <c r="F1858" s="78"/>
      <c r="G1858" s="16" t="s">
        <v>1952</v>
      </c>
      <c r="Z1858" s="112" t="str">
        <f>AG1854</f>
        <v>8.53</v>
      </c>
      <c r="AA1858" s="20" t="s">
        <v>1531</v>
      </c>
      <c r="AB1858" s="110">
        <v>0.7</v>
      </c>
      <c r="AC1858" s="20" t="s">
        <v>1390</v>
      </c>
      <c r="AD1858" s="112">
        <f>AF1800</f>
        <v>0.55000000000000004</v>
      </c>
      <c r="AE1858" s="20" t="s">
        <v>1532</v>
      </c>
      <c r="AF1858" s="20" t="s">
        <v>1326</v>
      </c>
      <c r="AG1858" s="112" t="str">
        <f>TEXT(ROUND(AG1854/(AB1858*AF1800),2),"0.00")</f>
        <v>22.16</v>
      </c>
      <c r="AH1858" s="109"/>
      <c r="AI1858" s="109"/>
      <c r="AJ1858" s="109"/>
      <c r="AK1858" s="109"/>
      <c r="AL1858" s="109"/>
      <c r="AM1858" s="109"/>
      <c r="AN1858" s="109"/>
      <c r="AO1858" s="109"/>
      <c r="AP1858" s="109"/>
      <c r="AQ1858" s="109"/>
      <c r="AR1858" s="109"/>
      <c r="AS1858" s="109"/>
    </row>
    <row r="1859" spans="1:45" ht="12.6" customHeight="1" x14ac:dyDescent="0.3">
      <c r="A1859" s="78"/>
      <c r="B1859" s="78"/>
      <c r="C1859" s="78"/>
      <c r="D1859" s="78"/>
      <c r="E1859" s="78"/>
      <c r="F1859" s="78"/>
      <c r="G1859" s="16" t="s">
        <v>1317</v>
      </c>
      <c r="Z1859" s="109"/>
      <c r="AA1859" s="109"/>
      <c r="AB1859" s="109"/>
      <c r="AC1859" s="109"/>
      <c r="AD1859" s="109"/>
      <c r="AE1859" s="109"/>
      <c r="AF1859" s="109"/>
      <c r="AG1859" s="109"/>
      <c r="AH1859" s="109"/>
      <c r="AI1859" s="109"/>
      <c r="AJ1859" s="109"/>
      <c r="AK1859" s="109"/>
      <c r="AL1859" s="109"/>
      <c r="AM1859" s="109"/>
      <c r="AN1859" s="109"/>
      <c r="AO1859" s="109"/>
      <c r="AP1859" s="109"/>
      <c r="AQ1859" s="109"/>
      <c r="AR1859" s="109"/>
      <c r="AS1859" s="109"/>
    </row>
    <row r="1860" spans="1:45" ht="12.6" customHeight="1" x14ac:dyDescent="0.3">
      <c r="A1860" s="68"/>
      <c r="B1860" s="97" t="str">
        <f>" t1 (적재시간) = "&amp;Z1860&amp;" * n / ("&amp;AD1860&amp;" * "&amp;AF1860&amp;") = "&amp;AI1860&amp;" 분 "</f>
        <v xml:space="preserve"> t1 (적재시간) = 20 * n / (60 * 0.45) = 16.41 분 </v>
      </c>
      <c r="C1860" s="78"/>
      <c r="D1860" s="78"/>
      <c r="E1860" s="78"/>
      <c r="F1860" s="78"/>
      <c r="G1860" s="16" t="s">
        <v>1953</v>
      </c>
      <c r="Z1860" s="111">
        <v>20</v>
      </c>
      <c r="AA1860" s="20" t="s">
        <v>1390</v>
      </c>
      <c r="AB1860" s="112" t="str">
        <f>AG1858</f>
        <v>22.16</v>
      </c>
      <c r="AC1860" s="20" t="s">
        <v>1531</v>
      </c>
      <c r="AD1860" s="111">
        <v>60</v>
      </c>
      <c r="AE1860" s="20" t="s">
        <v>1390</v>
      </c>
      <c r="AF1860" s="110">
        <v>0.45</v>
      </c>
      <c r="AG1860" s="20" t="s">
        <v>1532</v>
      </c>
      <c r="AH1860" s="20" t="s">
        <v>1326</v>
      </c>
      <c r="AI1860" s="112" t="str">
        <f>TEXT(ROUND(Z1860*AG1858/(AD1860*AF1860),2),"0.00")</f>
        <v>16.41</v>
      </c>
      <c r="AJ1860" s="109"/>
      <c r="AK1860" s="109"/>
      <c r="AL1860" s="109"/>
      <c r="AM1860" s="109"/>
      <c r="AN1860" s="109"/>
      <c r="AO1860" s="109"/>
      <c r="AP1860" s="109"/>
      <c r="AQ1860" s="109"/>
      <c r="AR1860" s="109"/>
      <c r="AS1860" s="109"/>
    </row>
    <row r="1861" spans="1:45" ht="12.6" customHeight="1" x14ac:dyDescent="0.3">
      <c r="A1861" s="78"/>
      <c r="B1861" s="78"/>
      <c r="C1861" s="78"/>
      <c r="D1861" s="78"/>
      <c r="E1861" s="78"/>
      <c r="F1861" s="78"/>
      <c r="G1861" s="16" t="s">
        <v>1317</v>
      </c>
      <c r="Z1861" s="109"/>
      <c r="AA1861" s="109"/>
      <c r="AB1861" s="109"/>
      <c r="AC1861" s="109"/>
      <c r="AD1861" s="109"/>
      <c r="AE1861" s="109"/>
      <c r="AF1861" s="109"/>
      <c r="AG1861" s="109"/>
      <c r="AH1861" s="109"/>
      <c r="AI1861" s="109"/>
      <c r="AJ1861" s="109"/>
      <c r="AK1861" s="109"/>
      <c r="AL1861" s="109"/>
      <c r="AM1861" s="109"/>
      <c r="AN1861" s="109"/>
      <c r="AO1861" s="109"/>
      <c r="AP1861" s="109"/>
      <c r="AQ1861" s="109"/>
      <c r="AR1861" s="109"/>
      <c r="AS1861" s="109"/>
    </row>
    <row r="1862" spans="1:45" ht="12.6" customHeight="1" x14ac:dyDescent="0.3">
      <c r="A1862" s="68"/>
      <c r="B1862" s="97" t="str">
        <f>" t2 (왕복시간) = (L/"&amp;AC1862&amp;"+L/"&amp;AG1862&amp;")* "&amp;AI1862&amp;" = "&amp;AK1862&amp;" 분 "</f>
        <v xml:space="preserve"> t2 (왕복시간) = (L/7+L/8)* 60 = 1.03 분 </v>
      </c>
      <c r="C1862" s="78"/>
      <c r="D1862" s="78"/>
      <c r="E1862" s="78"/>
      <c r="F1862" s="78"/>
      <c r="G1862" s="16" t="s">
        <v>1923</v>
      </c>
      <c r="Z1862" s="20" t="s">
        <v>1526</v>
      </c>
      <c r="AA1862" s="112">
        <f>AB1796</f>
        <v>6.4000000000000001E-2</v>
      </c>
      <c r="AB1862" s="20" t="s">
        <v>1387</v>
      </c>
      <c r="AC1862" s="111">
        <v>7</v>
      </c>
      <c r="AD1862" s="20" t="s">
        <v>1535</v>
      </c>
      <c r="AE1862" s="112">
        <f>AB1796</f>
        <v>6.4000000000000001E-2</v>
      </c>
      <c r="AF1862" s="20" t="s">
        <v>1387</v>
      </c>
      <c r="AG1862" s="111">
        <v>8</v>
      </c>
      <c r="AH1862" s="20" t="s">
        <v>1527</v>
      </c>
      <c r="AI1862" s="111">
        <v>60</v>
      </c>
      <c r="AJ1862" s="20" t="s">
        <v>1326</v>
      </c>
      <c r="AK1862" s="112" t="str">
        <f>TEXT(ROUND((AB1796/AC1862+AB1796/AG1862)*AI1862,2),"0.00")</f>
        <v>1.03</v>
      </c>
      <c r="AL1862" s="109"/>
      <c r="AM1862" s="109"/>
      <c r="AN1862" s="109"/>
      <c r="AO1862" s="109"/>
      <c r="AP1862" s="109"/>
      <c r="AQ1862" s="109"/>
      <c r="AR1862" s="109"/>
      <c r="AS1862" s="109"/>
    </row>
    <row r="1863" spans="1:45" ht="12.6" customHeight="1" x14ac:dyDescent="0.3">
      <c r="A1863" s="78"/>
      <c r="B1863" s="78"/>
      <c r="C1863" s="78"/>
      <c r="D1863" s="78"/>
      <c r="E1863" s="78"/>
      <c r="F1863" s="78"/>
      <c r="G1863" s="16" t="s">
        <v>1317</v>
      </c>
      <c r="Z1863" s="109"/>
      <c r="AA1863" s="109"/>
      <c r="AB1863" s="109"/>
      <c r="AC1863" s="109"/>
      <c r="AD1863" s="109"/>
      <c r="AE1863" s="109"/>
      <c r="AF1863" s="109"/>
      <c r="AG1863" s="109"/>
      <c r="AH1863" s="109"/>
      <c r="AI1863" s="109"/>
      <c r="AJ1863" s="109"/>
      <c r="AK1863" s="109"/>
      <c r="AL1863" s="109"/>
      <c r="AM1863" s="109"/>
      <c r="AN1863" s="109"/>
      <c r="AO1863" s="109"/>
      <c r="AP1863" s="109"/>
      <c r="AQ1863" s="109"/>
      <c r="AR1863" s="109"/>
      <c r="AS1863" s="109"/>
    </row>
    <row r="1864" spans="1:45" ht="12.6" customHeight="1" x14ac:dyDescent="0.3">
      <c r="A1864" s="68"/>
      <c r="B1864" s="97" t="str">
        <f>" t3 (적하시간) = "&amp;Z1864&amp;""</f>
        <v xml:space="preserve"> t3 (적하시간) = 1.1</v>
      </c>
      <c r="C1864" s="78"/>
      <c r="D1864" s="78"/>
      <c r="E1864" s="78"/>
      <c r="F1864" s="78"/>
      <c r="G1864" s="16" t="s">
        <v>1924</v>
      </c>
      <c r="Z1864" s="110">
        <v>1.1000000000000001</v>
      </c>
      <c r="AA1864" s="20" t="s">
        <v>1326</v>
      </c>
      <c r="AB1864" s="112">
        <f>Z1864</f>
        <v>1.1000000000000001</v>
      </c>
      <c r="AC1864" s="109"/>
      <c r="AD1864" s="109"/>
      <c r="AE1864" s="109"/>
      <c r="AF1864" s="109"/>
      <c r="AG1864" s="109"/>
      <c r="AH1864" s="109"/>
      <c r="AI1864" s="109"/>
      <c r="AJ1864" s="109"/>
      <c r="AK1864" s="109"/>
      <c r="AL1864" s="109"/>
      <c r="AM1864" s="109"/>
      <c r="AN1864" s="109"/>
      <c r="AO1864" s="109"/>
      <c r="AP1864" s="109"/>
      <c r="AQ1864" s="109"/>
      <c r="AR1864" s="109"/>
      <c r="AS1864" s="109"/>
    </row>
    <row r="1865" spans="1:45" ht="12.6" customHeight="1" x14ac:dyDescent="0.3">
      <c r="A1865" s="78"/>
      <c r="B1865" s="78"/>
      <c r="C1865" s="78"/>
      <c r="D1865" s="78"/>
      <c r="E1865" s="78"/>
      <c r="F1865" s="78"/>
      <c r="G1865" s="16" t="s">
        <v>1317</v>
      </c>
      <c r="Z1865" s="109"/>
      <c r="AA1865" s="109"/>
      <c r="AB1865" s="109"/>
      <c r="AC1865" s="109"/>
      <c r="AD1865" s="109"/>
      <c r="AE1865" s="109"/>
      <c r="AF1865" s="109"/>
      <c r="AG1865" s="109"/>
      <c r="AH1865" s="109"/>
      <c r="AI1865" s="109"/>
      <c r="AJ1865" s="109"/>
      <c r="AK1865" s="109"/>
      <c r="AL1865" s="109"/>
      <c r="AM1865" s="109"/>
      <c r="AN1865" s="109"/>
      <c r="AO1865" s="109"/>
      <c r="AP1865" s="109"/>
      <c r="AQ1865" s="109"/>
      <c r="AR1865" s="109"/>
      <c r="AS1865" s="109"/>
    </row>
    <row r="1866" spans="1:45" ht="12.6" customHeight="1" x14ac:dyDescent="0.3">
      <c r="A1866" s="68"/>
      <c r="B1866" s="97" t="str">
        <f>" t4 (적재장소 도착한 때로부터 적재작업이 시작될 때까지의 시간) = "&amp;Z1866&amp;""</f>
        <v xml:space="preserve"> t4 (적재장소 도착한 때로부터 적재작업이 시작될 때까지의 시간) = 0.7</v>
      </c>
      <c r="C1866" s="78"/>
      <c r="D1866" s="78"/>
      <c r="E1866" s="78"/>
      <c r="F1866" s="78"/>
      <c r="G1866" s="16" t="s">
        <v>1954</v>
      </c>
      <c r="Z1866" s="110">
        <v>0.7</v>
      </c>
      <c r="AA1866" s="20" t="s">
        <v>1326</v>
      </c>
      <c r="AB1866" s="112">
        <f>Z1866</f>
        <v>0.7</v>
      </c>
      <c r="AC1866" s="109"/>
      <c r="AD1866" s="109"/>
      <c r="AE1866" s="109"/>
      <c r="AF1866" s="109"/>
      <c r="AG1866" s="109"/>
      <c r="AH1866" s="109"/>
      <c r="AI1866" s="109"/>
      <c r="AJ1866" s="109"/>
      <c r="AK1866" s="109"/>
      <c r="AL1866" s="109"/>
      <c r="AM1866" s="109"/>
      <c r="AN1866" s="109"/>
      <c r="AO1866" s="109"/>
      <c r="AP1866" s="109"/>
      <c r="AQ1866" s="109"/>
      <c r="AR1866" s="109"/>
      <c r="AS1866" s="109"/>
    </row>
    <row r="1867" spans="1:45" ht="12.6" customHeight="1" x14ac:dyDescent="0.3">
      <c r="A1867" s="78"/>
      <c r="B1867" s="78"/>
      <c r="C1867" s="78"/>
      <c r="D1867" s="78"/>
      <c r="E1867" s="78"/>
      <c r="F1867" s="78"/>
      <c r="G1867" s="16" t="s">
        <v>1317</v>
      </c>
      <c r="Z1867" s="109"/>
      <c r="AA1867" s="109"/>
      <c r="AB1867" s="109"/>
      <c r="AC1867" s="109"/>
      <c r="AD1867" s="109"/>
      <c r="AE1867" s="109"/>
      <c r="AF1867" s="109"/>
      <c r="AG1867" s="109"/>
      <c r="AH1867" s="109"/>
      <c r="AI1867" s="109"/>
      <c r="AJ1867" s="109"/>
      <c r="AK1867" s="109"/>
      <c r="AL1867" s="109"/>
      <c r="AM1867" s="109"/>
      <c r="AN1867" s="109"/>
      <c r="AO1867" s="109"/>
      <c r="AP1867" s="109"/>
      <c r="AQ1867" s="109"/>
      <c r="AR1867" s="109"/>
      <c r="AS1867" s="109"/>
    </row>
    <row r="1868" spans="1:45" ht="12.6" customHeight="1" x14ac:dyDescent="0.3">
      <c r="A1868" s="68"/>
      <c r="B1868" s="97" t="str">
        <f>" Cm (1회 사이클 시간(분))  = t1 + t2 + t3 + t4  = "&amp;AH1868&amp;""</f>
        <v xml:space="preserve"> Cm (1회 사이클 시간(분))  = t1 + t2 + t3 + t4  = 19.24</v>
      </c>
      <c r="C1868" s="78"/>
      <c r="D1868" s="78"/>
      <c r="E1868" s="78"/>
      <c r="F1868" s="78"/>
      <c r="G1868" s="16" t="s">
        <v>1955</v>
      </c>
      <c r="Z1868" s="112" t="str">
        <f>AI1860</f>
        <v>16.41</v>
      </c>
      <c r="AA1868" s="20" t="s">
        <v>1535</v>
      </c>
      <c r="AB1868" s="112" t="str">
        <f>AK1862</f>
        <v>1.03</v>
      </c>
      <c r="AC1868" s="20" t="s">
        <v>1535</v>
      </c>
      <c r="AD1868" s="112">
        <f>AB1864</f>
        <v>1.1000000000000001</v>
      </c>
      <c r="AE1868" s="20" t="s">
        <v>1535</v>
      </c>
      <c r="AF1868" s="112">
        <f>AB1866</f>
        <v>0.7</v>
      </c>
      <c r="AG1868" s="20" t="s">
        <v>1326</v>
      </c>
      <c r="AH1868" s="112" t="str">
        <f>TEXT(ROUND(AI1860+AK1862+AB1864+AB1866,2),"0.00")</f>
        <v>19.24</v>
      </c>
      <c r="AI1868" s="109"/>
      <c r="AJ1868" s="109"/>
      <c r="AK1868" s="109"/>
      <c r="AL1868" s="109"/>
      <c r="AM1868" s="109"/>
      <c r="AN1868" s="109"/>
      <c r="AO1868" s="109"/>
      <c r="AP1868" s="109"/>
      <c r="AQ1868" s="109"/>
      <c r="AR1868" s="109"/>
      <c r="AS1868" s="109"/>
    </row>
    <row r="1869" spans="1:45" ht="12.6" customHeight="1" x14ac:dyDescent="0.3">
      <c r="A1869" s="78"/>
      <c r="B1869" s="78"/>
      <c r="C1869" s="78"/>
      <c r="D1869" s="78"/>
      <c r="E1869" s="78"/>
      <c r="F1869" s="78"/>
      <c r="G1869" s="16" t="s">
        <v>1317</v>
      </c>
      <c r="Z1869" s="109"/>
      <c r="AA1869" s="109"/>
      <c r="AB1869" s="109"/>
      <c r="AC1869" s="109"/>
      <c r="AD1869" s="109"/>
      <c r="AE1869" s="109"/>
      <c r="AF1869" s="109"/>
      <c r="AG1869" s="109"/>
      <c r="AH1869" s="109"/>
      <c r="AI1869" s="109"/>
      <c r="AJ1869" s="109"/>
      <c r="AK1869" s="109"/>
      <c r="AL1869" s="109"/>
      <c r="AM1869" s="109"/>
      <c r="AN1869" s="109"/>
      <c r="AO1869" s="109"/>
      <c r="AP1869" s="109"/>
      <c r="AQ1869" s="109"/>
      <c r="AR1869" s="109"/>
      <c r="AS1869" s="109"/>
    </row>
    <row r="1870" spans="1:45" ht="12.6" customHeight="1" x14ac:dyDescent="0.3">
      <c r="A1870" s="68"/>
      <c r="B1870" s="97" t="str">
        <f>" OH (상차 10분 초과 시 운반기계의 유류보정)  = t2 / Cm = "&amp;AD1870&amp;""</f>
        <v xml:space="preserve"> OH (상차 10분 초과 시 운반기계의 유류보정)  = t2 / Cm = 0.05</v>
      </c>
      <c r="C1870" s="78"/>
      <c r="D1870" s="78"/>
      <c r="E1870" s="78"/>
      <c r="F1870" s="78"/>
      <c r="G1870" s="16" t="s">
        <v>1965</v>
      </c>
      <c r="Z1870" s="112" t="str">
        <f>AK1862</f>
        <v>1.03</v>
      </c>
      <c r="AA1870" s="20" t="s">
        <v>1387</v>
      </c>
      <c r="AB1870" s="112" t="str">
        <f>AH1868</f>
        <v>19.24</v>
      </c>
      <c r="AC1870" s="20" t="s">
        <v>1326</v>
      </c>
      <c r="AD1870" s="112" t="str">
        <f>TEXT(ROUND(AK1862/AH1868,2),"0.00")</f>
        <v>0.05</v>
      </c>
      <c r="AE1870" s="109"/>
      <c r="AF1870" s="109"/>
      <c r="AG1870" s="109"/>
      <c r="AH1870" s="109"/>
      <c r="AI1870" s="109"/>
      <c r="AJ1870" s="109"/>
      <c r="AK1870" s="109"/>
      <c r="AL1870" s="109"/>
      <c r="AM1870" s="109"/>
      <c r="AN1870" s="109"/>
      <c r="AO1870" s="109"/>
      <c r="AP1870" s="109"/>
      <c r="AQ1870" s="109"/>
      <c r="AR1870" s="109"/>
      <c r="AS1870" s="109"/>
    </row>
    <row r="1871" spans="1:45" ht="12.6" customHeight="1" x14ac:dyDescent="0.3">
      <c r="A1871" s="78"/>
      <c r="B1871" s="78"/>
      <c r="C1871" s="78"/>
      <c r="D1871" s="78"/>
      <c r="E1871" s="78"/>
      <c r="F1871" s="78"/>
      <c r="G1871" s="16" t="s">
        <v>1317</v>
      </c>
      <c r="Z1871" s="109"/>
      <c r="AA1871" s="109"/>
      <c r="AB1871" s="109"/>
      <c r="AC1871" s="109"/>
      <c r="AD1871" s="109"/>
      <c r="AE1871" s="109"/>
      <c r="AF1871" s="109"/>
      <c r="AG1871" s="109"/>
      <c r="AH1871" s="109"/>
      <c r="AI1871" s="109"/>
      <c r="AJ1871" s="109"/>
      <c r="AK1871" s="109"/>
      <c r="AL1871" s="109"/>
      <c r="AM1871" s="109"/>
      <c r="AN1871" s="109"/>
      <c r="AO1871" s="109"/>
      <c r="AP1871" s="109"/>
      <c r="AQ1871" s="109"/>
      <c r="AR1871" s="109"/>
      <c r="AS1871" s="109"/>
    </row>
    <row r="1872" spans="1:45" ht="12.6" customHeight="1" x14ac:dyDescent="0.3">
      <c r="A1872" s="68"/>
      <c r="B1872" s="97" t="str">
        <f>" Q2 (시간당 작업량) = "&amp;Z1872&amp;" * q1 * F * E / Cm = "&amp;AJ1872&amp;" m3/hr "</f>
        <v xml:space="preserve"> Q2 (시간당 작업량) = 60 * q1 * F * E / Cm = 19.63 m3/hr </v>
      </c>
      <c r="C1872" s="78"/>
      <c r="D1872" s="78"/>
      <c r="E1872" s="78"/>
      <c r="F1872" s="78"/>
      <c r="G1872" s="16" t="s">
        <v>1966</v>
      </c>
      <c r="Z1872" s="111">
        <v>60</v>
      </c>
      <c r="AA1872" s="20" t="s">
        <v>1390</v>
      </c>
      <c r="AB1872" s="112" t="str">
        <f>AG1854</f>
        <v>8.53</v>
      </c>
      <c r="AC1872" s="20" t="s">
        <v>1390</v>
      </c>
      <c r="AD1872" s="112" t="str">
        <f>AD1802</f>
        <v>0.82</v>
      </c>
      <c r="AE1872" s="20" t="s">
        <v>1390</v>
      </c>
      <c r="AF1872" s="112">
        <f>AB1852</f>
        <v>0.9</v>
      </c>
      <c r="AG1872" s="20" t="s">
        <v>1387</v>
      </c>
      <c r="AH1872" s="112" t="str">
        <f>AH1868</f>
        <v>19.24</v>
      </c>
      <c r="AI1872" s="20" t="s">
        <v>1326</v>
      </c>
      <c r="AJ1872" s="112" t="str">
        <f>TEXT(ROUND(Z1872*AG1854*AD1802*AB1852/AH1868,2),"0.00")</f>
        <v>19.63</v>
      </c>
      <c r="AK1872" s="109"/>
      <c r="AL1872" s="109"/>
      <c r="AM1872" s="109"/>
      <c r="AN1872" s="109"/>
      <c r="AO1872" s="109"/>
      <c r="AP1872" s="109"/>
      <c r="AQ1872" s="109"/>
      <c r="AR1872" s="109"/>
      <c r="AS1872" s="109"/>
    </row>
    <row r="1873" spans="1:45" ht="12.6" customHeight="1" x14ac:dyDescent="0.3">
      <c r="A1873" s="78"/>
      <c r="B1873" s="78"/>
      <c r="C1873" s="78"/>
      <c r="D1873" s="78"/>
      <c r="E1873" s="78"/>
      <c r="F1873" s="78"/>
      <c r="G1873" s="16" t="s">
        <v>1317</v>
      </c>
      <c r="Z1873" s="109"/>
      <c r="AA1873" s="109"/>
      <c r="AB1873" s="109"/>
      <c r="AC1873" s="109"/>
      <c r="AD1873" s="109"/>
      <c r="AE1873" s="109"/>
      <c r="AF1873" s="109"/>
      <c r="AG1873" s="109"/>
      <c r="AH1873" s="109"/>
      <c r="AI1873" s="109"/>
      <c r="AJ1873" s="109"/>
      <c r="AK1873" s="109"/>
      <c r="AL1873" s="109"/>
      <c r="AM1873" s="109"/>
      <c r="AN1873" s="109"/>
      <c r="AO1873" s="109"/>
      <c r="AP1873" s="109"/>
      <c r="AQ1873" s="109"/>
      <c r="AR1873" s="109"/>
      <c r="AS1873" s="109"/>
    </row>
    <row r="1874" spans="1:45" ht="12.6" customHeight="1" x14ac:dyDescent="0.3">
      <c r="A1874" s="68" t="s">
        <v>1968</v>
      </c>
      <c r="B1874" s="97" t="str">
        <f>" 노 무 비  :  "&amp;TEXT(I1874,"#,##0"&amp;IF(I1874&lt;&gt;INT(I1874),".###",""))&amp;" / Q2 = "&amp;TEXT(C1874,"#,##0.0")&amp;""</f>
        <v xml:space="preserve"> 노 무 비  :  47,231 / Q2 = 2,406.0</v>
      </c>
      <c r="C1874" s="99">
        <f>E1874+D1874+F1874</f>
        <v>2406</v>
      </c>
      <c r="D1874" s="99">
        <f>IF(H1874=0,0,ROUNDDOWN(J1874*H1874,1))</f>
        <v>2406</v>
      </c>
      <c r="E1874" s="99">
        <f>IF(H1874=0,0,ROUNDDOWN(K1874*H1874,1))</f>
        <v>0</v>
      </c>
      <c r="F1874" s="99">
        <f>IF(H1874=0,0,ROUNDDOWN(L1874*H1874,1))</f>
        <v>0</v>
      </c>
      <c r="G1874" s="16" t="s">
        <v>1967</v>
      </c>
      <c r="H1874" s="105">
        <f>AC1874</f>
        <v>5.0942435048395317E-2</v>
      </c>
      <c r="I1874" s="106">
        <f>K1874+J1874+L1874</f>
        <v>47231</v>
      </c>
      <c r="J1874" s="39">
        <f>중기목록표!F12</f>
        <v>47231</v>
      </c>
      <c r="M1874" s="20" t="s">
        <v>1969</v>
      </c>
      <c r="N1874" s="20" t="s">
        <v>1332</v>
      </c>
      <c r="X1874" s="108" t="str">
        <f>중기목록표!B12&amp;" / "&amp;중기목록표!C12</f>
        <v>덤프트럭10.5ton(암) / 할증율:1.25</v>
      </c>
      <c r="Y1874" s="19" t="str">
        <f ca="1">HYPERLINK("#"&amp;중기목록표!J2&amp;"!A"&amp;ROW(중기목록표!A12),"중기    9 →")</f>
        <v>중기    9 →</v>
      </c>
      <c r="Z1874" s="20" t="s">
        <v>1393</v>
      </c>
      <c r="AA1874" s="112" t="str">
        <f>AJ1872</f>
        <v>19.63</v>
      </c>
      <c r="AB1874" s="20" t="s">
        <v>1326</v>
      </c>
      <c r="AC1874" s="113">
        <f>1/AJ1872</f>
        <v>5.0942435048395317E-2</v>
      </c>
      <c r="AD1874" s="109"/>
      <c r="AE1874" s="109"/>
      <c r="AF1874" s="109"/>
      <c r="AG1874" s="109"/>
      <c r="AH1874" s="109"/>
      <c r="AI1874" s="109"/>
      <c r="AJ1874" s="109"/>
      <c r="AK1874" s="109"/>
      <c r="AL1874" s="109"/>
      <c r="AM1874" s="109"/>
      <c r="AN1874" s="109"/>
      <c r="AO1874" s="109"/>
      <c r="AP1874" s="109"/>
      <c r="AQ1874" s="109"/>
      <c r="AR1874" s="109"/>
      <c r="AS1874" s="109"/>
    </row>
    <row r="1875" spans="1:45" ht="12.6" customHeight="1" x14ac:dyDescent="0.3">
      <c r="A1875" s="78"/>
      <c r="B1875" s="78"/>
      <c r="C1875" s="78"/>
      <c r="D1875" s="78"/>
      <c r="E1875" s="78"/>
      <c r="F1875" s="78"/>
      <c r="G1875" s="16" t="s">
        <v>1317</v>
      </c>
      <c r="Z1875" s="109"/>
      <c r="AA1875" s="109"/>
      <c r="AB1875" s="109"/>
      <c r="AC1875" s="109"/>
      <c r="AD1875" s="109"/>
      <c r="AE1875" s="109"/>
      <c r="AF1875" s="109"/>
      <c r="AG1875" s="109"/>
      <c r="AH1875" s="109"/>
      <c r="AI1875" s="109"/>
      <c r="AJ1875" s="109"/>
      <c r="AK1875" s="109"/>
      <c r="AL1875" s="109"/>
      <c r="AM1875" s="109"/>
      <c r="AN1875" s="109"/>
      <c r="AO1875" s="109"/>
      <c r="AP1875" s="109"/>
      <c r="AQ1875" s="109"/>
      <c r="AR1875" s="109"/>
      <c r="AS1875" s="109"/>
    </row>
    <row r="1876" spans="1:45" ht="12.6" customHeight="1" x14ac:dyDescent="0.3">
      <c r="A1876" s="68" t="s">
        <v>1971</v>
      </c>
      <c r="B1876" s="97" t="str">
        <f>" 재 료 비  :  "&amp;TEXT(I1876,"#,##0"&amp;IF(I1876&lt;&gt;INT(I1876),".###",""))&amp;" / Q2 * OH = "&amp;TEXT(C1876,"#,##0.0")&amp;""</f>
        <v xml:space="preserve"> 재 료 비  :  24,750 / Q2 * OH = 63.0</v>
      </c>
      <c r="C1876" s="99">
        <f>E1876+D1876+F1876</f>
        <v>63</v>
      </c>
      <c r="D1876" s="99">
        <f>IF(H1876=0,0,ROUNDDOWN(J1876*H1876,1))</f>
        <v>0</v>
      </c>
      <c r="E1876" s="99">
        <f>IF(H1876=0,0,ROUNDDOWN(K1876*H1876,1))</f>
        <v>63</v>
      </c>
      <c r="F1876" s="99">
        <f>IF(H1876=0,0,ROUNDDOWN(L1876*H1876,1))</f>
        <v>0</v>
      </c>
      <c r="G1876" s="16" t="s">
        <v>1970</v>
      </c>
      <c r="H1876" s="105">
        <f>AE1876</f>
        <v>2.5471217524197661E-3</v>
      </c>
      <c r="I1876" s="106">
        <f>K1876+J1876+L1876</f>
        <v>24750</v>
      </c>
      <c r="K1876" s="39">
        <f>중기목록표!G12</f>
        <v>24750</v>
      </c>
      <c r="M1876" s="20" t="s">
        <v>1969</v>
      </c>
      <c r="N1876" s="20" t="s">
        <v>1332</v>
      </c>
      <c r="X1876" s="108" t="str">
        <f>중기목록표!B12&amp;" / "&amp;중기목록표!C12</f>
        <v>덤프트럭10.5ton(암) / 할증율:1.25</v>
      </c>
      <c r="Y1876" s="19" t="str">
        <f ca="1">HYPERLINK("#"&amp;중기목록표!J2&amp;"!A"&amp;ROW(중기목록표!A12),"중기    9 →")</f>
        <v>중기    9 →</v>
      </c>
      <c r="Z1876" s="20" t="s">
        <v>1393</v>
      </c>
      <c r="AA1876" s="112" t="str">
        <f>AJ1872</f>
        <v>19.63</v>
      </c>
      <c r="AB1876" s="20" t="s">
        <v>1390</v>
      </c>
      <c r="AC1876" s="112" t="str">
        <f>AD1870</f>
        <v>0.05</v>
      </c>
      <c r="AD1876" s="20" t="s">
        <v>1326</v>
      </c>
      <c r="AE1876" s="113">
        <f>1/AJ1872*AD1870</f>
        <v>2.5471217524197661E-3</v>
      </c>
      <c r="AF1876" s="109"/>
      <c r="AG1876" s="109"/>
      <c r="AH1876" s="109"/>
      <c r="AI1876" s="109"/>
      <c r="AJ1876" s="109"/>
      <c r="AK1876" s="109"/>
      <c r="AL1876" s="109"/>
      <c r="AM1876" s="109"/>
      <c r="AN1876" s="109"/>
      <c r="AO1876" s="109"/>
      <c r="AP1876" s="109"/>
      <c r="AQ1876" s="109"/>
      <c r="AR1876" s="109"/>
      <c r="AS1876" s="109"/>
    </row>
    <row r="1877" spans="1:45" ht="12.6" customHeight="1" x14ac:dyDescent="0.3">
      <c r="A1877" s="78"/>
      <c r="B1877" s="78"/>
      <c r="C1877" s="78"/>
      <c r="D1877" s="78"/>
      <c r="E1877" s="78"/>
      <c r="F1877" s="78"/>
      <c r="G1877" s="16" t="s">
        <v>1317</v>
      </c>
      <c r="Z1877" s="109"/>
      <c r="AA1877" s="109"/>
      <c r="AB1877" s="109"/>
      <c r="AC1877" s="109"/>
      <c r="AD1877" s="109"/>
      <c r="AE1877" s="109"/>
      <c r="AF1877" s="109"/>
      <c r="AG1877" s="109"/>
      <c r="AH1877" s="109"/>
      <c r="AI1877" s="109"/>
      <c r="AJ1877" s="109"/>
      <c r="AK1877" s="109"/>
      <c r="AL1877" s="109"/>
      <c r="AM1877" s="109"/>
      <c r="AN1877" s="109"/>
      <c r="AO1877" s="109"/>
      <c r="AP1877" s="109"/>
      <c r="AQ1877" s="109"/>
      <c r="AR1877" s="109"/>
      <c r="AS1877" s="109"/>
    </row>
    <row r="1878" spans="1:45" ht="12.6" customHeight="1" x14ac:dyDescent="0.3">
      <c r="A1878" s="68" t="s">
        <v>1973</v>
      </c>
      <c r="B1878" s="97" t="str">
        <f>" 경    비  :  "&amp;TEXT(I1878,"#,##0"&amp;IF(I1878&lt;&gt;INT(I1878),".###",""))&amp;" / Q2 = "&amp;TEXT(C1878,"#,##0.0")&amp;""</f>
        <v xml:space="preserve"> 경    비  :  13,222 / Q2 = 673.5</v>
      </c>
      <c r="C1878" s="99">
        <f>E1878+D1878+F1878</f>
        <v>673.5</v>
      </c>
      <c r="D1878" s="99">
        <f>IF(H1878=0,0,ROUNDDOWN(J1878*H1878,1))</f>
        <v>0</v>
      </c>
      <c r="E1878" s="99">
        <f>IF(H1878=0,0,ROUNDDOWN(K1878*H1878,1))</f>
        <v>0</v>
      </c>
      <c r="F1878" s="99">
        <f>IF(H1878=0,0,ROUNDDOWN(L1878*H1878,1))</f>
        <v>673.5</v>
      </c>
      <c r="G1878" s="16" t="s">
        <v>1972</v>
      </c>
      <c r="H1878" s="105">
        <f>AC1878</f>
        <v>5.0942435048395317E-2</v>
      </c>
      <c r="I1878" s="106">
        <f>K1878+J1878+L1878</f>
        <v>13222</v>
      </c>
      <c r="L1878" s="39">
        <f>중기목록표!H12</f>
        <v>13222</v>
      </c>
      <c r="M1878" s="20" t="s">
        <v>1969</v>
      </c>
      <c r="N1878" s="20" t="s">
        <v>1332</v>
      </c>
      <c r="X1878" s="108" t="str">
        <f>중기목록표!B12&amp;" / "&amp;중기목록표!C12</f>
        <v>덤프트럭10.5ton(암) / 할증율:1.25</v>
      </c>
      <c r="Y1878" s="19" t="str">
        <f ca="1">HYPERLINK("#"&amp;중기목록표!J2&amp;"!A"&amp;ROW(중기목록표!A12),"중기    9 →")</f>
        <v>중기    9 →</v>
      </c>
      <c r="Z1878" s="20" t="s">
        <v>1393</v>
      </c>
      <c r="AA1878" s="112" t="str">
        <f>AJ1872</f>
        <v>19.63</v>
      </c>
      <c r="AB1878" s="20" t="s">
        <v>1326</v>
      </c>
      <c r="AC1878" s="113">
        <f>1/AJ1872</f>
        <v>5.0942435048395317E-2</v>
      </c>
      <c r="AD1878" s="109"/>
      <c r="AE1878" s="109"/>
      <c r="AF1878" s="109"/>
      <c r="AG1878" s="109"/>
      <c r="AH1878" s="109"/>
      <c r="AI1878" s="109"/>
      <c r="AJ1878" s="109"/>
      <c r="AK1878" s="109"/>
      <c r="AL1878" s="109"/>
      <c r="AM1878" s="109"/>
      <c r="AN1878" s="109"/>
      <c r="AO1878" s="109"/>
      <c r="AP1878" s="109"/>
      <c r="AQ1878" s="109"/>
      <c r="AR1878" s="109"/>
      <c r="AS1878" s="109"/>
    </row>
    <row r="1879" spans="1:45" ht="12.6" customHeight="1" x14ac:dyDescent="0.3">
      <c r="A1879" s="78"/>
      <c r="B1879" s="78"/>
      <c r="C1879" s="78"/>
      <c r="D1879" s="78"/>
      <c r="E1879" s="78"/>
      <c r="F1879" s="78"/>
      <c r="G1879" s="16" t="s">
        <v>1317</v>
      </c>
      <c r="Z1879" s="109"/>
      <c r="AA1879" s="109"/>
      <c r="AB1879" s="109"/>
      <c r="AC1879" s="109"/>
      <c r="AD1879" s="109"/>
      <c r="AE1879" s="109"/>
      <c r="AF1879" s="109"/>
      <c r="AG1879" s="109"/>
      <c r="AH1879" s="109"/>
      <c r="AI1879" s="109"/>
      <c r="AJ1879" s="109"/>
      <c r="AK1879" s="109"/>
      <c r="AL1879" s="109"/>
      <c r="AM1879" s="109"/>
      <c r="AN1879" s="109"/>
      <c r="AO1879" s="109"/>
      <c r="AP1879" s="109"/>
      <c r="AQ1879" s="109"/>
      <c r="AR1879" s="109"/>
      <c r="AS1879" s="109"/>
    </row>
    <row r="1880" spans="1:45" ht="12.6" customHeight="1" x14ac:dyDescent="0.3">
      <c r="A1880" s="68"/>
      <c r="B1880" s="77" t="s">
        <v>1331</v>
      </c>
      <c r="C1880" s="100">
        <f>E1880+D1880+F1880</f>
        <v>3142.5</v>
      </c>
      <c r="D1880" s="100">
        <f>SUMIF(N1849:N1879,M1880,D1849:D1879)</f>
        <v>2406</v>
      </c>
      <c r="E1880" s="100">
        <f>SUMIF(N1849:N1879,M1880,E1849:E1879)</f>
        <v>63</v>
      </c>
      <c r="F1880" s="100">
        <f>SUMIF(N1849:N1879,M1880,F1849:F1879)</f>
        <v>673.5</v>
      </c>
      <c r="G1880" s="16" t="s">
        <v>1363</v>
      </c>
      <c r="M1880" s="20" t="s">
        <v>1332</v>
      </c>
      <c r="N1880" s="20" t="s">
        <v>1341</v>
      </c>
      <c r="Z1880" s="109"/>
      <c r="AA1880" s="109"/>
      <c r="AB1880" s="109"/>
      <c r="AC1880" s="109"/>
      <c r="AD1880" s="109"/>
      <c r="AE1880" s="109"/>
      <c r="AF1880" s="109"/>
      <c r="AG1880" s="109"/>
      <c r="AH1880" s="109"/>
      <c r="AI1880" s="109"/>
      <c r="AJ1880" s="109"/>
      <c r="AK1880" s="109"/>
      <c r="AL1880" s="109"/>
      <c r="AM1880" s="109"/>
      <c r="AN1880" s="109"/>
      <c r="AO1880" s="109"/>
      <c r="AP1880" s="109"/>
      <c r="AQ1880" s="109"/>
      <c r="AR1880" s="109"/>
      <c r="AS1880" s="109"/>
    </row>
    <row r="1881" spans="1:45" ht="12.6" customHeight="1" x14ac:dyDescent="0.3">
      <c r="A1881" s="78"/>
      <c r="B1881" s="78"/>
      <c r="C1881" s="98"/>
      <c r="D1881" s="98"/>
      <c r="E1881" s="98"/>
      <c r="F1881" s="98"/>
      <c r="G1881" s="16" t="s">
        <v>1317</v>
      </c>
      <c r="Z1881" s="109"/>
      <c r="AA1881" s="109"/>
      <c r="AB1881" s="109"/>
      <c r="AC1881" s="109"/>
      <c r="AD1881" s="109"/>
      <c r="AE1881" s="109"/>
      <c r="AF1881" s="109"/>
      <c r="AG1881" s="109"/>
      <c r="AH1881" s="109"/>
      <c r="AI1881" s="109"/>
      <c r="AJ1881" s="109"/>
      <c r="AK1881" s="109"/>
      <c r="AL1881" s="109"/>
      <c r="AM1881" s="109"/>
      <c r="AN1881" s="109"/>
      <c r="AO1881" s="109"/>
      <c r="AP1881" s="109"/>
      <c r="AQ1881" s="109"/>
      <c r="AR1881" s="109"/>
      <c r="AS1881" s="109"/>
    </row>
    <row r="1882" spans="1:45" ht="12.6" customHeight="1" x14ac:dyDescent="0.3">
      <c r="A1882" s="68"/>
      <c r="B1882" s="77" t="s">
        <v>1933</v>
      </c>
      <c r="C1882" s="78"/>
      <c r="D1882" s="78"/>
      <c r="E1882" s="78"/>
      <c r="F1882" s="78"/>
      <c r="G1882" s="16" t="s">
        <v>1932</v>
      </c>
      <c r="Z1882" s="109"/>
      <c r="AA1882" s="109"/>
      <c r="AB1882" s="109"/>
      <c r="AC1882" s="109"/>
      <c r="AD1882" s="109"/>
      <c r="AE1882" s="109"/>
      <c r="AF1882" s="109"/>
      <c r="AG1882" s="109"/>
      <c r="AH1882" s="109"/>
      <c r="AI1882" s="109"/>
      <c r="AJ1882" s="109"/>
      <c r="AK1882" s="109"/>
      <c r="AL1882" s="109"/>
      <c r="AM1882" s="109"/>
      <c r="AN1882" s="109"/>
      <c r="AO1882" s="109"/>
      <c r="AP1882" s="109"/>
      <c r="AQ1882" s="109"/>
      <c r="AR1882" s="109"/>
      <c r="AS1882" s="109"/>
    </row>
    <row r="1883" spans="1:45" ht="12.6" customHeight="1" x14ac:dyDescent="0.3">
      <c r="A1883" s="78"/>
      <c r="B1883" s="78"/>
      <c r="C1883" s="78"/>
      <c r="D1883" s="78"/>
      <c r="E1883" s="78"/>
      <c r="F1883" s="78"/>
      <c r="G1883" s="16" t="s">
        <v>1317</v>
      </c>
      <c r="Z1883" s="109"/>
      <c r="AA1883" s="109"/>
      <c r="AB1883" s="109"/>
      <c r="AC1883" s="109"/>
      <c r="AD1883" s="109"/>
      <c r="AE1883" s="109"/>
      <c r="AF1883" s="109"/>
      <c r="AG1883" s="109"/>
      <c r="AH1883" s="109"/>
      <c r="AI1883" s="109"/>
      <c r="AJ1883" s="109"/>
      <c r="AK1883" s="109"/>
      <c r="AL1883" s="109"/>
      <c r="AM1883" s="109"/>
      <c r="AN1883" s="109"/>
      <c r="AO1883" s="109"/>
      <c r="AP1883" s="109"/>
      <c r="AQ1883" s="109"/>
      <c r="AR1883" s="109"/>
      <c r="AS1883" s="109"/>
    </row>
    <row r="1884" spans="1:45" ht="12.6" customHeight="1" x14ac:dyDescent="0.3">
      <c r="A1884" s="68"/>
      <c r="B1884" s="97" t="str">
        <f>"q (버킷용량) = "&amp;Z1884&amp;" , k (버킷계수) = "&amp;AD1884&amp;" , f (체적환산계수) = "&amp;AH1884&amp;""</f>
        <v>q (버킷용량) = 0.7 , k (버킷계수) = 0.7 , f (체적환산계수) = 1</v>
      </c>
      <c r="C1884" s="78"/>
      <c r="D1884" s="78"/>
      <c r="E1884" s="78"/>
      <c r="F1884" s="78"/>
      <c r="G1884" s="16" t="s">
        <v>1934</v>
      </c>
      <c r="Z1884" s="110">
        <v>0.7</v>
      </c>
      <c r="AA1884" s="20" t="s">
        <v>1326</v>
      </c>
      <c r="AB1884" s="112">
        <f>Z1884</f>
        <v>0.7</v>
      </c>
      <c r="AC1884" s="20" t="s">
        <v>1385</v>
      </c>
      <c r="AD1884" s="110">
        <v>0.7</v>
      </c>
      <c r="AE1884" s="20" t="s">
        <v>1326</v>
      </c>
      <c r="AF1884" s="112">
        <f>AD1884</f>
        <v>0.7</v>
      </c>
      <c r="AG1884" s="20" t="s">
        <v>1385</v>
      </c>
      <c r="AH1884" s="111">
        <v>1</v>
      </c>
      <c r="AI1884" s="20" t="s">
        <v>1326</v>
      </c>
      <c r="AJ1884" s="112">
        <f>AH1884</f>
        <v>1</v>
      </c>
      <c r="AK1884" s="20" t="s">
        <v>1385</v>
      </c>
      <c r="AL1884" s="109"/>
      <c r="AM1884" s="109"/>
      <c r="AN1884" s="109"/>
      <c r="AO1884" s="109"/>
      <c r="AP1884" s="109"/>
      <c r="AQ1884" s="109"/>
      <c r="AR1884" s="109"/>
      <c r="AS1884" s="109"/>
    </row>
    <row r="1885" spans="1:45" ht="12.6" customHeight="1" x14ac:dyDescent="0.3">
      <c r="A1885" s="78"/>
      <c r="B1885" s="78"/>
      <c r="C1885" s="78"/>
      <c r="D1885" s="78"/>
      <c r="E1885" s="78"/>
      <c r="F1885" s="78"/>
      <c r="G1885" s="16" t="s">
        <v>1317</v>
      </c>
      <c r="Z1885" s="109"/>
      <c r="AA1885" s="109"/>
      <c r="AB1885" s="109"/>
      <c r="AC1885" s="109"/>
      <c r="AD1885" s="109"/>
      <c r="AE1885" s="109"/>
      <c r="AF1885" s="109"/>
      <c r="AG1885" s="109"/>
      <c r="AH1885" s="109"/>
      <c r="AI1885" s="109"/>
      <c r="AJ1885" s="109"/>
      <c r="AK1885" s="109"/>
      <c r="AL1885" s="109"/>
      <c r="AM1885" s="109"/>
      <c r="AN1885" s="109"/>
      <c r="AO1885" s="109"/>
      <c r="AP1885" s="109"/>
      <c r="AQ1885" s="109"/>
      <c r="AR1885" s="109"/>
      <c r="AS1885" s="109"/>
    </row>
    <row r="1886" spans="1:45" ht="12.6" customHeight="1" x14ac:dyDescent="0.3">
      <c r="A1886" s="68"/>
      <c r="B1886" s="97" t="str">
        <f>"E (작업효율) = "&amp;Z1886&amp;" , Cm (1회 사이클 시간(초)) = "&amp;AD1886&amp;"  sec(90) "</f>
        <v xml:space="preserve">E (작업효율) = 0.45 , Cm (1회 사이클 시간(초)) = 18  sec(90) </v>
      </c>
      <c r="C1886" s="78"/>
      <c r="D1886" s="78"/>
      <c r="E1886" s="78"/>
      <c r="F1886" s="78"/>
      <c r="G1886" s="16" t="s">
        <v>1974</v>
      </c>
      <c r="Z1886" s="110">
        <v>0.45</v>
      </c>
      <c r="AA1886" s="20" t="s">
        <v>1326</v>
      </c>
      <c r="AB1886" s="112">
        <f>Z1886</f>
        <v>0.45</v>
      </c>
      <c r="AC1886" s="20" t="s">
        <v>1385</v>
      </c>
      <c r="AD1886" s="111">
        <v>18</v>
      </c>
      <c r="AE1886" s="20" t="s">
        <v>1326</v>
      </c>
      <c r="AF1886" s="112">
        <f>AD1886</f>
        <v>18</v>
      </c>
      <c r="AG1886" s="20" t="s">
        <v>1385</v>
      </c>
      <c r="AH1886" s="109"/>
      <c r="AI1886" s="109"/>
      <c r="AJ1886" s="109"/>
      <c r="AK1886" s="109"/>
      <c r="AL1886" s="109"/>
      <c r="AM1886" s="109"/>
      <c r="AN1886" s="109"/>
      <c r="AO1886" s="109"/>
      <c r="AP1886" s="109"/>
      <c r="AQ1886" s="109"/>
      <c r="AR1886" s="109"/>
      <c r="AS1886" s="109"/>
    </row>
    <row r="1887" spans="1:45" ht="12.6" customHeight="1" x14ac:dyDescent="0.3">
      <c r="A1887" s="78"/>
      <c r="B1887" s="78"/>
      <c r="C1887" s="78"/>
      <c r="D1887" s="78"/>
      <c r="E1887" s="78"/>
      <c r="F1887" s="78"/>
      <c r="G1887" s="16" t="s">
        <v>1317</v>
      </c>
      <c r="Z1887" s="109"/>
      <c r="AA1887" s="109"/>
      <c r="AB1887" s="109"/>
      <c r="AC1887" s="109"/>
      <c r="AD1887" s="109"/>
      <c r="AE1887" s="109"/>
      <c r="AF1887" s="109"/>
      <c r="AG1887" s="109"/>
      <c r="AH1887" s="109"/>
      <c r="AI1887" s="109"/>
      <c r="AJ1887" s="109"/>
      <c r="AK1887" s="109"/>
      <c r="AL1887" s="109"/>
      <c r="AM1887" s="109"/>
      <c r="AN1887" s="109"/>
      <c r="AO1887" s="109"/>
      <c r="AP1887" s="109"/>
      <c r="AQ1887" s="109"/>
      <c r="AR1887" s="109"/>
      <c r="AS1887" s="109"/>
    </row>
    <row r="1888" spans="1:45" ht="12.6" customHeight="1" x14ac:dyDescent="0.3">
      <c r="A1888" s="68"/>
      <c r="B1888" s="97" t="str">
        <f>"Q3 (시간당 작업량) = "&amp;Z1888&amp;"*q*k*E*f/Cm = "&amp;AL1888&amp;" m3/hr "</f>
        <v xml:space="preserve">Q3 (시간당 작업량) = 3600*q*k*E*f/Cm = 44.10 m3/hr </v>
      </c>
      <c r="C1888" s="78"/>
      <c r="D1888" s="78"/>
      <c r="E1888" s="78"/>
      <c r="F1888" s="78"/>
      <c r="G1888" s="16" t="s">
        <v>1975</v>
      </c>
      <c r="Z1888" s="111">
        <v>3600</v>
      </c>
      <c r="AA1888" s="20" t="s">
        <v>1390</v>
      </c>
      <c r="AB1888" s="112">
        <f>AB1884</f>
        <v>0.7</v>
      </c>
      <c r="AC1888" s="20" t="s">
        <v>1390</v>
      </c>
      <c r="AD1888" s="112">
        <f>AF1884</f>
        <v>0.7</v>
      </c>
      <c r="AE1888" s="20" t="s">
        <v>1390</v>
      </c>
      <c r="AF1888" s="112">
        <f>AB1886</f>
        <v>0.45</v>
      </c>
      <c r="AG1888" s="20" t="s">
        <v>1390</v>
      </c>
      <c r="AH1888" s="112">
        <f>AJ1884</f>
        <v>1</v>
      </c>
      <c r="AI1888" s="20" t="s">
        <v>1387</v>
      </c>
      <c r="AJ1888" s="112">
        <f>AF1886</f>
        <v>18</v>
      </c>
      <c r="AK1888" s="20" t="s">
        <v>1326</v>
      </c>
      <c r="AL1888" s="112" t="str">
        <f>TEXT(ROUND(Z1888*AB1884*AF1884*AB1886*AJ1884/AF1886,2),"0.00")</f>
        <v>44.10</v>
      </c>
      <c r="AM1888" s="109"/>
      <c r="AN1888" s="109"/>
      <c r="AO1888" s="109"/>
      <c r="AP1888" s="109"/>
      <c r="AQ1888" s="109"/>
      <c r="AR1888" s="109"/>
      <c r="AS1888" s="109"/>
    </row>
    <row r="1889" spans="1:45" ht="12.6" customHeight="1" x14ac:dyDescent="0.3">
      <c r="A1889" s="78"/>
      <c r="B1889" s="78"/>
      <c r="C1889" s="78"/>
      <c r="D1889" s="78"/>
      <c r="E1889" s="78"/>
      <c r="F1889" s="78"/>
      <c r="G1889" s="16" t="s">
        <v>1317</v>
      </c>
      <c r="Z1889" s="109"/>
      <c r="AA1889" s="109"/>
      <c r="AB1889" s="109"/>
      <c r="AC1889" s="109"/>
      <c r="AD1889" s="109"/>
      <c r="AE1889" s="109"/>
      <c r="AF1889" s="109"/>
      <c r="AG1889" s="109"/>
      <c r="AH1889" s="109"/>
      <c r="AI1889" s="109"/>
      <c r="AJ1889" s="109"/>
      <c r="AK1889" s="109"/>
      <c r="AL1889" s="109"/>
      <c r="AM1889" s="109"/>
      <c r="AN1889" s="109"/>
      <c r="AO1889" s="109"/>
      <c r="AP1889" s="109"/>
      <c r="AQ1889" s="109"/>
      <c r="AR1889" s="109"/>
      <c r="AS1889" s="109"/>
    </row>
    <row r="1890" spans="1:45" ht="12.6" customHeight="1" x14ac:dyDescent="0.3">
      <c r="A1890" s="68" t="s">
        <v>1441</v>
      </c>
      <c r="B1890" s="97" t="str">
        <f>" 노 무 비  :  "&amp;TEXT(I1890,"#,##0"&amp;IF(I1890&lt;&gt;INT(I1890),".###",""))&amp;" / Q3/ "&amp;AC1890&amp;" = "&amp;TEXT(C1890,"#,##0.0")&amp;""</f>
        <v xml:space="preserve"> 노 무 비  :  55,700 / Q3/ 3 = 421.0</v>
      </c>
      <c r="C1890" s="99">
        <f>E1890+D1890+F1890</f>
        <v>421</v>
      </c>
      <c r="D1890" s="99">
        <f>IF(H1890=0,0,ROUNDDOWN(J1890*H1890,1))</f>
        <v>421</v>
      </c>
      <c r="E1890" s="99">
        <f>IF(H1890=0,0,ROUNDDOWN(K1890*H1890,1))</f>
        <v>0</v>
      </c>
      <c r="F1890" s="99">
        <f>IF(H1890=0,0,ROUNDDOWN(L1890*H1890,1))</f>
        <v>0</v>
      </c>
      <c r="G1890" s="16" t="s">
        <v>1976</v>
      </c>
      <c r="H1890" s="105">
        <f>AE1890</f>
        <v>7.5585789871504159E-3</v>
      </c>
      <c r="I1890" s="106">
        <f>K1890+J1890+L1890</f>
        <v>55700</v>
      </c>
      <c r="J1890" s="39">
        <f>중기목록표!F9</f>
        <v>55700</v>
      </c>
      <c r="M1890" s="20" t="s">
        <v>1442</v>
      </c>
      <c r="N1890" s="20" t="s">
        <v>1332</v>
      </c>
      <c r="X1890" s="108" t="str">
        <f>중기목록표!B9&amp;" / "&amp;중기목록표!C9</f>
        <v>굴삭기(0.7m3) / 0.7㎥,(암석)</v>
      </c>
      <c r="Y1890" s="19" t="str">
        <f ca="1">HYPERLINK("#"&amp;중기목록표!J2&amp;"!A"&amp;ROW(중기목록표!A9),"중기    6 →")</f>
        <v>중기    6 →</v>
      </c>
      <c r="Z1890" s="20" t="s">
        <v>1393</v>
      </c>
      <c r="AA1890" s="112" t="str">
        <f>AL1888</f>
        <v>44.10</v>
      </c>
      <c r="AB1890" s="20" t="s">
        <v>1387</v>
      </c>
      <c r="AC1890" s="111">
        <v>3</v>
      </c>
      <c r="AD1890" s="20" t="s">
        <v>1326</v>
      </c>
      <c r="AE1890" s="113">
        <f>1/AL1888/AC1890</f>
        <v>7.5585789871504159E-3</v>
      </c>
      <c r="AF1890" s="109"/>
      <c r="AG1890" s="109"/>
      <c r="AH1890" s="109"/>
      <c r="AI1890" s="109"/>
      <c r="AJ1890" s="109"/>
      <c r="AK1890" s="109"/>
      <c r="AL1890" s="109"/>
      <c r="AM1890" s="109"/>
      <c r="AN1890" s="109"/>
      <c r="AO1890" s="109"/>
      <c r="AP1890" s="109"/>
      <c r="AQ1890" s="109"/>
      <c r="AR1890" s="109"/>
      <c r="AS1890" s="109"/>
    </row>
    <row r="1891" spans="1:45" ht="12.6" customHeight="1" x14ac:dyDescent="0.3">
      <c r="A1891" s="78"/>
      <c r="B1891" s="78"/>
      <c r="C1891" s="78"/>
      <c r="D1891" s="78"/>
      <c r="E1891" s="78"/>
      <c r="F1891" s="78"/>
      <c r="G1891" s="16" t="s">
        <v>1317</v>
      </c>
      <c r="Z1891" s="109"/>
      <c r="AA1891" s="109"/>
      <c r="AB1891" s="109"/>
      <c r="AC1891" s="109"/>
      <c r="AD1891" s="109"/>
      <c r="AE1891" s="109"/>
      <c r="AF1891" s="109"/>
      <c r="AG1891" s="109"/>
      <c r="AH1891" s="109"/>
      <c r="AI1891" s="109"/>
      <c r="AJ1891" s="109"/>
      <c r="AK1891" s="109"/>
      <c r="AL1891" s="109"/>
      <c r="AM1891" s="109"/>
      <c r="AN1891" s="109"/>
      <c r="AO1891" s="109"/>
      <c r="AP1891" s="109"/>
      <c r="AQ1891" s="109"/>
      <c r="AR1891" s="109"/>
      <c r="AS1891" s="109"/>
    </row>
    <row r="1892" spans="1:45" ht="12.6" customHeight="1" x14ac:dyDescent="0.3">
      <c r="A1892" s="68" t="s">
        <v>1444</v>
      </c>
      <c r="B1892" s="97" t="str">
        <f>" 재 료 비  :  "&amp;TEXT(I1892,"#,##0"&amp;IF(I1892&lt;&gt;INT(I1892),".###",""))&amp;" / Q3/ "&amp;AC1892&amp;" = "&amp;TEXT(C1892,"#,##0.0")&amp;""</f>
        <v xml:space="preserve"> 재 료 비  :  18,001 / Q3/ 3 = 136.0</v>
      </c>
      <c r="C1892" s="99">
        <f>E1892+D1892+F1892</f>
        <v>136</v>
      </c>
      <c r="D1892" s="99">
        <f>IF(H1892=0,0,ROUNDDOWN(J1892*H1892,1))</f>
        <v>0</v>
      </c>
      <c r="E1892" s="99">
        <f>IF(H1892=0,0,ROUNDDOWN(K1892*H1892,1))</f>
        <v>136</v>
      </c>
      <c r="F1892" s="99">
        <f>IF(H1892=0,0,ROUNDDOWN(L1892*H1892,1))</f>
        <v>0</v>
      </c>
      <c r="G1892" s="16" t="s">
        <v>1977</v>
      </c>
      <c r="H1892" s="105">
        <f>AE1892</f>
        <v>7.5585789871504159E-3</v>
      </c>
      <c r="I1892" s="106">
        <f>K1892+J1892+L1892</f>
        <v>18001</v>
      </c>
      <c r="K1892" s="39">
        <f>중기목록표!G9</f>
        <v>18001</v>
      </c>
      <c r="M1892" s="20" t="s">
        <v>1442</v>
      </c>
      <c r="N1892" s="20" t="s">
        <v>1332</v>
      </c>
      <c r="X1892" s="108" t="str">
        <f>중기목록표!B9&amp;" / "&amp;중기목록표!C9</f>
        <v>굴삭기(0.7m3) / 0.7㎥,(암석)</v>
      </c>
      <c r="Y1892" s="19" t="str">
        <f ca="1">HYPERLINK("#"&amp;중기목록표!J2&amp;"!A"&amp;ROW(중기목록표!A9),"중기    6 →")</f>
        <v>중기    6 →</v>
      </c>
      <c r="Z1892" s="20" t="s">
        <v>1393</v>
      </c>
      <c r="AA1892" s="112" t="str">
        <f>AL1888</f>
        <v>44.10</v>
      </c>
      <c r="AB1892" s="20" t="s">
        <v>1387</v>
      </c>
      <c r="AC1892" s="111">
        <v>3</v>
      </c>
      <c r="AD1892" s="20" t="s">
        <v>1326</v>
      </c>
      <c r="AE1892" s="113">
        <f>1/AL1888/AC1892</f>
        <v>7.5585789871504159E-3</v>
      </c>
      <c r="AF1892" s="109"/>
      <c r="AG1892" s="109"/>
      <c r="AH1892" s="109"/>
      <c r="AI1892" s="109"/>
      <c r="AJ1892" s="109"/>
      <c r="AK1892" s="109"/>
      <c r="AL1892" s="109"/>
      <c r="AM1892" s="109"/>
      <c r="AN1892" s="109"/>
      <c r="AO1892" s="109"/>
      <c r="AP1892" s="109"/>
      <c r="AQ1892" s="109"/>
      <c r="AR1892" s="109"/>
      <c r="AS1892" s="109"/>
    </row>
    <row r="1893" spans="1:45" ht="12.6" customHeight="1" x14ac:dyDescent="0.3">
      <c r="A1893" s="78"/>
      <c r="B1893" s="78"/>
      <c r="C1893" s="78"/>
      <c r="D1893" s="78"/>
      <c r="E1893" s="78"/>
      <c r="F1893" s="78"/>
      <c r="G1893" s="16" t="s">
        <v>1317</v>
      </c>
      <c r="Z1893" s="109"/>
      <c r="AA1893" s="109"/>
      <c r="AB1893" s="109"/>
      <c r="AC1893" s="109"/>
      <c r="AD1893" s="109"/>
      <c r="AE1893" s="109"/>
      <c r="AF1893" s="109"/>
      <c r="AG1893" s="109"/>
      <c r="AH1893" s="109"/>
      <c r="AI1893" s="109"/>
      <c r="AJ1893" s="109"/>
      <c r="AK1893" s="109"/>
      <c r="AL1893" s="109"/>
      <c r="AM1893" s="109"/>
      <c r="AN1893" s="109"/>
      <c r="AO1893" s="109"/>
      <c r="AP1893" s="109"/>
      <c r="AQ1893" s="109"/>
      <c r="AR1893" s="109"/>
      <c r="AS1893" s="109"/>
    </row>
    <row r="1894" spans="1:45" ht="12.6" customHeight="1" x14ac:dyDescent="0.3">
      <c r="A1894" s="68" t="s">
        <v>1446</v>
      </c>
      <c r="B1894" s="97" t="str">
        <f>" 경    비  :  "&amp;TEXT(I1894,"#,##0"&amp;IF(I1894&lt;&gt;INT(I1894),".###",""))&amp;" / Q3/ "&amp;AC1894&amp;" = "&amp;TEXT(C1894,"#,##0.0")&amp;""</f>
        <v xml:space="preserve"> 경    비  :  26,677 / Q3/ 3 = 201.6</v>
      </c>
      <c r="C1894" s="99">
        <f>E1894+D1894+F1894</f>
        <v>201.6</v>
      </c>
      <c r="D1894" s="99">
        <f>IF(H1894=0,0,ROUNDDOWN(J1894*H1894,1))</f>
        <v>0</v>
      </c>
      <c r="E1894" s="99">
        <f>IF(H1894=0,0,ROUNDDOWN(K1894*H1894,1))</f>
        <v>0</v>
      </c>
      <c r="F1894" s="99">
        <f>IF(H1894=0,0,ROUNDDOWN(L1894*H1894,1))</f>
        <v>201.6</v>
      </c>
      <c r="G1894" s="16" t="s">
        <v>1978</v>
      </c>
      <c r="H1894" s="105">
        <f>AE1894</f>
        <v>7.5585789871504159E-3</v>
      </c>
      <c r="I1894" s="106">
        <f>K1894+J1894+L1894</f>
        <v>26677</v>
      </c>
      <c r="L1894" s="39">
        <f>중기목록표!H9</f>
        <v>26677</v>
      </c>
      <c r="M1894" s="20" t="s">
        <v>1442</v>
      </c>
      <c r="N1894" s="20" t="s">
        <v>1332</v>
      </c>
      <c r="X1894" s="108" t="str">
        <f>중기목록표!B9&amp;" / "&amp;중기목록표!C9</f>
        <v>굴삭기(0.7m3) / 0.7㎥,(암석)</v>
      </c>
      <c r="Y1894" s="19" t="str">
        <f ca="1">HYPERLINK("#"&amp;중기목록표!J2&amp;"!A"&amp;ROW(중기목록표!A9),"중기    6 →")</f>
        <v>중기    6 →</v>
      </c>
      <c r="Z1894" s="20" t="s">
        <v>1393</v>
      </c>
      <c r="AA1894" s="112" t="str">
        <f>AL1888</f>
        <v>44.10</v>
      </c>
      <c r="AB1894" s="20" t="s">
        <v>1387</v>
      </c>
      <c r="AC1894" s="111">
        <v>3</v>
      </c>
      <c r="AD1894" s="20" t="s">
        <v>1326</v>
      </c>
      <c r="AE1894" s="113">
        <f>1/AL1888/AC1894</f>
        <v>7.5585789871504159E-3</v>
      </c>
      <c r="AF1894" s="109"/>
      <c r="AG1894" s="109"/>
      <c r="AH1894" s="109"/>
      <c r="AI1894" s="109"/>
      <c r="AJ1894" s="109"/>
      <c r="AK1894" s="109"/>
      <c r="AL1894" s="109"/>
      <c r="AM1894" s="109"/>
      <c r="AN1894" s="109"/>
      <c r="AO1894" s="109"/>
      <c r="AP1894" s="109"/>
      <c r="AQ1894" s="109"/>
      <c r="AR1894" s="109"/>
      <c r="AS1894" s="109"/>
    </row>
    <row r="1895" spans="1:45" ht="12.6" customHeight="1" x14ac:dyDescent="0.3">
      <c r="A1895" s="78"/>
      <c r="B1895" s="78"/>
      <c r="C1895" s="78"/>
      <c r="D1895" s="78"/>
      <c r="E1895" s="78"/>
      <c r="F1895" s="78"/>
      <c r="G1895" s="16" t="s">
        <v>1317</v>
      </c>
      <c r="Z1895" s="109"/>
      <c r="AA1895" s="109"/>
      <c r="AB1895" s="109"/>
      <c r="AC1895" s="109"/>
      <c r="AD1895" s="109"/>
      <c r="AE1895" s="109"/>
      <c r="AF1895" s="109"/>
      <c r="AG1895" s="109"/>
      <c r="AH1895" s="109"/>
      <c r="AI1895" s="109"/>
      <c r="AJ1895" s="109"/>
      <c r="AK1895" s="109"/>
      <c r="AL1895" s="109"/>
      <c r="AM1895" s="109"/>
      <c r="AN1895" s="109"/>
      <c r="AO1895" s="109"/>
      <c r="AP1895" s="109"/>
      <c r="AQ1895" s="109"/>
      <c r="AR1895" s="109"/>
      <c r="AS1895" s="109"/>
    </row>
    <row r="1896" spans="1:45" ht="12.6" customHeight="1" x14ac:dyDescent="0.3">
      <c r="A1896" s="68"/>
      <c r="B1896" s="77" t="s">
        <v>1331</v>
      </c>
      <c r="C1896" s="100">
        <f>E1896+D1896+F1896</f>
        <v>758.6</v>
      </c>
      <c r="D1896" s="100">
        <f>SUMIF(N1881:N1895,M1896,D1881:D1895)</f>
        <v>421</v>
      </c>
      <c r="E1896" s="100">
        <f>SUMIF(N1881:N1895,M1896,E1881:E1895)</f>
        <v>136</v>
      </c>
      <c r="F1896" s="100">
        <f>SUMIF(N1881:N1895,M1896,F1881:F1895)</f>
        <v>201.6</v>
      </c>
      <c r="G1896" s="16" t="s">
        <v>1415</v>
      </c>
      <c r="M1896" s="20" t="s">
        <v>1332</v>
      </c>
      <c r="N1896" s="20" t="s">
        <v>1341</v>
      </c>
      <c r="Z1896" s="109"/>
      <c r="AA1896" s="109"/>
      <c r="AB1896" s="109"/>
      <c r="AC1896" s="109"/>
      <c r="AD1896" s="109"/>
      <c r="AE1896" s="109"/>
      <c r="AF1896" s="109"/>
      <c r="AG1896" s="109"/>
      <c r="AH1896" s="109"/>
      <c r="AI1896" s="109"/>
      <c r="AJ1896" s="109"/>
      <c r="AK1896" s="109"/>
      <c r="AL1896" s="109"/>
      <c r="AM1896" s="109"/>
      <c r="AN1896" s="109"/>
      <c r="AO1896" s="109"/>
      <c r="AP1896" s="109"/>
      <c r="AQ1896" s="109"/>
      <c r="AR1896" s="109"/>
      <c r="AS1896" s="109"/>
    </row>
    <row r="1897" spans="1:45" ht="12.6" customHeight="1" x14ac:dyDescent="0.3">
      <c r="A1897" s="78"/>
      <c r="B1897" s="78"/>
      <c r="C1897" s="98"/>
      <c r="D1897" s="98"/>
      <c r="E1897" s="98"/>
      <c r="F1897" s="98"/>
      <c r="G1897" s="16" t="s">
        <v>1317</v>
      </c>
      <c r="Z1897" s="109"/>
      <c r="AA1897" s="109"/>
      <c r="AB1897" s="109"/>
      <c r="AC1897" s="109"/>
      <c r="AD1897" s="109"/>
      <c r="AE1897" s="109"/>
      <c r="AF1897" s="109"/>
      <c r="AG1897" s="109"/>
      <c r="AH1897" s="109"/>
      <c r="AI1897" s="109"/>
      <c r="AJ1897" s="109"/>
      <c r="AK1897" s="109"/>
      <c r="AL1897" s="109"/>
      <c r="AM1897" s="109"/>
      <c r="AN1897" s="109"/>
      <c r="AO1897" s="109"/>
      <c r="AP1897" s="109"/>
      <c r="AQ1897" s="109"/>
      <c r="AR1897" s="109"/>
      <c r="AS1897" s="109"/>
    </row>
    <row r="1898" spans="1:45" ht="12.6" customHeight="1" x14ac:dyDescent="0.3">
      <c r="A1898" s="68"/>
      <c r="B1898" s="77" t="s">
        <v>1340</v>
      </c>
      <c r="C1898" s="100">
        <f>E1898+D1898+F1898</f>
        <v>7826.5</v>
      </c>
      <c r="D1898" s="100">
        <f>SUMIF(N1792:N1897,M1898,D1792:D1897)</f>
        <v>5005.3</v>
      </c>
      <c r="E1898" s="100">
        <f>SUMIF(N1792:N1897,M1898,E1792:E1897)</f>
        <v>902.9</v>
      </c>
      <c r="F1898" s="100">
        <f>SUMIF(N1792:N1897,M1898,F1792:F1897)</f>
        <v>1918.3</v>
      </c>
      <c r="G1898" s="16" t="s">
        <v>1380</v>
      </c>
      <c r="M1898" s="20" t="s">
        <v>1341</v>
      </c>
      <c r="N1898" s="20" t="s">
        <v>1128</v>
      </c>
      <c r="Z1898" s="109"/>
      <c r="AA1898" s="109"/>
      <c r="AB1898" s="109"/>
      <c r="AC1898" s="109"/>
      <c r="AD1898" s="109"/>
      <c r="AE1898" s="109"/>
      <c r="AF1898" s="109"/>
      <c r="AG1898" s="109"/>
      <c r="AH1898" s="109"/>
      <c r="AI1898" s="109"/>
      <c r="AJ1898" s="109"/>
      <c r="AK1898" s="109"/>
      <c r="AL1898" s="109"/>
      <c r="AM1898" s="109"/>
      <c r="AN1898" s="109"/>
      <c r="AO1898" s="109"/>
      <c r="AP1898" s="109"/>
      <c r="AQ1898" s="109"/>
      <c r="AR1898" s="109"/>
      <c r="AS1898" s="109"/>
    </row>
    <row r="1899" spans="1:45" ht="12.6" customHeight="1" x14ac:dyDescent="0.3">
      <c r="A1899" s="78"/>
      <c r="B1899" s="78"/>
      <c r="C1899" s="98"/>
      <c r="D1899" s="98"/>
      <c r="E1899" s="98"/>
      <c r="F1899" s="98"/>
      <c r="Z1899" s="109"/>
      <c r="AA1899" s="109"/>
      <c r="AB1899" s="109"/>
      <c r="AC1899" s="109"/>
      <c r="AD1899" s="109"/>
      <c r="AE1899" s="109"/>
      <c r="AF1899" s="109"/>
      <c r="AG1899" s="109"/>
      <c r="AH1899" s="109"/>
      <c r="AI1899" s="109"/>
      <c r="AJ1899" s="109"/>
      <c r="AK1899" s="109"/>
      <c r="AL1899" s="109"/>
      <c r="AM1899" s="109"/>
      <c r="AN1899" s="109"/>
      <c r="AO1899" s="109"/>
      <c r="AP1899" s="109"/>
      <c r="AQ1899" s="109"/>
      <c r="AR1899" s="109"/>
      <c r="AS1899" s="109"/>
    </row>
    <row r="1900" spans="1:45" ht="12.6" customHeight="1" x14ac:dyDescent="0.3">
      <c r="A1900" s="78"/>
      <c r="B1900" s="78"/>
      <c r="C1900" s="78"/>
      <c r="D1900" s="78"/>
      <c r="E1900" s="78"/>
      <c r="F1900" s="78"/>
      <c r="Z1900" s="109"/>
      <c r="AA1900" s="109"/>
      <c r="AB1900" s="109"/>
      <c r="AC1900" s="109"/>
      <c r="AD1900" s="109"/>
      <c r="AE1900" s="109"/>
      <c r="AF1900" s="109"/>
      <c r="AG1900" s="109"/>
      <c r="AH1900" s="109"/>
      <c r="AI1900" s="109"/>
      <c r="AJ1900" s="109"/>
      <c r="AK1900" s="109"/>
      <c r="AL1900" s="109"/>
      <c r="AM1900" s="109"/>
      <c r="AN1900" s="109"/>
      <c r="AO1900" s="109"/>
      <c r="AP1900" s="109"/>
      <c r="AQ1900" s="109"/>
      <c r="AR1900" s="109"/>
      <c r="AS1900" s="109"/>
    </row>
    <row r="1901" spans="1:45" ht="12.6" customHeight="1" x14ac:dyDescent="0.3">
      <c r="A1901" s="78"/>
      <c r="B1901" s="78"/>
      <c r="C1901" s="78"/>
      <c r="D1901" s="78"/>
      <c r="E1901" s="78"/>
      <c r="F1901" s="78"/>
      <c r="Z1901" s="109"/>
      <c r="AA1901" s="109"/>
      <c r="AB1901" s="109"/>
      <c r="AC1901" s="109"/>
      <c r="AD1901" s="109"/>
      <c r="AE1901" s="109"/>
      <c r="AF1901" s="109"/>
      <c r="AG1901" s="109"/>
      <c r="AH1901" s="109"/>
      <c r="AI1901" s="109"/>
      <c r="AJ1901" s="109"/>
      <c r="AK1901" s="109"/>
      <c r="AL1901" s="109"/>
      <c r="AM1901" s="109"/>
      <c r="AN1901" s="109"/>
      <c r="AO1901" s="109"/>
      <c r="AP1901" s="109"/>
      <c r="AQ1901" s="109"/>
      <c r="AR1901" s="109"/>
      <c r="AS1901" s="109"/>
    </row>
    <row r="1902" spans="1:45" ht="12.6" customHeight="1" x14ac:dyDescent="0.3">
      <c r="A1902" s="78"/>
      <c r="B1902" s="78"/>
      <c r="C1902" s="78"/>
      <c r="D1902" s="78"/>
      <c r="E1902" s="78"/>
      <c r="F1902" s="78"/>
      <c r="Z1902" s="109"/>
      <c r="AA1902" s="109"/>
      <c r="AB1902" s="109"/>
      <c r="AC1902" s="109"/>
      <c r="AD1902" s="109"/>
      <c r="AE1902" s="109"/>
      <c r="AF1902" s="109"/>
      <c r="AG1902" s="109"/>
      <c r="AH1902" s="109"/>
      <c r="AI1902" s="109"/>
      <c r="AJ1902" s="109"/>
      <c r="AK1902" s="109"/>
      <c r="AL1902" s="109"/>
      <c r="AM1902" s="109"/>
      <c r="AN1902" s="109"/>
      <c r="AO1902" s="109"/>
      <c r="AP1902" s="109"/>
      <c r="AQ1902" s="109"/>
      <c r="AR1902" s="109"/>
      <c r="AS1902" s="109"/>
    </row>
    <row r="1903" spans="1:45" ht="12.6" customHeight="1" x14ac:dyDescent="0.3">
      <c r="A1903" s="78"/>
      <c r="B1903" s="78"/>
      <c r="C1903" s="78"/>
      <c r="D1903" s="78"/>
      <c r="E1903" s="78"/>
      <c r="F1903" s="78"/>
      <c r="Z1903" s="109"/>
      <c r="AA1903" s="109"/>
      <c r="AB1903" s="109"/>
      <c r="AC1903" s="109"/>
      <c r="AD1903" s="109"/>
      <c r="AE1903" s="109"/>
      <c r="AF1903" s="109"/>
      <c r="AG1903" s="109"/>
      <c r="AH1903" s="109"/>
      <c r="AI1903" s="109"/>
      <c r="AJ1903" s="109"/>
      <c r="AK1903" s="109"/>
      <c r="AL1903" s="109"/>
      <c r="AM1903" s="109"/>
      <c r="AN1903" s="109"/>
      <c r="AO1903" s="109"/>
      <c r="AP1903" s="109"/>
      <c r="AQ1903" s="109"/>
      <c r="AR1903" s="109"/>
      <c r="AS1903" s="109"/>
    </row>
    <row r="1904" spans="1:45" ht="12.6" customHeight="1" x14ac:dyDescent="0.3">
      <c r="A1904" s="78"/>
      <c r="B1904" s="78"/>
      <c r="C1904" s="78"/>
      <c r="D1904" s="78"/>
      <c r="E1904" s="78"/>
      <c r="F1904" s="78"/>
      <c r="Z1904" s="109"/>
      <c r="AA1904" s="109"/>
      <c r="AB1904" s="109"/>
      <c r="AC1904" s="109"/>
      <c r="AD1904" s="109"/>
      <c r="AE1904" s="109"/>
      <c r="AF1904" s="109"/>
      <c r="AG1904" s="109"/>
      <c r="AH1904" s="109"/>
      <c r="AI1904" s="109"/>
      <c r="AJ1904" s="109"/>
      <c r="AK1904" s="109"/>
      <c r="AL1904" s="109"/>
      <c r="AM1904" s="109"/>
      <c r="AN1904" s="109"/>
      <c r="AO1904" s="109"/>
      <c r="AP1904" s="109"/>
      <c r="AQ1904" s="109"/>
      <c r="AR1904" s="109"/>
      <c r="AS1904" s="109"/>
    </row>
    <row r="1905" spans="1:45" ht="12.6" customHeight="1" x14ac:dyDescent="0.3">
      <c r="A1905" s="78"/>
      <c r="B1905" s="78"/>
      <c r="C1905" s="78"/>
      <c r="D1905" s="78"/>
      <c r="E1905" s="78"/>
      <c r="F1905" s="78"/>
      <c r="Z1905" s="109"/>
      <c r="AA1905" s="109"/>
      <c r="AB1905" s="109"/>
      <c r="AC1905" s="109"/>
      <c r="AD1905" s="109"/>
      <c r="AE1905" s="109"/>
      <c r="AF1905" s="109"/>
      <c r="AG1905" s="109"/>
      <c r="AH1905" s="109"/>
      <c r="AI1905" s="109"/>
      <c r="AJ1905" s="109"/>
      <c r="AK1905" s="109"/>
      <c r="AL1905" s="109"/>
      <c r="AM1905" s="109"/>
      <c r="AN1905" s="109"/>
      <c r="AO1905" s="109"/>
      <c r="AP1905" s="109"/>
      <c r="AQ1905" s="109"/>
      <c r="AR1905" s="109"/>
      <c r="AS1905" s="109"/>
    </row>
    <row r="1906" spans="1:45" ht="12.6" customHeight="1" x14ac:dyDescent="0.3">
      <c r="A1906" s="78"/>
      <c r="B1906" s="78"/>
      <c r="C1906" s="78"/>
      <c r="D1906" s="78"/>
      <c r="E1906" s="78"/>
      <c r="F1906" s="78"/>
      <c r="Z1906" s="109"/>
      <c r="AA1906" s="109"/>
      <c r="AB1906" s="109"/>
      <c r="AC1906" s="109"/>
      <c r="AD1906" s="109"/>
      <c r="AE1906" s="109"/>
      <c r="AF1906" s="109"/>
      <c r="AG1906" s="109"/>
      <c r="AH1906" s="109"/>
      <c r="AI1906" s="109"/>
      <c r="AJ1906" s="109"/>
      <c r="AK1906" s="109"/>
      <c r="AL1906" s="109"/>
      <c r="AM1906" s="109"/>
      <c r="AN1906" s="109"/>
      <c r="AO1906" s="109"/>
      <c r="AP1906" s="109"/>
      <c r="AQ1906" s="109"/>
      <c r="AR1906" s="109"/>
      <c r="AS1906" s="109"/>
    </row>
    <row r="1907" spans="1:45" ht="12.6" customHeight="1" x14ac:dyDescent="0.3">
      <c r="A1907" s="78"/>
      <c r="B1907" s="78"/>
      <c r="C1907" s="78"/>
      <c r="D1907" s="78"/>
      <c r="E1907" s="78"/>
      <c r="F1907" s="78"/>
      <c r="Z1907" s="109"/>
      <c r="AA1907" s="109"/>
      <c r="AB1907" s="109"/>
      <c r="AC1907" s="109"/>
      <c r="AD1907" s="109"/>
      <c r="AE1907" s="109"/>
      <c r="AF1907" s="109"/>
      <c r="AG1907" s="109"/>
      <c r="AH1907" s="109"/>
      <c r="AI1907" s="109"/>
      <c r="AJ1907" s="109"/>
      <c r="AK1907" s="109"/>
      <c r="AL1907" s="109"/>
      <c r="AM1907" s="109"/>
      <c r="AN1907" s="109"/>
      <c r="AO1907" s="109"/>
      <c r="AP1907" s="109"/>
      <c r="AQ1907" s="109"/>
      <c r="AR1907" s="109"/>
      <c r="AS1907" s="109"/>
    </row>
    <row r="1908" spans="1:45" ht="12.6" customHeight="1" x14ac:dyDescent="0.3">
      <c r="A1908" s="78"/>
      <c r="B1908" s="78"/>
      <c r="C1908" s="78"/>
      <c r="D1908" s="78"/>
      <c r="E1908" s="78"/>
      <c r="F1908" s="78"/>
      <c r="Z1908" s="109"/>
      <c r="AA1908" s="109"/>
      <c r="AB1908" s="109"/>
      <c r="AC1908" s="109"/>
      <c r="AD1908" s="109"/>
      <c r="AE1908" s="109"/>
      <c r="AF1908" s="109"/>
      <c r="AG1908" s="109"/>
      <c r="AH1908" s="109"/>
      <c r="AI1908" s="109"/>
      <c r="AJ1908" s="109"/>
      <c r="AK1908" s="109"/>
      <c r="AL1908" s="109"/>
      <c r="AM1908" s="109"/>
      <c r="AN1908" s="109"/>
      <c r="AO1908" s="109"/>
      <c r="AP1908" s="109"/>
      <c r="AQ1908" s="109"/>
      <c r="AR1908" s="109"/>
      <c r="AS1908" s="109"/>
    </row>
    <row r="1909" spans="1:45" ht="12.6" customHeight="1" x14ac:dyDescent="0.3">
      <c r="A1909" s="78"/>
      <c r="B1909" s="78"/>
      <c r="C1909" s="78"/>
      <c r="D1909" s="78"/>
      <c r="E1909" s="78"/>
      <c r="F1909" s="78"/>
      <c r="Z1909" s="109"/>
      <c r="AA1909" s="109"/>
      <c r="AB1909" s="109"/>
      <c r="AC1909" s="109"/>
      <c r="AD1909" s="109"/>
      <c r="AE1909" s="109"/>
      <c r="AF1909" s="109"/>
      <c r="AG1909" s="109"/>
      <c r="AH1909" s="109"/>
      <c r="AI1909" s="109"/>
      <c r="AJ1909" s="109"/>
      <c r="AK1909" s="109"/>
      <c r="AL1909" s="109"/>
      <c r="AM1909" s="109"/>
      <c r="AN1909" s="109"/>
      <c r="AO1909" s="109"/>
      <c r="AP1909" s="109"/>
      <c r="AQ1909" s="109"/>
      <c r="AR1909" s="109"/>
      <c r="AS1909" s="109"/>
    </row>
    <row r="1910" spans="1:45" ht="12.6" customHeight="1" x14ac:dyDescent="0.3">
      <c r="A1910" s="78"/>
      <c r="B1910" s="78"/>
      <c r="C1910" s="78"/>
      <c r="D1910" s="78"/>
      <c r="E1910" s="78"/>
      <c r="F1910" s="78"/>
      <c r="Z1910" s="109"/>
      <c r="AA1910" s="109"/>
      <c r="AB1910" s="109"/>
      <c r="AC1910" s="109"/>
      <c r="AD1910" s="109"/>
      <c r="AE1910" s="109"/>
      <c r="AF1910" s="109"/>
      <c r="AG1910" s="109"/>
      <c r="AH1910" s="109"/>
      <c r="AI1910" s="109"/>
      <c r="AJ1910" s="109"/>
      <c r="AK1910" s="109"/>
      <c r="AL1910" s="109"/>
      <c r="AM1910" s="109"/>
      <c r="AN1910" s="109"/>
      <c r="AO1910" s="109"/>
      <c r="AP1910" s="109"/>
      <c r="AQ1910" s="109"/>
      <c r="AR1910" s="109"/>
      <c r="AS1910" s="109"/>
    </row>
    <row r="1911" spans="1:45" ht="12.6" customHeight="1" x14ac:dyDescent="0.3">
      <c r="A1911" s="78"/>
      <c r="B1911" s="78"/>
      <c r="C1911" s="78"/>
      <c r="D1911" s="78"/>
      <c r="E1911" s="78"/>
      <c r="F1911" s="78"/>
      <c r="Z1911" s="109"/>
      <c r="AA1911" s="109"/>
      <c r="AB1911" s="109"/>
      <c r="AC1911" s="109"/>
      <c r="AD1911" s="109"/>
      <c r="AE1911" s="109"/>
      <c r="AF1911" s="109"/>
      <c r="AG1911" s="109"/>
      <c r="AH1911" s="109"/>
      <c r="AI1911" s="109"/>
      <c r="AJ1911" s="109"/>
      <c r="AK1911" s="109"/>
      <c r="AL1911" s="109"/>
      <c r="AM1911" s="109"/>
      <c r="AN1911" s="109"/>
      <c r="AO1911" s="109"/>
      <c r="AP1911" s="109"/>
      <c r="AQ1911" s="109"/>
      <c r="AR1911" s="109"/>
      <c r="AS1911" s="109"/>
    </row>
    <row r="1912" spans="1:45" ht="12.6" customHeight="1" x14ac:dyDescent="0.3">
      <c r="A1912" s="78"/>
      <c r="B1912" s="78"/>
      <c r="C1912" s="78"/>
      <c r="D1912" s="78"/>
      <c r="E1912" s="78"/>
      <c r="F1912" s="78"/>
      <c r="Z1912" s="109"/>
      <c r="AA1912" s="109"/>
      <c r="AB1912" s="109"/>
      <c r="AC1912" s="109"/>
      <c r="AD1912" s="109"/>
      <c r="AE1912" s="109"/>
      <c r="AF1912" s="109"/>
      <c r="AG1912" s="109"/>
      <c r="AH1912" s="109"/>
      <c r="AI1912" s="109"/>
      <c r="AJ1912" s="109"/>
      <c r="AK1912" s="109"/>
      <c r="AL1912" s="109"/>
      <c r="AM1912" s="109"/>
      <c r="AN1912" s="109"/>
      <c r="AO1912" s="109"/>
      <c r="AP1912" s="109"/>
      <c r="AQ1912" s="109"/>
      <c r="AR1912" s="109"/>
      <c r="AS1912" s="109"/>
    </row>
    <row r="1913" spans="1:45" ht="12.6" customHeight="1" x14ac:dyDescent="0.3">
      <c r="A1913" s="78"/>
      <c r="B1913" s="78"/>
      <c r="C1913" s="78"/>
      <c r="D1913" s="78"/>
      <c r="E1913" s="78"/>
      <c r="F1913" s="78"/>
      <c r="Z1913" s="109"/>
      <c r="AA1913" s="109"/>
      <c r="AB1913" s="109"/>
      <c r="AC1913" s="109"/>
      <c r="AD1913" s="109"/>
      <c r="AE1913" s="109"/>
      <c r="AF1913" s="109"/>
      <c r="AG1913" s="109"/>
      <c r="AH1913" s="109"/>
      <c r="AI1913" s="109"/>
      <c r="AJ1913" s="109"/>
      <c r="AK1913" s="109"/>
      <c r="AL1913" s="109"/>
      <c r="AM1913" s="109"/>
      <c r="AN1913" s="109"/>
      <c r="AO1913" s="109"/>
      <c r="AP1913" s="109"/>
      <c r="AQ1913" s="109"/>
      <c r="AR1913" s="109"/>
      <c r="AS1913" s="109"/>
    </row>
    <row r="1914" spans="1:45" ht="12.6" customHeight="1" x14ac:dyDescent="0.3">
      <c r="A1914" s="78"/>
      <c r="B1914" s="78"/>
      <c r="C1914" s="78"/>
      <c r="D1914" s="78"/>
      <c r="E1914" s="78"/>
      <c r="F1914" s="78"/>
      <c r="Z1914" s="109"/>
      <c r="AA1914" s="109"/>
      <c r="AB1914" s="109"/>
      <c r="AC1914" s="109"/>
      <c r="AD1914" s="109"/>
      <c r="AE1914" s="109"/>
      <c r="AF1914" s="109"/>
      <c r="AG1914" s="109"/>
      <c r="AH1914" s="109"/>
      <c r="AI1914" s="109"/>
      <c r="AJ1914" s="109"/>
      <c r="AK1914" s="109"/>
      <c r="AL1914" s="109"/>
      <c r="AM1914" s="109"/>
      <c r="AN1914" s="109"/>
      <c r="AO1914" s="109"/>
      <c r="AP1914" s="109"/>
      <c r="AQ1914" s="109"/>
      <c r="AR1914" s="109"/>
      <c r="AS1914" s="109"/>
    </row>
    <row r="1915" spans="1:45" ht="12.6" customHeight="1" x14ac:dyDescent="0.3">
      <c r="A1915" s="78"/>
      <c r="B1915" s="78"/>
      <c r="C1915" s="78"/>
      <c r="D1915" s="78"/>
      <c r="E1915" s="78"/>
      <c r="F1915" s="78"/>
      <c r="Z1915" s="109"/>
      <c r="AA1915" s="109"/>
      <c r="AB1915" s="109"/>
      <c r="AC1915" s="109"/>
      <c r="AD1915" s="109"/>
      <c r="AE1915" s="109"/>
      <c r="AF1915" s="109"/>
      <c r="AG1915" s="109"/>
      <c r="AH1915" s="109"/>
      <c r="AI1915" s="109"/>
      <c r="AJ1915" s="109"/>
      <c r="AK1915" s="109"/>
      <c r="AL1915" s="109"/>
      <c r="AM1915" s="109"/>
      <c r="AN1915" s="109"/>
      <c r="AO1915" s="109"/>
      <c r="AP1915" s="109"/>
      <c r="AQ1915" s="109"/>
      <c r="AR1915" s="109"/>
      <c r="AS1915" s="109"/>
    </row>
    <row r="1916" spans="1:45" ht="12.6" customHeight="1" x14ac:dyDescent="0.3">
      <c r="A1916" s="78"/>
      <c r="B1916" s="78"/>
      <c r="C1916" s="78"/>
      <c r="D1916" s="78"/>
      <c r="E1916" s="78"/>
      <c r="F1916" s="78"/>
      <c r="Z1916" s="109"/>
      <c r="AA1916" s="109"/>
      <c r="AB1916" s="109"/>
      <c r="AC1916" s="109"/>
      <c r="AD1916" s="109"/>
      <c r="AE1916" s="109"/>
      <c r="AF1916" s="109"/>
      <c r="AG1916" s="109"/>
      <c r="AH1916" s="109"/>
      <c r="AI1916" s="109"/>
      <c r="AJ1916" s="109"/>
      <c r="AK1916" s="109"/>
      <c r="AL1916" s="109"/>
      <c r="AM1916" s="109"/>
      <c r="AN1916" s="109"/>
      <c r="AO1916" s="109"/>
      <c r="AP1916" s="109"/>
      <c r="AQ1916" s="109"/>
      <c r="AR1916" s="109"/>
      <c r="AS1916" s="109"/>
    </row>
    <row r="1917" spans="1:45" ht="12.6" customHeight="1" x14ac:dyDescent="0.3">
      <c r="A1917" s="78"/>
      <c r="B1917" s="78"/>
      <c r="C1917" s="78"/>
      <c r="D1917" s="78"/>
      <c r="E1917" s="78"/>
      <c r="F1917" s="78"/>
      <c r="Z1917" s="109"/>
      <c r="AA1917" s="109"/>
      <c r="AB1917" s="109"/>
      <c r="AC1917" s="109"/>
      <c r="AD1917" s="109"/>
      <c r="AE1917" s="109"/>
      <c r="AF1917" s="109"/>
      <c r="AG1917" s="109"/>
      <c r="AH1917" s="109"/>
      <c r="AI1917" s="109"/>
      <c r="AJ1917" s="109"/>
      <c r="AK1917" s="109"/>
      <c r="AL1917" s="109"/>
      <c r="AM1917" s="109"/>
      <c r="AN1917" s="109"/>
      <c r="AO1917" s="109"/>
      <c r="AP1917" s="109"/>
      <c r="AQ1917" s="109"/>
      <c r="AR1917" s="109"/>
      <c r="AS1917" s="109"/>
    </row>
    <row r="1918" spans="1:45" ht="12.6" customHeight="1" x14ac:dyDescent="0.3">
      <c r="A1918" s="78"/>
      <c r="B1918" s="78"/>
      <c r="C1918" s="78"/>
      <c r="D1918" s="78"/>
      <c r="E1918" s="78"/>
      <c r="F1918" s="78"/>
      <c r="Z1918" s="109"/>
      <c r="AA1918" s="109"/>
      <c r="AB1918" s="109"/>
      <c r="AC1918" s="109"/>
      <c r="AD1918" s="109"/>
      <c r="AE1918" s="109"/>
      <c r="AF1918" s="109"/>
      <c r="AG1918" s="109"/>
      <c r="AH1918" s="109"/>
      <c r="AI1918" s="109"/>
      <c r="AJ1918" s="109"/>
      <c r="AK1918" s="109"/>
      <c r="AL1918" s="109"/>
      <c r="AM1918" s="109"/>
      <c r="AN1918" s="109"/>
      <c r="AO1918" s="109"/>
      <c r="AP1918" s="109"/>
      <c r="AQ1918" s="109"/>
      <c r="AR1918" s="109"/>
      <c r="AS1918" s="109"/>
    </row>
    <row r="1919" spans="1:45" ht="12.6" customHeight="1" x14ac:dyDescent="0.3">
      <c r="A1919" s="78"/>
      <c r="B1919" s="78"/>
      <c r="C1919" s="78"/>
      <c r="D1919" s="78"/>
      <c r="E1919" s="78"/>
      <c r="F1919" s="78"/>
      <c r="Z1919" s="109"/>
      <c r="AA1919" s="109"/>
      <c r="AB1919" s="109"/>
      <c r="AC1919" s="109"/>
      <c r="AD1919" s="109"/>
      <c r="AE1919" s="109"/>
      <c r="AF1919" s="109"/>
      <c r="AG1919" s="109"/>
      <c r="AH1919" s="109"/>
      <c r="AI1919" s="109"/>
      <c r="AJ1919" s="109"/>
      <c r="AK1919" s="109"/>
      <c r="AL1919" s="109"/>
      <c r="AM1919" s="109"/>
      <c r="AN1919" s="109"/>
      <c r="AO1919" s="109"/>
      <c r="AP1919" s="109"/>
      <c r="AQ1919" s="109"/>
      <c r="AR1919" s="109"/>
      <c r="AS1919" s="109"/>
    </row>
    <row r="1920" spans="1:45" ht="12.6" customHeight="1" x14ac:dyDescent="0.3">
      <c r="A1920" s="78"/>
      <c r="B1920" s="78"/>
      <c r="C1920" s="78"/>
      <c r="D1920" s="78"/>
      <c r="E1920" s="78"/>
      <c r="F1920" s="78"/>
      <c r="Z1920" s="109"/>
      <c r="AA1920" s="109"/>
      <c r="AB1920" s="109"/>
      <c r="AC1920" s="109"/>
      <c r="AD1920" s="109"/>
      <c r="AE1920" s="109"/>
      <c r="AF1920" s="109"/>
      <c r="AG1920" s="109"/>
      <c r="AH1920" s="109"/>
      <c r="AI1920" s="109"/>
      <c r="AJ1920" s="109"/>
      <c r="AK1920" s="109"/>
      <c r="AL1920" s="109"/>
      <c r="AM1920" s="109"/>
      <c r="AN1920" s="109"/>
      <c r="AO1920" s="109"/>
      <c r="AP1920" s="109"/>
      <c r="AQ1920" s="109"/>
      <c r="AR1920" s="109"/>
      <c r="AS1920" s="109"/>
    </row>
    <row r="1921" spans="1:45" ht="12.6" customHeight="1" x14ac:dyDescent="0.3">
      <c r="A1921" s="78"/>
      <c r="B1921" s="78"/>
      <c r="C1921" s="78"/>
      <c r="D1921" s="78"/>
      <c r="E1921" s="78"/>
      <c r="F1921" s="78"/>
      <c r="Z1921" s="109"/>
      <c r="AA1921" s="109"/>
      <c r="AB1921" s="109"/>
      <c r="AC1921" s="109"/>
      <c r="AD1921" s="109"/>
      <c r="AE1921" s="109"/>
      <c r="AF1921" s="109"/>
      <c r="AG1921" s="109"/>
      <c r="AH1921" s="109"/>
      <c r="AI1921" s="109"/>
      <c r="AJ1921" s="109"/>
      <c r="AK1921" s="109"/>
      <c r="AL1921" s="109"/>
      <c r="AM1921" s="109"/>
      <c r="AN1921" s="109"/>
      <c r="AO1921" s="109"/>
      <c r="AP1921" s="109"/>
      <c r="AQ1921" s="109"/>
      <c r="AR1921" s="109"/>
      <c r="AS1921" s="109"/>
    </row>
    <row r="1922" spans="1:45" ht="12.6" customHeight="1" x14ac:dyDescent="0.3">
      <c r="A1922" s="78"/>
      <c r="B1922" s="78"/>
      <c r="C1922" s="78"/>
      <c r="D1922" s="78"/>
      <c r="E1922" s="78"/>
      <c r="F1922" s="78"/>
      <c r="Z1922" s="109"/>
      <c r="AA1922" s="109"/>
      <c r="AB1922" s="109"/>
      <c r="AC1922" s="109"/>
      <c r="AD1922" s="109"/>
      <c r="AE1922" s="109"/>
      <c r="AF1922" s="109"/>
      <c r="AG1922" s="109"/>
      <c r="AH1922" s="109"/>
      <c r="AI1922" s="109"/>
      <c r="AJ1922" s="109"/>
      <c r="AK1922" s="109"/>
      <c r="AL1922" s="109"/>
      <c r="AM1922" s="109"/>
      <c r="AN1922" s="109"/>
      <c r="AO1922" s="109"/>
      <c r="AP1922" s="109"/>
      <c r="AQ1922" s="109"/>
      <c r="AR1922" s="109"/>
      <c r="AS1922" s="109"/>
    </row>
    <row r="1923" spans="1:45" ht="12.6" customHeight="1" x14ac:dyDescent="0.3">
      <c r="A1923" s="78"/>
      <c r="B1923" s="78"/>
      <c r="C1923" s="78"/>
      <c r="D1923" s="78"/>
      <c r="E1923" s="78"/>
      <c r="F1923" s="78"/>
      <c r="Z1923" s="109"/>
      <c r="AA1923" s="109"/>
      <c r="AB1923" s="109"/>
      <c r="AC1923" s="109"/>
      <c r="AD1923" s="109"/>
      <c r="AE1923" s="109"/>
      <c r="AF1923" s="109"/>
      <c r="AG1923" s="109"/>
      <c r="AH1923" s="109"/>
      <c r="AI1923" s="109"/>
      <c r="AJ1923" s="109"/>
      <c r="AK1923" s="109"/>
      <c r="AL1923" s="109"/>
      <c r="AM1923" s="109"/>
      <c r="AN1923" s="109"/>
      <c r="AO1923" s="109"/>
      <c r="AP1923" s="109"/>
      <c r="AQ1923" s="109"/>
      <c r="AR1923" s="109"/>
      <c r="AS1923" s="109"/>
    </row>
    <row r="1924" spans="1:45" ht="12.6" customHeight="1" x14ac:dyDescent="0.3">
      <c r="A1924" s="78"/>
      <c r="B1924" s="78"/>
      <c r="C1924" s="78"/>
      <c r="D1924" s="78"/>
      <c r="E1924" s="78"/>
      <c r="F1924" s="78"/>
      <c r="Z1924" s="109"/>
      <c r="AA1924" s="109"/>
      <c r="AB1924" s="109"/>
      <c r="AC1924" s="109"/>
      <c r="AD1924" s="109"/>
      <c r="AE1924" s="109"/>
      <c r="AF1924" s="109"/>
      <c r="AG1924" s="109"/>
      <c r="AH1924" s="109"/>
      <c r="AI1924" s="109"/>
      <c r="AJ1924" s="109"/>
      <c r="AK1924" s="109"/>
      <c r="AL1924" s="109"/>
      <c r="AM1924" s="109"/>
      <c r="AN1924" s="109"/>
      <c r="AO1924" s="109"/>
      <c r="AP1924" s="109"/>
      <c r="AQ1924" s="109"/>
      <c r="AR1924" s="109"/>
      <c r="AS1924" s="109"/>
    </row>
    <row r="1925" spans="1:45" ht="12.6" customHeight="1" x14ac:dyDescent="0.3">
      <c r="A1925" s="78"/>
      <c r="B1925" s="78"/>
      <c r="C1925" s="78"/>
      <c r="D1925" s="78"/>
      <c r="E1925" s="78"/>
      <c r="F1925" s="78"/>
      <c r="Z1925" s="109"/>
      <c r="AA1925" s="109"/>
      <c r="AB1925" s="109"/>
      <c r="AC1925" s="109"/>
      <c r="AD1925" s="109"/>
      <c r="AE1925" s="109"/>
      <c r="AF1925" s="109"/>
      <c r="AG1925" s="109"/>
      <c r="AH1925" s="109"/>
      <c r="AI1925" s="109"/>
      <c r="AJ1925" s="109"/>
      <c r="AK1925" s="109"/>
      <c r="AL1925" s="109"/>
      <c r="AM1925" s="109"/>
      <c r="AN1925" s="109"/>
      <c r="AO1925" s="109"/>
      <c r="AP1925" s="109"/>
      <c r="AQ1925" s="109"/>
      <c r="AR1925" s="109"/>
      <c r="AS1925" s="109"/>
    </row>
    <row r="1926" spans="1:45" ht="12.6" customHeight="1" x14ac:dyDescent="0.3">
      <c r="A1926" s="78"/>
      <c r="B1926" s="78"/>
      <c r="C1926" s="78"/>
      <c r="D1926" s="78"/>
      <c r="E1926" s="78"/>
      <c r="F1926" s="78"/>
      <c r="Z1926" s="109"/>
      <c r="AA1926" s="109"/>
      <c r="AB1926" s="109"/>
      <c r="AC1926" s="109"/>
      <c r="AD1926" s="109"/>
      <c r="AE1926" s="109"/>
      <c r="AF1926" s="109"/>
      <c r="AG1926" s="109"/>
      <c r="AH1926" s="109"/>
      <c r="AI1926" s="109"/>
      <c r="AJ1926" s="109"/>
      <c r="AK1926" s="109"/>
      <c r="AL1926" s="109"/>
      <c r="AM1926" s="109"/>
      <c r="AN1926" s="109"/>
      <c r="AO1926" s="109"/>
      <c r="AP1926" s="109"/>
      <c r="AQ1926" s="109"/>
      <c r="AR1926" s="109"/>
      <c r="AS1926" s="109"/>
    </row>
    <row r="1927" spans="1:45" ht="12.6" customHeight="1" x14ac:dyDescent="0.3">
      <c r="A1927" s="78"/>
      <c r="B1927" s="78"/>
      <c r="C1927" s="78"/>
      <c r="D1927" s="78"/>
      <c r="E1927" s="78"/>
      <c r="F1927" s="78"/>
      <c r="Z1927" s="109"/>
      <c r="AA1927" s="109"/>
      <c r="AB1927" s="109"/>
      <c r="AC1927" s="109"/>
      <c r="AD1927" s="109"/>
      <c r="AE1927" s="109"/>
      <c r="AF1927" s="109"/>
      <c r="AG1927" s="109"/>
      <c r="AH1927" s="109"/>
      <c r="AI1927" s="109"/>
      <c r="AJ1927" s="109"/>
      <c r="AK1927" s="109"/>
      <c r="AL1927" s="109"/>
      <c r="AM1927" s="109"/>
      <c r="AN1927" s="109"/>
      <c r="AO1927" s="109"/>
      <c r="AP1927" s="109"/>
      <c r="AQ1927" s="109"/>
      <c r="AR1927" s="109"/>
      <c r="AS1927" s="109"/>
    </row>
    <row r="1928" spans="1:45" ht="12.6" customHeight="1" x14ac:dyDescent="0.3">
      <c r="A1928" s="58"/>
      <c r="B1928" s="58"/>
      <c r="C1928" s="58"/>
      <c r="D1928" s="58"/>
      <c r="E1928" s="58"/>
      <c r="F1928" s="58"/>
      <c r="Z1928" s="109"/>
      <c r="AA1928" s="109"/>
      <c r="AB1928" s="109"/>
      <c r="AC1928" s="109"/>
      <c r="AD1928" s="109"/>
      <c r="AE1928" s="109"/>
      <c r="AF1928" s="109"/>
      <c r="AG1928" s="109"/>
      <c r="AH1928" s="109"/>
      <c r="AI1928" s="109"/>
      <c r="AJ1928" s="109"/>
      <c r="AK1928" s="109"/>
      <c r="AL1928" s="109"/>
      <c r="AM1928" s="109"/>
      <c r="AN1928" s="109"/>
      <c r="AO1928" s="109"/>
      <c r="AP1928" s="109"/>
      <c r="AQ1928" s="109"/>
      <c r="AR1928" s="109"/>
      <c r="AS1928" s="109"/>
    </row>
    <row r="1929" spans="1:45" ht="12.6" customHeight="1" x14ac:dyDescent="0.3">
      <c r="A1929" s="159" t="s">
        <v>1401</v>
      </c>
      <c r="B1929" s="152"/>
      <c r="C1929" s="55">
        <f>E1929+D1929+F1929</f>
        <v>7825</v>
      </c>
      <c r="D1929" s="54">
        <f>ROUNDDOWN(SUMIF(N1792:N1898,M1929,D1792:D1898),0)</f>
        <v>5005</v>
      </c>
      <c r="E1929" s="63">
        <f>ROUNDDOWN(SUMIF(N1792:N1898,M1929,E1792:E1898),0)</f>
        <v>902</v>
      </c>
      <c r="F1929" s="55">
        <f>ROUNDDOWN(SUMIF(N1792:N1898,M1929,F1792:F1898),0)</f>
        <v>1918</v>
      </c>
      <c r="M1929" s="20" t="s">
        <v>1128</v>
      </c>
      <c r="Z1929" s="109"/>
      <c r="AA1929" s="109"/>
      <c r="AB1929" s="109"/>
      <c r="AC1929" s="109"/>
      <c r="AD1929" s="109"/>
      <c r="AE1929" s="109"/>
      <c r="AF1929" s="109"/>
      <c r="AG1929" s="109"/>
      <c r="AH1929" s="109"/>
      <c r="AI1929" s="109"/>
      <c r="AJ1929" s="109"/>
      <c r="AK1929" s="109"/>
      <c r="AL1929" s="109"/>
      <c r="AM1929" s="109"/>
      <c r="AN1929" s="109"/>
      <c r="AO1929" s="109"/>
      <c r="AP1929" s="109"/>
      <c r="AQ1929" s="109"/>
      <c r="AR1929" s="109"/>
      <c r="AS1929" s="109"/>
    </row>
    <row r="1930" spans="1:45" ht="12.6" customHeight="1" x14ac:dyDescent="0.3">
      <c r="A1930" s="95" t="s">
        <v>139</v>
      </c>
      <c r="B1930" s="96" t="s">
        <v>139</v>
      </c>
      <c r="C1930" s="158">
        <f>C1964</f>
        <v>36282</v>
      </c>
      <c r="D1930" s="158">
        <f>D1964</f>
        <v>31636</v>
      </c>
      <c r="E1930" s="158">
        <f>E1964</f>
        <v>3697</v>
      </c>
      <c r="F1930" s="158">
        <f>F1964</f>
        <v>949</v>
      </c>
      <c r="G1930" s="36" t="str">
        <f>HYPERLINK("#G"&amp;ROW(G1959),"_x0005_`BDCOD|D02195_x0007_`POSS|"&amp;ROW(G1932)&amp;"_x0007_`POSE|"&amp;ROW(G1959)&amp;"_x0007_`")</f>
        <v>_x0005_`BDCOD|D02195_x0007_`POSS|1932_x0007_`POSE|1959_x0007_`</v>
      </c>
      <c r="Z1930" s="109"/>
      <c r="AA1930" s="109"/>
      <c r="AB1930" s="109"/>
      <c r="AC1930" s="109"/>
      <c r="AD1930" s="109"/>
      <c r="AE1930" s="109"/>
      <c r="AF1930" s="109"/>
      <c r="AG1930" s="109"/>
      <c r="AH1930" s="109"/>
      <c r="AI1930" s="109"/>
      <c r="AJ1930" s="109"/>
      <c r="AK1930" s="109"/>
      <c r="AL1930" s="109"/>
      <c r="AM1930" s="109"/>
      <c r="AN1930" s="109"/>
      <c r="AO1930" s="109"/>
      <c r="AP1930" s="109"/>
      <c r="AQ1930" s="109"/>
      <c r="AR1930" s="109"/>
      <c r="AS1930" s="109"/>
    </row>
    <row r="1931" spans="1:45" ht="12.6" customHeight="1" x14ac:dyDescent="0.3">
      <c r="A1931" s="84"/>
      <c r="B1931" s="96" t="s">
        <v>270</v>
      </c>
      <c r="C1931" s="141"/>
      <c r="D1931" s="141"/>
      <c r="E1931" s="141"/>
      <c r="F1931" s="141"/>
      <c r="M1931" s="20" t="s">
        <v>269</v>
      </c>
      <c r="Z1931" s="109"/>
      <c r="AA1931" s="109"/>
      <c r="AB1931" s="109"/>
      <c r="AC1931" s="109"/>
      <c r="AD1931" s="109"/>
      <c r="AE1931" s="109"/>
      <c r="AF1931" s="109"/>
      <c r="AG1931" s="109"/>
      <c r="AH1931" s="109"/>
      <c r="AI1931" s="109"/>
      <c r="AJ1931" s="109"/>
      <c r="AK1931" s="109"/>
      <c r="AL1931" s="109"/>
      <c r="AM1931" s="109"/>
      <c r="AN1931" s="109"/>
      <c r="AO1931" s="109"/>
      <c r="AP1931" s="109"/>
      <c r="AQ1931" s="109"/>
      <c r="AR1931" s="109"/>
      <c r="AS1931" s="109"/>
    </row>
    <row r="1932" spans="1:45" ht="12.6" customHeight="1" x14ac:dyDescent="0.3">
      <c r="A1932" s="68"/>
      <c r="B1932" s="77" t="s">
        <v>1980</v>
      </c>
      <c r="C1932" s="98"/>
      <c r="D1932" s="98"/>
      <c r="E1932" s="98"/>
      <c r="F1932" s="98"/>
      <c r="G1932" s="16" t="s">
        <v>1979</v>
      </c>
      <c r="Z1932" s="109"/>
      <c r="AA1932" s="109"/>
      <c r="AB1932" s="109"/>
      <c r="AC1932" s="109"/>
      <c r="AD1932" s="109"/>
      <c r="AE1932" s="109"/>
      <c r="AF1932" s="109"/>
      <c r="AG1932" s="109"/>
      <c r="AH1932" s="109"/>
      <c r="AI1932" s="109"/>
      <c r="AJ1932" s="109"/>
      <c r="AK1932" s="109"/>
      <c r="AL1932" s="109"/>
      <c r="AM1932" s="109"/>
      <c r="AN1932" s="109"/>
      <c r="AO1932" s="109"/>
      <c r="AP1932" s="109"/>
      <c r="AQ1932" s="109"/>
      <c r="AR1932" s="109"/>
      <c r="AS1932" s="109"/>
    </row>
    <row r="1933" spans="1:45" ht="12.6" customHeight="1" x14ac:dyDescent="0.3">
      <c r="A1933" s="78"/>
      <c r="B1933" s="78"/>
      <c r="C1933" s="78"/>
      <c r="D1933" s="78"/>
      <c r="E1933" s="78"/>
      <c r="F1933" s="78"/>
      <c r="G1933" s="16" t="s">
        <v>1317</v>
      </c>
      <c r="Z1933" s="109"/>
      <c r="AA1933" s="109"/>
      <c r="AB1933" s="109"/>
      <c r="AC1933" s="109"/>
      <c r="AD1933" s="109"/>
      <c r="AE1933" s="109"/>
      <c r="AF1933" s="109"/>
      <c r="AG1933" s="109"/>
      <c r="AH1933" s="109"/>
      <c r="AI1933" s="109"/>
      <c r="AJ1933" s="109"/>
      <c r="AK1933" s="109"/>
      <c r="AL1933" s="109"/>
      <c r="AM1933" s="109"/>
      <c r="AN1933" s="109"/>
      <c r="AO1933" s="109"/>
      <c r="AP1933" s="109"/>
      <c r="AQ1933" s="109"/>
      <c r="AR1933" s="109"/>
      <c r="AS1933" s="109"/>
    </row>
    <row r="1934" spans="1:45" ht="12.6" customHeight="1" x14ac:dyDescent="0.3">
      <c r="A1934" s="68"/>
      <c r="B1934" s="77" t="s">
        <v>1982</v>
      </c>
      <c r="C1934" s="78"/>
      <c r="D1934" s="78"/>
      <c r="E1934" s="78"/>
      <c r="F1934" s="78"/>
      <c r="G1934" s="16" t="s">
        <v>1981</v>
      </c>
      <c r="Z1934" s="109"/>
      <c r="AA1934" s="109"/>
      <c r="AB1934" s="109"/>
      <c r="AC1934" s="109"/>
      <c r="AD1934" s="109"/>
      <c r="AE1934" s="109"/>
      <c r="AF1934" s="109"/>
      <c r="AG1934" s="109"/>
      <c r="AH1934" s="109"/>
      <c r="AI1934" s="109"/>
      <c r="AJ1934" s="109"/>
      <c r="AK1934" s="109"/>
      <c r="AL1934" s="109"/>
      <c r="AM1934" s="109"/>
      <c r="AN1934" s="109"/>
      <c r="AO1934" s="109"/>
      <c r="AP1934" s="109"/>
      <c r="AQ1934" s="109"/>
      <c r="AR1934" s="109"/>
      <c r="AS1934" s="109"/>
    </row>
    <row r="1935" spans="1:45" ht="12.6" customHeight="1" x14ac:dyDescent="0.3">
      <c r="A1935" s="78"/>
      <c r="B1935" s="78"/>
      <c r="C1935" s="78"/>
      <c r="D1935" s="78"/>
      <c r="E1935" s="78"/>
      <c r="F1935" s="78"/>
      <c r="G1935" s="16" t="s">
        <v>1317</v>
      </c>
      <c r="Z1935" s="109"/>
      <c r="AA1935" s="109"/>
      <c r="AB1935" s="109"/>
      <c r="AC1935" s="109"/>
      <c r="AD1935" s="109"/>
      <c r="AE1935" s="109"/>
      <c r="AF1935" s="109"/>
      <c r="AG1935" s="109"/>
      <c r="AH1935" s="109"/>
      <c r="AI1935" s="109"/>
      <c r="AJ1935" s="109"/>
      <c r="AK1935" s="109"/>
      <c r="AL1935" s="109"/>
      <c r="AM1935" s="109"/>
      <c r="AN1935" s="109"/>
      <c r="AO1935" s="109"/>
      <c r="AP1935" s="109"/>
      <c r="AQ1935" s="109"/>
      <c r="AR1935" s="109"/>
      <c r="AS1935" s="109"/>
    </row>
    <row r="1936" spans="1:45" ht="12.6" customHeight="1" x14ac:dyDescent="0.3">
      <c r="A1936" s="68"/>
      <c r="B1936" s="77" t="s">
        <v>1984</v>
      </c>
      <c r="C1936" s="78"/>
      <c r="D1936" s="78"/>
      <c r="E1936" s="78"/>
      <c r="F1936" s="78"/>
      <c r="G1936" s="16" t="s">
        <v>1983</v>
      </c>
      <c r="Z1936" s="109"/>
      <c r="AA1936" s="109"/>
      <c r="AB1936" s="109"/>
      <c r="AC1936" s="109"/>
      <c r="AD1936" s="109"/>
      <c r="AE1936" s="109"/>
      <c r="AF1936" s="109"/>
      <c r="AG1936" s="109"/>
      <c r="AH1936" s="109"/>
      <c r="AI1936" s="109"/>
      <c r="AJ1936" s="109"/>
      <c r="AK1936" s="109"/>
      <c r="AL1936" s="109"/>
      <c r="AM1936" s="109"/>
      <c r="AN1936" s="109"/>
      <c r="AO1936" s="109"/>
      <c r="AP1936" s="109"/>
      <c r="AQ1936" s="109"/>
      <c r="AR1936" s="109"/>
      <c r="AS1936" s="109"/>
    </row>
    <row r="1937" spans="1:45" ht="12.6" customHeight="1" x14ac:dyDescent="0.3">
      <c r="A1937" s="78"/>
      <c r="B1937" s="78"/>
      <c r="C1937" s="78"/>
      <c r="D1937" s="78"/>
      <c r="E1937" s="78"/>
      <c r="F1937" s="78"/>
      <c r="G1937" s="16" t="s">
        <v>1317</v>
      </c>
      <c r="Z1937" s="109"/>
      <c r="AA1937" s="109"/>
      <c r="AB1937" s="109"/>
      <c r="AC1937" s="109"/>
      <c r="AD1937" s="109"/>
      <c r="AE1937" s="109"/>
      <c r="AF1937" s="109"/>
      <c r="AG1937" s="109"/>
      <c r="AH1937" s="109"/>
      <c r="AI1937" s="109"/>
      <c r="AJ1937" s="109"/>
      <c r="AK1937" s="109"/>
      <c r="AL1937" s="109"/>
      <c r="AM1937" s="109"/>
      <c r="AN1937" s="109"/>
      <c r="AO1937" s="109"/>
      <c r="AP1937" s="109"/>
      <c r="AQ1937" s="109"/>
      <c r="AR1937" s="109"/>
      <c r="AS1937" s="109"/>
    </row>
    <row r="1938" spans="1:45" ht="12.6" customHeight="1" x14ac:dyDescent="0.3">
      <c r="A1938" s="68" t="s">
        <v>1986</v>
      </c>
      <c r="B1938" s="97" t="str">
        <f>" 패널(유로폼) : "&amp;TEXT(I1938,"#,##0"&amp;IF(I1938&lt;&gt;INT(I1938),".###",""))&amp;" * "&amp;AA1938&amp;" / "&amp;AC1938&amp;" = "&amp;TEXT(C1938,"#,##0.0")&amp;""</f>
        <v xml:space="preserve"> 패널(유로폼) : 31,500 * 0.89 / 10 = 2,803.5</v>
      </c>
      <c r="C1938" s="99">
        <f>E1938+D1938+F1938</f>
        <v>2803.5</v>
      </c>
      <c r="D1938" s="99">
        <f>IF(H1938=0,0,ROUNDDOWN(J1938*H1938,1))</f>
        <v>0</v>
      </c>
      <c r="E1938" s="99">
        <f>IF(H1938=0,0,ROUNDDOWN(K1938*H1938,1))</f>
        <v>2803.5</v>
      </c>
      <c r="F1938" s="99">
        <f>IF(H1938=0,0,ROUNDDOWN(L1938*H1938,1))</f>
        <v>0</v>
      </c>
      <c r="G1938" s="16" t="s">
        <v>1985</v>
      </c>
      <c r="H1938" s="105">
        <f>AE1938</f>
        <v>8.8999999999999996E-2</v>
      </c>
      <c r="I1938" s="106">
        <f>K1938+J1938+L1938</f>
        <v>31500</v>
      </c>
      <c r="K1938" s="39">
        <f>재료비목록표!E19</f>
        <v>31500</v>
      </c>
      <c r="M1938" s="20" t="s">
        <v>1987</v>
      </c>
      <c r="N1938" s="20" t="s">
        <v>1332</v>
      </c>
      <c r="O1938" s="20" t="s">
        <v>1247</v>
      </c>
      <c r="X1938" s="108" t="str">
        <f>재료비목록표!B19&amp;" / "&amp;재료비목록표!C19</f>
        <v>패널(유로폼) / 600*1200mm</v>
      </c>
      <c r="Y1938" s="19" t="str">
        <f ca="1">HYPERLINK("#"&amp;재료비목록표!G2&amp;"!A"&amp;ROW(재료비목록표!A19),"자재   16 →")</f>
        <v>자재   16 →</v>
      </c>
      <c r="Z1938" s="20" t="s">
        <v>1338</v>
      </c>
      <c r="AA1938" s="110">
        <v>0.89</v>
      </c>
      <c r="AB1938" s="20" t="s">
        <v>1387</v>
      </c>
      <c r="AC1938" s="111">
        <v>10</v>
      </c>
      <c r="AD1938" s="20" t="s">
        <v>1326</v>
      </c>
      <c r="AE1938" s="113">
        <f>1*AA1938/AC1938</f>
        <v>8.8999999999999996E-2</v>
      </c>
      <c r="AF1938" s="109"/>
      <c r="AG1938" s="109"/>
      <c r="AH1938" s="109"/>
      <c r="AI1938" s="109"/>
      <c r="AJ1938" s="109"/>
      <c r="AK1938" s="109"/>
      <c r="AL1938" s="109"/>
      <c r="AM1938" s="109"/>
      <c r="AN1938" s="109"/>
      <c r="AO1938" s="109"/>
      <c r="AP1938" s="109"/>
      <c r="AQ1938" s="109"/>
      <c r="AR1938" s="109"/>
      <c r="AS1938" s="109"/>
    </row>
    <row r="1939" spans="1:45" ht="12.6" customHeight="1" x14ac:dyDescent="0.3">
      <c r="A1939" s="78"/>
      <c r="B1939" s="78"/>
      <c r="C1939" s="78"/>
      <c r="D1939" s="78"/>
      <c r="E1939" s="78"/>
      <c r="F1939" s="78"/>
      <c r="G1939" s="16" t="s">
        <v>1317</v>
      </c>
      <c r="Z1939" s="109"/>
      <c r="AA1939" s="109"/>
      <c r="AB1939" s="109"/>
      <c r="AC1939" s="109"/>
      <c r="AD1939" s="109"/>
      <c r="AE1939" s="109"/>
      <c r="AF1939" s="109"/>
      <c r="AG1939" s="109"/>
      <c r="AH1939" s="109"/>
      <c r="AI1939" s="109"/>
      <c r="AJ1939" s="109"/>
      <c r="AK1939" s="109"/>
      <c r="AL1939" s="109"/>
      <c r="AM1939" s="109"/>
      <c r="AN1939" s="109"/>
      <c r="AO1939" s="109"/>
      <c r="AP1939" s="109"/>
      <c r="AQ1939" s="109"/>
      <c r="AR1939" s="109"/>
      <c r="AS1939" s="109"/>
    </row>
    <row r="1940" spans="1:45" ht="12.6" customHeight="1" x14ac:dyDescent="0.3">
      <c r="A1940" s="68" t="s">
        <v>1989</v>
      </c>
      <c r="B1940" s="97" t="str">
        <f>" 내부코너패널(유로폼) : "&amp;TEXT(I1940,"#,##0"&amp;IF(I1940&lt;&gt;INT(I1940),".###",""))&amp;" * "&amp;AA1940&amp;" / "&amp;AC1940&amp;" = "&amp;TEXT(C1940,"#,##0.0")&amp;""</f>
        <v xml:space="preserve"> 내부코너패널(유로폼) : 21,000 * 0.03 / 10 = 63.0</v>
      </c>
      <c r="C1940" s="99">
        <f>E1940+D1940+F1940</f>
        <v>63</v>
      </c>
      <c r="D1940" s="99">
        <f>IF(H1940=0,0,ROUNDDOWN(J1940*H1940,1))</f>
        <v>0</v>
      </c>
      <c r="E1940" s="99">
        <f>IF(H1940=0,0,ROUNDDOWN(K1940*H1940,1))</f>
        <v>63</v>
      </c>
      <c r="F1940" s="99">
        <f>IF(H1940=0,0,ROUNDDOWN(L1940*H1940,1))</f>
        <v>0</v>
      </c>
      <c r="G1940" s="16" t="s">
        <v>1988</v>
      </c>
      <c r="H1940" s="105">
        <f>AE1940</f>
        <v>3.0000000000000001E-3</v>
      </c>
      <c r="I1940" s="106">
        <f>K1940+J1940+L1940</f>
        <v>21000</v>
      </c>
      <c r="K1940" s="39">
        <f>재료비목록표!E20</f>
        <v>21000</v>
      </c>
      <c r="M1940" s="20" t="s">
        <v>1990</v>
      </c>
      <c r="N1940" s="20" t="s">
        <v>1332</v>
      </c>
      <c r="O1940" s="20" t="s">
        <v>1247</v>
      </c>
      <c r="X1940" s="108" t="str">
        <f>재료비목록표!B20&amp;" / "&amp;재료비목록표!C20</f>
        <v>내부코너패널(유로폼) / (100+200)*1200mm</v>
      </c>
      <c r="Y1940" s="19" t="str">
        <f ca="1">HYPERLINK("#"&amp;재료비목록표!G2&amp;"!A"&amp;ROW(재료비목록표!A20),"자재   17 →")</f>
        <v>자재   17 →</v>
      </c>
      <c r="Z1940" s="20" t="s">
        <v>1338</v>
      </c>
      <c r="AA1940" s="110">
        <v>0.03</v>
      </c>
      <c r="AB1940" s="20" t="s">
        <v>1387</v>
      </c>
      <c r="AC1940" s="111">
        <v>10</v>
      </c>
      <c r="AD1940" s="20" t="s">
        <v>1326</v>
      </c>
      <c r="AE1940" s="113">
        <f>1*AA1940/AC1940</f>
        <v>3.0000000000000001E-3</v>
      </c>
      <c r="AF1940" s="109"/>
      <c r="AG1940" s="109"/>
      <c r="AH1940" s="109"/>
      <c r="AI1940" s="109"/>
      <c r="AJ1940" s="109"/>
      <c r="AK1940" s="109"/>
      <c r="AL1940" s="109"/>
      <c r="AM1940" s="109"/>
      <c r="AN1940" s="109"/>
      <c r="AO1940" s="109"/>
      <c r="AP1940" s="109"/>
      <c r="AQ1940" s="109"/>
      <c r="AR1940" s="109"/>
      <c r="AS1940" s="109"/>
    </row>
    <row r="1941" spans="1:45" ht="12.6" customHeight="1" x14ac:dyDescent="0.3">
      <c r="A1941" s="78"/>
      <c r="B1941" s="78"/>
      <c r="C1941" s="78"/>
      <c r="D1941" s="78"/>
      <c r="E1941" s="78"/>
      <c r="F1941" s="78"/>
      <c r="G1941" s="16" t="s">
        <v>1317</v>
      </c>
      <c r="Z1941" s="109"/>
      <c r="AA1941" s="109"/>
      <c r="AB1941" s="109"/>
      <c r="AC1941" s="109"/>
      <c r="AD1941" s="109"/>
      <c r="AE1941" s="109"/>
      <c r="AF1941" s="109"/>
      <c r="AG1941" s="109"/>
      <c r="AH1941" s="109"/>
      <c r="AI1941" s="109"/>
      <c r="AJ1941" s="109"/>
      <c r="AK1941" s="109"/>
      <c r="AL1941" s="109"/>
      <c r="AM1941" s="109"/>
      <c r="AN1941" s="109"/>
      <c r="AO1941" s="109"/>
      <c r="AP1941" s="109"/>
      <c r="AQ1941" s="109"/>
      <c r="AR1941" s="109"/>
      <c r="AS1941" s="109"/>
    </row>
    <row r="1942" spans="1:45" ht="12.6" customHeight="1" x14ac:dyDescent="0.3">
      <c r="A1942" s="68"/>
      <c r="B1942" s="97" t="str">
        <f>" 부자재(웨지핀, 플랫타이, 강관파이프, 훅) : "&amp;TEXT(I1942,"#,##0.0")&amp;" * "&amp;AA1942&amp;" %  = "&amp;TEXT(C1942,"#,##0.0")&amp;""</f>
        <v xml:space="preserve"> 부자재(웨지핀, 플랫타이, 강관파이프, 훅) : 2,866.5 * 24 %  = 687.9</v>
      </c>
      <c r="C1942" s="99">
        <f>E1942+D1942+F1942</f>
        <v>687.9</v>
      </c>
      <c r="D1942" s="99">
        <f>IF(H1942=0,0,ROUNDDOWN(J1942*H1942/100,1))</f>
        <v>0</v>
      </c>
      <c r="E1942" s="99">
        <f>IF(H1942=0,0,ROUNDDOWN(K1942*H1942/100,1))</f>
        <v>687.9</v>
      </c>
      <c r="F1942" s="99">
        <f>IF(H1942=0,0,ROUNDDOWN(L1942*H1942/100,1))</f>
        <v>0</v>
      </c>
      <c r="G1942" s="16" t="s">
        <v>1991</v>
      </c>
      <c r="H1942" s="105">
        <f>AC1942</f>
        <v>24</v>
      </c>
      <c r="I1942" s="106">
        <f>K1942+J1942+L1942</f>
        <v>2866.5</v>
      </c>
      <c r="J1942" s="37">
        <v>0</v>
      </c>
      <c r="K1942" s="39">
        <f>SUMIF(O1932:O1941,"1_01",E1932:E1941)</f>
        <v>2866.5</v>
      </c>
      <c r="L1942" s="37">
        <v>0</v>
      </c>
      <c r="M1942" s="20" t="s">
        <v>1367</v>
      </c>
      <c r="N1942" s="20" t="s">
        <v>1332</v>
      </c>
      <c r="Z1942" s="20" t="s">
        <v>1338</v>
      </c>
      <c r="AA1942" s="111">
        <v>24</v>
      </c>
      <c r="AB1942" s="20" t="s">
        <v>1326</v>
      </c>
      <c r="AC1942" s="113">
        <f>1*AA1942</f>
        <v>24</v>
      </c>
      <c r="AD1942" s="109"/>
      <c r="AE1942" s="109"/>
      <c r="AF1942" s="109"/>
      <c r="AG1942" s="109"/>
      <c r="AH1942" s="109"/>
      <c r="AI1942" s="109"/>
      <c r="AJ1942" s="109"/>
      <c r="AK1942" s="109"/>
      <c r="AL1942" s="109"/>
      <c r="AM1942" s="109"/>
      <c r="AN1942" s="109"/>
      <c r="AO1942" s="109"/>
      <c r="AP1942" s="109"/>
      <c r="AQ1942" s="109"/>
      <c r="AR1942" s="109"/>
      <c r="AS1942" s="109"/>
    </row>
    <row r="1943" spans="1:45" ht="12.6" customHeight="1" x14ac:dyDescent="0.3">
      <c r="A1943" s="78"/>
      <c r="B1943" s="78"/>
      <c r="C1943" s="78"/>
      <c r="D1943" s="78"/>
      <c r="E1943" s="78"/>
      <c r="F1943" s="78"/>
      <c r="G1943" s="16" t="s">
        <v>1317</v>
      </c>
      <c r="Z1943" s="109"/>
      <c r="AA1943" s="109"/>
      <c r="AB1943" s="109"/>
      <c r="AC1943" s="109"/>
      <c r="AD1943" s="109"/>
      <c r="AE1943" s="109"/>
      <c r="AF1943" s="109"/>
      <c r="AG1943" s="109"/>
      <c r="AH1943" s="109"/>
      <c r="AI1943" s="109"/>
      <c r="AJ1943" s="109"/>
      <c r="AK1943" s="109"/>
      <c r="AL1943" s="109"/>
      <c r="AM1943" s="109"/>
      <c r="AN1943" s="109"/>
      <c r="AO1943" s="109"/>
      <c r="AP1943" s="109"/>
      <c r="AQ1943" s="109"/>
      <c r="AR1943" s="109"/>
      <c r="AS1943" s="109"/>
    </row>
    <row r="1944" spans="1:45" ht="12.6" customHeight="1" x14ac:dyDescent="0.3">
      <c r="A1944" s="68"/>
      <c r="B1944" s="97" t="str">
        <f>" 소모자재(박리재 등) : "&amp;TEXT(I1944,"#,##0.0")&amp;" * "&amp;AA1944&amp;" %  = "&amp;TEXT(C1944,"#,##0.0")&amp;""</f>
        <v xml:space="preserve"> 소모자재(박리재 등) : 2,866.5 * 5 %  = 143.3</v>
      </c>
      <c r="C1944" s="99">
        <f>E1944+D1944+F1944</f>
        <v>143.30000000000001</v>
      </c>
      <c r="D1944" s="99">
        <f>IF(H1944=0,0,ROUNDDOWN(J1944*H1944/100,1))</f>
        <v>0</v>
      </c>
      <c r="E1944" s="99">
        <f>IF(H1944=0,0,ROUNDDOWN(K1944*H1944/100,1))</f>
        <v>143.30000000000001</v>
      </c>
      <c r="F1944" s="99">
        <f>IF(H1944=0,0,ROUNDDOWN(L1944*H1944/100,1))</f>
        <v>0</v>
      </c>
      <c r="G1944" s="16" t="s">
        <v>1992</v>
      </c>
      <c r="H1944" s="105">
        <f>AC1944</f>
        <v>5</v>
      </c>
      <c r="I1944" s="106">
        <f>K1944+J1944+L1944</f>
        <v>2866.5</v>
      </c>
      <c r="J1944" s="37">
        <v>0</v>
      </c>
      <c r="K1944" s="39">
        <f>SUMIF(O1932:O1943,"1_01",E1932:E1943)</f>
        <v>2866.5</v>
      </c>
      <c r="L1944" s="37">
        <v>0</v>
      </c>
      <c r="M1944" s="20" t="s">
        <v>1367</v>
      </c>
      <c r="N1944" s="20" t="s">
        <v>1332</v>
      </c>
      <c r="Z1944" s="20" t="s">
        <v>1338</v>
      </c>
      <c r="AA1944" s="111">
        <v>5</v>
      </c>
      <c r="AB1944" s="20" t="s">
        <v>1326</v>
      </c>
      <c r="AC1944" s="113">
        <f>1*AA1944</f>
        <v>5</v>
      </c>
      <c r="AD1944" s="109"/>
      <c r="AE1944" s="109"/>
      <c r="AF1944" s="109"/>
      <c r="AG1944" s="109"/>
      <c r="AH1944" s="109"/>
      <c r="AI1944" s="109"/>
      <c r="AJ1944" s="109"/>
      <c r="AK1944" s="109"/>
      <c r="AL1944" s="109"/>
      <c r="AM1944" s="109"/>
      <c r="AN1944" s="109"/>
      <c r="AO1944" s="109"/>
      <c r="AP1944" s="109"/>
      <c r="AQ1944" s="109"/>
      <c r="AR1944" s="109"/>
      <c r="AS1944" s="109"/>
    </row>
    <row r="1945" spans="1:45" ht="12.6" customHeight="1" x14ac:dyDescent="0.3">
      <c r="A1945" s="78"/>
      <c r="B1945" s="78"/>
      <c r="C1945" s="78"/>
      <c r="D1945" s="78"/>
      <c r="E1945" s="78"/>
      <c r="F1945" s="78"/>
      <c r="G1945" s="16" t="s">
        <v>1317</v>
      </c>
      <c r="Z1945" s="109"/>
      <c r="AA1945" s="109"/>
      <c r="AB1945" s="109"/>
      <c r="AC1945" s="109"/>
      <c r="AD1945" s="109"/>
      <c r="AE1945" s="109"/>
      <c r="AF1945" s="109"/>
      <c r="AG1945" s="109"/>
      <c r="AH1945" s="109"/>
      <c r="AI1945" s="109"/>
      <c r="AJ1945" s="109"/>
      <c r="AK1945" s="109"/>
      <c r="AL1945" s="109"/>
      <c r="AM1945" s="109"/>
      <c r="AN1945" s="109"/>
      <c r="AO1945" s="109"/>
      <c r="AP1945" s="109"/>
      <c r="AQ1945" s="109"/>
      <c r="AR1945" s="109"/>
      <c r="AS1945" s="109"/>
    </row>
    <row r="1946" spans="1:45" ht="12.6" customHeight="1" x14ac:dyDescent="0.3">
      <c r="A1946" s="68"/>
      <c r="B1946" s="77" t="s">
        <v>1331</v>
      </c>
      <c r="C1946" s="100">
        <f>E1946+D1946+F1946</f>
        <v>3697.7000000000003</v>
      </c>
      <c r="D1946" s="100">
        <f>SUMIF(N1932:N1945,M1946,D1932:D1945)</f>
        <v>0</v>
      </c>
      <c r="E1946" s="100">
        <f>SUMIF(N1932:N1945,M1946,E1932:E1945)</f>
        <v>3697.7000000000003</v>
      </c>
      <c r="F1946" s="100">
        <f>SUMIF(N1932:N1945,M1946,F1932:F1945)</f>
        <v>0</v>
      </c>
      <c r="G1946" s="16" t="s">
        <v>1415</v>
      </c>
      <c r="M1946" s="20" t="s">
        <v>1332</v>
      </c>
      <c r="N1946" s="20" t="s">
        <v>1341</v>
      </c>
      <c r="Z1946" s="109"/>
      <c r="AA1946" s="109"/>
      <c r="AB1946" s="109"/>
      <c r="AC1946" s="109"/>
      <c r="AD1946" s="109"/>
      <c r="AE1946" s="109"/>
      <c r="AF1946" s="109"/>
      <c r="AG1946" s="109"/>
      <c r="AH1946" s="109"/>
      <c r="AI1946" s="109"/>
      <c r="AJ1946" s="109"/>
      <c r="AK1946" s="109"/>
      <c r="AL1946" s="109"/>
      <c r="AM1946" s="109"/>
      <c r="AN1946" s="109"/>
      <c r="AO1946" s="109"/>
      <c r="AP1946" s="109"/>
      <c r="AQ1946" s="109"/>
      <c r="AR1946" s="109"/>
      <c r="AS1946" s="109"/>
    </row>
    <row r="1947" spans="1:45" ht="12.6" customHeight="1" x14ac:dyDescent="0.3">
      <c r="A1947" s="78"/>
      <c r="B1947" s="78"/>
      <c r="C1947" s="98"/>
      <c r="D1947" s="98"/>
      <c r="E1947" s="98"/>
      <c r="F1947" s="98"/>
      <c r="G1947" s="16" t="s">
        <v>1317</v>
      </c>
      <c r="Z1947" s="109"/>
      <c r="AA1947" s="109"/>
      <c r="AB1947" s="109"/>
      <c r="AC1947" s="109"/>
      <c r="AD1947" s="109"/>
      <c r="AE1947" s="109"/>
      <c r="AF1947" s="109"/>
      <c r="AG1947" s="109"/>
      <c r="AH1947" s="109"/>
      <c r="AI1947" s="109"/>
      <c r="AJ1947" s="109"/>
      <c r="AK1947" s="109"/>
      <c r="AL1947" s="109"/>
      <c r="AM1947" s="109"/>
      <c r="AN1947" s="109"/>
      <c r="AO1947" s="109"/>
      <c r="AP1947" s="109"/>
      <c r="AQ1947" s="109"/>
      <c r="AR1947" s="109"/>
      <c r="AS1947" s="109"/>
    </row>
    <row r="1948" spans="1:45" ht="12.6" customHeight="1" x14ac:dyDescent="0.3">
      <c r="A1948" s="78"/>
      <c r="B1948" s="78"/>
      <c r="C1948" s="78"/>
      <c r="D1948" s="78"/>
      <c r="E1948" s="78"/>
      <c r="F1948" s="78"/>
      <c r="G1948" s="16" t="s">
        <v>1317</v>
      </c>
      <c r="Z1948" s="109"/>
      <c r="AA1948" s="109"/>
      <c r="AB1948" s="109"/>
      <c r="AC1948" s="109"/>
      <c r="AD1948" s="109"/>
      <c r="AE1948" s="109"/>
      <c r="AF1948" s="109"/>
      <c r="AG1948" s="109"/>
      <c r="AH1948" s="109"/>
      <c r="AI1948" s="109"/>
      <c r="AJ1948" s="109"/>
      <c r="AK1948" s="109"/>
      <c r="AL1948" s="109"/>
      <c r="AM1948" s="109"/>
      <c r="AN1948" s="109"/>
      <c r="AO1948" s="109"/>
      <c r="AP1948" s="109"/>
      <c r="AQ1948" s="109"/>
      <c r="AR1948" s="109"/>
      <c r="AS1948" s="109"/>
    </row>
    <row r="1949" spans="1:45" ht="12.6" customHeight="1" x14ac:dyDescent="0.3">
      <c r="A1949" s="68"/>
      <c r="B1949" s="77" t="s">
        <v>1994</v>
      </c>
      <c r="C1949" s="78"/>
      <c r="D1949" s="78"/>
      <c r="E1949" s="78"/>
      <c r="F1949" s="78"/>
      <c r="G1949" s="16" t="s">
        <v>1993</v>
      </c>
      <c r="Z1949" s="109"/>
      <c r="AA1949" s="109"/>
      <c r="AB1949" s="109"/>
      <c r="AC1949" s="109"/>
      <c r="AD1949" s="109"/>
      <c r="AE1949" s="109"/>
      <c r="AF1949" s="109"/>
      <c r="AG1949" s="109"/>
      <c r="AH1949" s="109"/>
      <c r="AI1949" s="109"/>
      <c r="AJ1949" s="109"/>
      <c r="AK1949" s="109"/>
      <c r="AL1949" s="109"/>
      <c r="AM1949" s="109"/>
      <c r="AN1949" s="109"/>
      <c r="AO1949" s="109"/>
      <c r="AP1949" s="109"/>
      <c r="AQ1949" s="109"/>
      <c r="AR1949" s="109"/>
      <c r="AS1949" s="109"/>
    </row>
    <row r="1950" spans="1:45" ht="12.6" customHeight="1" x14ac:dyDescent="0.3">
      <c r="A1950" s="78"/>
      <c r="B1950" s="78"/>
      <c r="C1950" s="78"/>
      <c r="D1950" s="78"/>
      <c r="E1950" s="78"/>
      <c r="F1950" s="78"/>
      <c r="G1950" s="16" t="s">
        <v>1317</v>
      </c>
      <c r="Z1950" s="109"/>
      <c r="AA1950" s="109"/>
      <c r="AB1950" s="109"/>
      <c r="AC1950" s="109"/>
      <c r="AD1950" s="109"/>
      <c r="AE1950" s="109"/>
      <c r="AF1950" s="109"/>
      <c r="AG1950" s="109"/>
      <c r="AH1950" s="109"/>
      <c r="AI1950" s="109"/>
      <c r="AJ1950" s="109"/>
      <c r="AK1950" s="109"/>
      <c r="AL1950" s="109"/>
      <c r="AM1950" s="109"/>
      <c r="AN1950" s="109"/>
      <c r="AO1950" s="109"/>
      <c r="AP1950" s="109"/>
      <c r="AQ1950" s="109"/>
      <c r="AR1950" s="109"/>
      <c r="AS1950" s="109"/>
    </row>
    <row r="1951" spans="1:45" ht="12.6" customHeight="1" x14ac:dyDescent="0.3">
      <c r="A1951" s="68" t="s">
        <v>651</v>
      </c>
      <c r="B1951" s="97" t="str">
        <f>" 형틀목공 : "&amp;TEXT(I1951,"#,##0"&amp;IF(I1951&lt;&gt;INT(I1951),".###",""))&amp;" * "&amp;AA1951&amp;" / "&amp;AC1951&amp;" = "&amp;TEXT(C1951,"#,##0.0")&amp;""</f>
        <v xml:space="preserve"> 형틀목공 : 274,978 * 4 / 40 = 27,497.8</v>
      </c>
      <c r="C1951" s="99">
        <f>E1951+D1951+F1951</f>
        <v>27497.8</v>
      </c>
      <c r="D1951" s="99">
        <f>IF(H1951=0,0,ROUNDDOWN(J1951*H1951,1))</f>
        <v>27497.8</v>
      </c>
      <c r="E1951" s="99">
        <f>IF(H1951=0,0,ROUNDDOWN(K1951*H1951,1))</f>
        <v>0</v>
      </c>
      <c r="F1951" s="99">
        <f>IF(H1951=0,0,ROUNDDOWN(L1951*H1951,1))</f>
        <v>0</v>
      </c>
      <c r="G1951" s="16" t="s">
        <v>1995</v>
      </c>
      <c r="H1951" s="105">
        <f>AE1951</f>
        <v>0.1</v>
      </c>
      <c r="I1951" s="106">
        <f>K1951+J1951+L1951</f>
        <v>274978</v>
      </c>
      <c r="J1951" s="39">
        <f>노무비목록표!E5</f>
        <v>274978</v>
      </c>
      <c r="M1951" s="20" t="s">
        <v>1996</v>
      </c>
      <c r="N1951" s="20" t="s">
        <v>1332</v>
      </c>
      <c r="O1951" s="20" t="s">
        <v>1359</v>
      </c>
      <c r="X1951" s="108" t="str">
        <f>노무비목록표!B5&amp;" / "&amp;노무비목록표!C5</f>
        <v xml:space="preserve">형틀목공 / </v>
      </c>
      <c r="Y1951" s="19" t="str">
        <f ca="1">HYPERLINK("#"&amp;노무비목록표!G2&amp;"!A"&amp;ROW(노무비목록표!A5),"노무    2 →")</f>
        <v>노무    2 →</v>
      </c>
      <c r="Z1951" s="20" t="s">
        <v>1338</v>
      </c>
      <c r="AA1951" s="111">
        <v>4</v>
      </c>
      <c r="AB1951" s="20" t="s">
        <v>1387</v>
      </c>
      <c r="AC1951" s="111">
        <v>40</v>
      </c>
      <c r="AD1951" s="20" t="s">
        <v>1326</v>
      </c>
      <c r="AE1951" s="113">
        <f>1*AA1951/AC1951</f>
        <v>0.1</v>
      </c>
      <c r="AF1951" s="109"/>
      <c r="AG1951" s="109"/>
      <c r="AH1951" s="109"/>
      <c r="AI1951" s="109"/>
      <c r="AJ1951" s="109"/>
      <c r="AK1951" s="109"/>
      <c r="AL1951" s="109"/>
      <c r="AM1951" s="109"/>
      <c r="AN1951" s="109"/>
      <c r="AO1951" s="109"/>
      <c r="AP1951" s="109"/>
      <c r="AQ1951" s="109"/>
      <c r="AR1951" s="109"/>
      <c r="AS1951" s="109"/>
    </row>
    <row r="1952" spans="1:45" ht="12.6" customHeight="1" x14ac:dyDescent="0.3">
      <c r="A1952" s="78"/>
      <c r="B1952" s="78"/>
      <c r="C1952" s="78"/>
      <c r="D1952" s="78"/>
      <c r="E1952" s="78"/>
      <c r="F1952" s="78"/>
      <c r="G1952" s="16" t="s">
        <v>1317</v>
      </c>
      <c r="Z1952" s="109"/>
      <c r="AA1952" s="109"/>
      <c r="AB1952" s="109"/>
      <c r="AC1952" s="109"/>
      <c r="AD1952" s="109"/>
      <c r="AE1952" s="109"/>
      <c r="AF1952" s="109"/>
      <c r="AG1952" s="109"/>
      <c r="AH1952" s="109"/>
      <c r="AI1952" s="109"/>
      <c r="AJ1952" s="109"/>
      <c r="AK1952" s="109"/>
      <c r="AL1952" s="109"/>
      <c r="AM1952" s="109"/>
      <c r="AN1952" s="109"/>
      <c r="AO1952" s="109"/>
      <c r="AP1952" s="109"/>
      <c r="AQ1952" s="109"/>
      <c r="AR1952" s="109"/>
      <c r="AS1952" s="109"/>
    </row>
    <row r="1953" spans="1:45" ht="12.6" customHeight="1" x14ac:dyDescent="0.3">
      <c r="A1953" s="68" t="s">
        <v>663</v>
      </c>
      <c r="B1953" s="97" t="str">
        <f>" 보통인부 : "&amp;TEXT(I1953,"#,##0"&amp;IF(I1953&lt;&gt;INT(I1953),".###",""))&amp;" * "&amp;AA1953&amp;" / "&amp;AC1953&amp;" = "&amp;TEXT(C1953,"#,##0.0")&amp;""</f>
        <v xml:space="preserve"> 보통인부 : 165,545 * 1 / 40 = 4,138.6</v>
      </c>
      <c r="C1953" s="99">
        <f>E1953+D1953+F1953</f>
        <v>4138.6000000000004</v>
      </c>
      <c r="D1953" s="99">
        <f>IF(H1953=0,0,ROUNDDOWN(J1953*H1953,1))</f>
        <v>4138.6000000000004</v>
      </c>
      <c r="E1953" s="99">
        <f>IF(H1953=0,0,ROUNDDOWN(K1953*H1953,1))</f>
        <v>0</v>
      </c>
      <c r="F1953" s="99">
        <f>IF(H1953=0,0,ROUNDDOWN(L1953*H1953,1))</f>
        <v>0</v>
      </c>
      <c r="G1953" s="16" t="s">
        <v>1997</v>
      </c>
      <c r="H1953" s="105">
        <f>AE1953</f>
        <v>2.5000000000000001E-2</v>
      </c>
      <c r="I1953" s="106">
        <f>K1953+J1953+L1953</f>
        <v>165545</v>
      </c>
      <c r="J1953" s="39">
        <f>노무비목록표!E9</f>
        <v>165545</v>
      </c>
      <c r="M1953" s="20" t="s">
        <v>1126</v>
      </c>
      <c r="N1953" s="20" t="s">
        <v>1332</v>
      </c>
      <c r="O1953" s="20" t="s">
        <v>1359</v>
      </c>
      <c r="X1953" s="108" t="str">
        <f>노무비목록표!B9&amp;" / "&amp;노무비목록표!C9</f>
        <v xml:space="preserve">보통인부 / </v>
      </c>
      <c r="Y1953" s="19" t="str">
        <f ca="1">HYPERLINK("#"&amp;노무비목록표!G2&amp;"!A"&amp;ROW(노무비목록표!A9),"노무    6 →")</f>
        <v>노무    6 →</v>
      </c>
      <c r="Z1953" s="20" t="s">
        <v>1338</v>
      </c>
      <c r="AA1953" s="111">
        <v>1</v>
      </c>
      <c r="AB1953" s="20" t="s">
        <v>1387</v>
      </c>
      <c r="AC1953" s="111">
        <v>40</v>
      </c>
      <c r="AD1953" s="20" t="s">
        <v>1326</v>
      </c>
      <c r="AE1953" s="113">
        <f>1*AA1953/AC1953</f>
        <v>2.5000000000000001E-2</v>
      </c>
      <c r="AF1953" s="109"/>
      <c r="AG1953" s="109"/>
      <c r="AH1953" s="109"/>
      <c r="AI1953" s="109"/>
      <c r="AJ1953" s="109"/>
      <c r="AK1953" s="109"/>
      <c r="AL1953" s="109"/>
      <c r="AM1953" s="109"/>
      <c r="AN1953" s="109"/>
      <c r="AO1953" s="109"/>
      <c r="AP1953" s="109"/>
      <c r="AQ1953" s="109"/>
      <c r="AR1953" s="109"/>
      <c r="AS1953" s="109"/>
    </row>
    <row r="1954" spans="1:45" ht="12.6" customHeight="1" x14ac:dyDescent="0.3">
      <c r="A1954" s="78"/>
      <c r="B1954" s="78"/>
      <c r="C1954" s="78"/>
      <c r="D1954" s="78"/>
      <c r="E1954" s="78"/>
      <c r="F1954" s="78"/>
      <c r="G1954" s="16" t="s">
        <v>1317</v>
      </c>
      <c r="Z1954" s="109"/>
      <c r="AA1954" s="109"/>
      <c r="AB1954" s="109"/>
      <c r="AC1954" s="109"/>
      <c r="AD1954" s="109"/>
      <c r="AE1954" s="109"/>
      <c r="AF1954" s="109"/>
      <c r="AG1954" s="109"/>
      <c r="AH1954" s="109"/>
      <c r="AI1954" s="109"/>
      <c r="AJ1954" s="109"/>
      <c r="AK1954" s="109"/>
      <c r="AL1954" s="109"/>
      <c r="AM1954" s="109"/>
      <c r="AN1954" s="109"/>
      <c r="AO1954" s="109"/>
      <c r="AP1954" s="109"/>
      <c r="AQ1954" s="109"/>
      <c r="AR1954" s="109"/>
      <c r="AS1954" s="109"/>
    </row>
    <row r="1955" spans="1:45" ht="12.6" customHeight="1" x14ac:dyDescent="0.3">
      <c r="A1955" s="68"/>
      <c r="B1955" s="97" t="str">
        <f>" 공구손료 및 경장비 기계경비 : "&amp;TEXT(I1955,"#,##0.0")&amp;" * "&amp;AA1955&amp;" %  = "&amp;TEXT(C1955,"#,##0.0")&amp;""</f>
        <v xml:space="preserve"> 공구손료 및 경장비 기계경비 : 31,636.4 * 3 %  = 949.0</v>
      </c>
      <c r="C1955" s="99">
        <f>E1955+D1955+F1955</f>
        <v>949</v>
      </c>
      <c r="D1955" s="99">
        <f>IF(H1955=0,0,ROUNDDOWN(J1955*H1955/100,1))</f>
        <v>0</v>
      </c>
      <c r="E1955" s="99">
        <f>IF(H1955=0,0,ROUNDDOWN(K1955*H1955/100,1))</f>
        <v>0</v>
      </c>
      <c r="F1955" s="99">
        <f>IF(H1955=0,0,ROUNDDOWN(L1955*H1955/100,1))</f>
        <v>949</v>
      </c>
      <c r="G1955" s="16" t="s">
        <v>1998</v>
      </c>
      <c r="H1955" s="105">
        <f>AC1955</f>
        <v>3</v>
      </c>
      <c r="I1955" s="106">
        <f>K1955+J1955+L1955</f>
        <v>31636.400000000001</v>
      </c>
      <c r="J1955" s="37">
        <v>0</v>
      </c>
      <c r="K1955" s="37">
        <v>0</v>
      </c>
      <c r="L1955" s="39">
        <f>SUMIF(O1932:O1954,"1_02",D1932:D1954)</f>
        <v>31636.400000000001</v>
      </c>
      <c r="M1955" s="20" t="s">
        <v>1367</v>
      </c>
      <c r="N1955" s="20" t="s">
        <v>1332</v>
      </c>
      <c r="Z1955" s="20" t="s">
        <v>1338</v>
      </c>
      <c r="AA1955" s="111">
        <v>3</v>
      </c>
      <c r="AB1955" s="20" t="s">
        <v>1326</v>
      </c>
      <c r="AC1955" s="113">
        <f>1*AA1955</f>
        <v>3</v>
      </c>
      <c r="AD1955" s="109"/>
      <c r="AE1955" s="109"/>
      <c r="AF1955" s="109"/>
      <c r="AG1955" s="109"/>
      <c r="AH1955" s="109"/>
      <c r="AI1955" s="109"/>
      <c r="AJ1955" s="109"/>
      <c r="AK1955" s="109"/>
      <c r="AL1955" s="109"/>
      <c r="AM1955" s="109"/>
      <c r="AN1955" s="109"/>
      <c r="AO1955" s="109"/>
      <c r="AP1955" s="109"/>
      <c r="AQ1955" s="109"/>
      <c r="AR1955" s="109"/>
      <c r="AS1955" s="109"/>
    </row>
    <row r="1956" spans="1:45" ht="12.6" customHeight="1" x14ac:dyDescent="0.3">
      <c r="A1956" s="78"/>
      <c r="B1956" s="78"/>
      <c r="C1956" s="78"/>
      <c r="D1956" s="78"/>
      <c r="E1956" s="78"/>
      <c r="F1956" s="78"/>
      <c r="G1956" s="16" t="s">
        <v>1317</v>
      </c>
      <c r="Z1956" s="109"/>
      <c r="AA1956" s="109"/>
      <c r="AB1956" s="109"/>
      <c r="AC1956" s="109"/>
      <c r="AD1956" s="109"/>
      <c r="AE1956" s="109"/>
      <c r="AF1956" s="109"/>
      <c r="AG1956" s="109"/>
      <c r="AH1956" s="109"/>
      <c r="AI1956" s="109"/>
      <c r="AJ1956" s="109"/>
      <c r="AK1956" s="109"/>
      <c r="AL1956" s="109"/>
      <c r="AM1956" s="109"/>
      <c r="AN1956" s="109"/>
      <c r="AO1956" s="109"/>
      <c r="AP1956" s="109"/>
      <c r="AQ1956" s="109"/>
      <c r="AR1956" s="109"/>
      <c r="AS1956" s="109"/>
    </row>
    <row r="1957" spans="1:45" ht="12.6" customHeight="1" x14ac:dyDescent="0.3">
      <c r="A1957" s="68"/>
      <c r="B1957" s="77" t="s">
        <v>1331</v>
      </c>
      <c r="C1957" s="100">
        <f>E1957+D1957+F1957</f>
        <v>32585.4</v>
      </c>
      <c r="D1957" s="100">
        <f>SUMIF(N1947:N1956,M1957,D1947:D1956)</f>
        <v>31636.400000000001</v>
      </c>
      <c r="E1957" s="100">
        <f>SUMIF(N1947:N1956,M1957,E1947:E1956)</f>
        <v>0</v>
      </c>
      <c r="F1957" s="100">
        <f>SUMIF(N1947:N1956,M1957,F1947:F1956)</f>
        <v>949</v>
      </c>
      <c r="G1957" s="16" t="s">
        <v>1415</v>
      </c>
      <c r="M1957" s="20" t="s">
        <v>1332</v>
      </c>
      <c r="N1957" s="20" t="s">
        <v>1341</v>
      </c>
      <c r="Z1957" s="109"/>
      <c r="AA1957" s="109"/>
      <c r="AB1957" s="109"/>
      <c r="AC1957" s="109"/>
      <c r="AD1957" s="109"/>
      <c r="AE1957" s="109"/>
      <c r="AF1957" s="109"/>
      <c r="AG1957" s="109"/>
      <c r="AH1957" s="109"/>
      <c r="AI1957" s="109"/>
      <c r="AJ1957" s="109"/>
      <c r="AK1957" s="109"/>
      <c r="AL1957" s="109"/>
      <c r="AM1957" s="109"/>
      <c r="AN1957" s="109"/>
      <c r="AO1957" s="109"/>
      <c r="AP1957" s="109"/>
      <c r="AQ1957" s="109"/>
      <c r="AR1957" s="109"/>
      <c r="AS1957" s="109"/>
    </row>
    <row r="1958" spans="1:45" ht="12.6" customHeight="1" x14ac:dyDescent="0.3">
      <c r="A1958" s="78"/>
      <c r="B1958" s="78"/>
      <c r="C1958" s="98"/>
      <c r="D1958" s="98"/>
      <c r="E1958" s="98"/>
      <c r="F1958" s="98"/>
      <c r="G1958" s="16" t="s">
        <v>1317</v>
      </c>
      <c r="Z1958" s="109"/>
      <c r="AA1958" s="109"/>
      <c r="AB1958" s="109"/>
      <c r="AC1958" s="109"/>
      <c r="AD1958" s="109"/>
      <c r="AE1958" s="109"/>
      <c r="AF1958" s="109"/>
      <c r="AG1958" s="109"/>
      <c r="AH1958" s="109"/>
      <c r="AI1958" s="109"/>
      <c r="AJ1958" s="109"/>
      <c r="AK1958" s="109"/>
      <c r="AL1958" s="109"/>
      <c r="AM1958" s="109"/>
      <c r="AN1958" s="109"/>
      <c r="AO1958" s="109"/>
      <c r="AP1958" s="109"/>
      <c r="AQ1958" s="109"/>
      <c r="AR1958" s="109"/>
      <c r="AS1958" s="109"/>
    </row>
    <row r="1959" spans="1:45" ht="12.6" customHeight="1" x14ac:dyDescent="0.3">
      <c r="A1959" s="68"/>
      <c r="B1959" s="77" t="s">
        <v>1340</v>
      </c>
      <c r="C1959" s="100">
        <f>E1959+D1959+F1959</f>
        <v>36283.1</v>
      </c>
      <c r="D1959" s="100">
        <f>SUMIF(N1932:N1958,M1959,D1932:D1958)</f>
        <v>31636.400000000001</v>
      </c>
      <c r="E1959" s="100">
        <f>SUMIF(N1932:N1958,M1959,E1932:E1958)</f>
        <v>3697.7000000000003</v>
      </c>
      <c r="F1959" s="100">
        <f>SUMIF(N1932:N1958,M1959,F1932:F1958)</f>
        <v>949</v>
      </c>
      <c r="G1959" s="16" t="s">
        <v>1380</v>
      </c>
      <c r="M1959" s="20" t="s">
        <v>1341</v>
      </c>
      <c r="N1959" s="20" t="s">
        <v>1128</v>
      </c>
      <c r="Z1959" s="109"/>
      <c r="AA1959" s="109"/>
      <c r="AB1959" s="109"/>
      <c r="AC1959" s="109"/>
      <c r="AD1959" s="109"/>
      <c r="AE1959" s="109"/>
      <c r="AF1959" s="109"/>
      <c r="AG1959" s="109"/>
      <c r="AH1959" s="109"/>
      <c r="AI1959" s="109"/>
      <c r="AJ1959" s="109"/>
      <c r="AK1959" s="109"/>
      <c r="AL1959" s="109"/>
      <c r="AM1959" s="109"/>
      <c r="AN1959" s="109"/>
      <c r="AO1959" s="109"/>
      <c r="AP1959" s="109"/>
      <c r="AQ1959" s="109"/>
      <c r="AR1959" s="109"/>
      <c r="AS1959" s="109"/>
    </row>
    <row r="1960" spans="1:45" ht="12.6" customHeight="1" x14ac:dyDescent="0.3">
      <c r="A1960" s="78"/>
      <c r="B1960" s="78"/>
      <c r="C1960" s="98"/>
      <c r="D1960" s="98"/>
      <c r="E1960" s="98"/>
      <c r="F1960" s="98"/>
      <c r="Z1960" s="109"/>
      <c r="AA1960" s="109"/>
      <c r="AB1960" s="109"/>
      <c r="AC1960" s="109"/>
      <c r="AD1960" s="109"/>
      <c r="AE1960" s="109"/>
      <c r="AF1960" s="109"/>
      <c r="AG1960" s="109"/>
      <c r="AH1960" s="109"/>
      <c r="AI1960" s="109"/>
      <c r="AJ1960" s="109"/>
      <c r="AK1960" s="109"/>
      <c r="AL1960" s="109"/>
      <c r="AM1960" s="109"/>
      <c r="AN1960" s="109"/>
      <c r="AO1960" s="109"/>
      <c r="AP1960" s="109"/>
      <c r="AQ1960" s="109"/>
      <c r="AR1960" s="109"/>
      <c r="AS1960" s="109"/>
    </row>
    <row r="1961" spans="1:45" ht="12.6" customHeight="1" x14ac:dyDescent="0.3">
      <c r="A1961" s="78"/>
      <c r="B1961" s="78"/>
      <c r="C1961" s="78"/>
      <c r="D1961" s="78"/>
      <c r="E1961" s="78"/>
      <c r="F1961" s="78"/>
      <c r="Z1961" s="109"/>
      <c r="AA1961" s="109"/>
      <c r="AB1961" s="109"/>
      <c r="AC1961" s="109"/>
      <c r="AD1961" s="109"/>
      <c r="AE1961" s="109"/>
      <c r="AF1961" s="109"/>
      <c r="AG1961" s="109"/>
      <c r="AH1961" s="109"/>
      <c r="AI1961" s="109"/>
      <c r="AJ1961" s="109"/>
      <c r="AK1961" s="109"/>
      <c r="AL1961" s="109"/>
      <c r="AM1961" s="109"/>
      <c r="AN1961" s="109"/>
      <c r="AO1961" s="109"/>
      <c r="AP1961" s="109"/>
      <c r="AQ1961" s="109"/>
      <c r="AR1961" s="109"/>
      <c r="AS1961" s="109"/>
    </row>
    <row r="1962" spans="1:45" ht="12.6" customHeight="1" x14ac:dyDescent="0.3">
      <c r="A1962" s="78"/>
      <c r="B1962" s="78"/>
      <c r="C1962" s="78"/>
      <c r="D1962" s="78"/>
      <c r="E1962" s="78"/>
      <c r="F1962" s="78"/>
      <c r="Z1962" s="109"/>
      <c r="AA1962" s="109"/>
      <c r="AB1962" s="109"/>
      <c r="AC1962" s="109"/>
      <c r="AD1962" s="109"/>
      <c r="AE1962" s="109"/>
      <c r="AF1962" s="109"/>
      <c r="AG1962" s="109"/>
      <c r="AH1962" s="109"/>
      <c r="AI1962" s="109"/>
      <c r="AJ1962" s="109"/>
      <c r="AK1962" s="109"/>
      <c r="AL1962" s="109"/>
      <c r="AM1962" s="109"/>
      <c r="AN1962" s="109"/>
      <c r="AO1962" s="109"/>
      <c r="AP1962" s="109"/>
      <c r="AQ1962" s="109"/>
      <c r="AR1962" s="109"/>
      <c r="AS1962" s="109"/>
    </row>
    <row r="1963" spans="1:45" ht="12.6" customHeight="1" x14ac:dyDescent="0.3">
      <c r="A1963" s="58"/>
      <c r="B1963" s="58"/>
      <c r="C1963" s="58"/>
      <c r="D1963" s="58"/>
      <c r="E1963" s="58"/>
      <c r="F1963" s="58"/>
      <c r="Z1963" s="109"/>
      <c r="AA1963" s="109"/>
      <c r="AB1963" s="109"/>
      <c r="AC1963" s="109"/>
      <c r="AD1963" s="109"/>
      <c r="AE1963" s="109"/>
      <c r="AF1963" s="109"/>
      <c r="AG1963" s="109"/>
      <c r="AH1963" s="109"/>
      <c r="AI1963" s="109"/>
      <c r="AJ1963" s="109"/>
      <c r="AK1963" s="109"/>
      <c r="AL1963" s="109"/>
      <c r="AM1963" s="109"/>
      <c r="AN1963" s="109"/>
      <c r="AO1963" s="109"/>
      <c r="AP1963" s="109"/>
      <c r="AQ1963" s="109"/>
      <c r="AR1963" s="109"/>
      <c r="AS1963" s="109"/>
    </row>
    <row r="1964" spans="1:45" ht="12.6" customHeight="1" x14ac:dyDescent="0.3">
      <c r="A1964" s="159" t="s">
        <v>1401</v>
      </c>
      <c r="B1964" s="152"/>
      <c r="C1964" s="55">
        <f>E1964+D1964+F1964</f>
        <v>36282</v>
      </c>
      <c r="D1964" s="54">
        <f>ROUNDDOWN(SUMIF(N1932:N1959,M1964,D1932:D1959),0)</f>
        <v>31636</v>
      </c>
      <c r="E1964" s="63">
        <f>ROUNDDOWN(SUMIF(N1932:N1959,M1964,E1932:E1959),0)</f>
        <v>3697</v>
      </c>
      <c r="F1964" s="55">
        <f>ROUNDDOWN(SUMIF(N1932:N1959,M1964,F1932:F1959),0)</f>
        <v>949</v>
      </c>
      <c r="M1964" s="20" t="s">
        <v>1128</v>
      </c>
      <c r="Z1964" s="109"/>
      <c r="AA1964" s="109"/>
      <c r="AB1964" s="109"/>
      <c r="AC1964" s="109"/>
      <c r="AD1964" s="109"/>
      <c r="AE1964" s="109"/>
      <c r="AF1964" s="109"/>
      <c r="AG1964" s="109"/>
      <c r="AH1964" s="109"/>
      <c r="AI1964" s="109"/>
      <c r="AJ1964" s="109"/>
      <c r="AK1964" s="109"/>
      <c r="AL1964" s="109"/>
      <c r="AM1964" s="109"/>
      <c r="AN1964" s="109"/>
      <c r="AO1964" s="109"/>
      <c r="AP1964" s="109"/>
      <c r="AQ1964" s="109"/>
      <c r="AR1964" s="109"/>
      <c r="AS1964" s="109"/>
    </row>
    <row r="1965" spans="1:45" ht="12.6" customHeight="1" x14ac:dyDescent="0.3">
      <c r="A1965" s="95" t="s">
        <v>143</v>
      </c>
      <c r="B1965" s="96" t="s">
        <v>143</v>
      </c>
      <c r="C1965" s="158">
        <f>C2034</f>
        <v>67383</v>
      </c>
      <c r="D1965" s="158">
        <f>D2034</f>
        <v>66071</v>
      </c>
      <c r="E1965" s="158">
        <f>E2034</f>
        <v>1008</v>
      </c>
      <c r="F1965" s="158">
        <f>F2034</f>
        <v>304</v>
      </c>
      <c r="G1965" s="36" t="str">
        <f>HYPERLINK("#G"&amp;ROW(G2001),"_x0005_`BDCOD|D02200_x0007_`POSS|"&amp;ROW(G1967)&amp;"_x0007_`POSE|"&amp;ROW(G2001)&amp;"_x0007_`")</f>
        <v>_x0005_`BDCOD|D02200_x0007_`POSS|1967_x0007_`POSE|2001_x0007_`</v>
      </c>
      <c r="Z1965" s="109"/>
      <c r="AA1965" s="109"/>
      <c r="AB1965" s="109"/>
      <c r="AC1965" s="109"/>
      <c r="AD1965" s="109"/>
      <c r="AE1965" s="109"/>
      <c r="AF1965" s="109"/>
      <c r="AG1965" s="109"/>
      <c r="AH1965" s="109"/>
      <c r="AI1965" s="109"/>
      <c r="AJ1965" s="109"/>
      <c r="AK1965" s="109"/>
      <c r="AL1965" s="109"/>
      <c r="AM1965" s="109"/>
      <c r="AN1965" s="109"/>
      <c r="AO1965" s="109"/>
      <c r="AP1965" s="109"/>
      <c r="AQ1965" s="109"/>
      <c r="AR1965" s="109"/>
      <c r="AS1965" s="109"/>
    </row>
    <row r="1966" spans="1:45" ht="12.6" customHeight="1" x14ac:dyDescent="0.3">
      <c r="A1966" s="84"/>
      <c r="B1966" s="96" t="s">
        <v>274</v>
      </c>
      <c r="C1966" s="141"/>
      <c r="D1966" s="141"/>
      <c r="E1966" s="141"/>
      <c r="F1966" s="141"/>
      <c r="M1966" s="20" t="s">
        <v>273</v>
      </c>
      <c r="Z1966" s="109"/>
      <c r="AA1966" s="109"/>
      <c r="AB1966" s="109"/>
      <c r="AC1966" s="109"/>
      <c r="AD1966" s="109"/>
      <c r="AE1966" s="109"/>
      <c r="AF1966" s="109"/>
      <c r="AG1966" s="109"/>
      <c r="AH1966" s="109"/>
      <c r="AI1966" s="109"/>
      <c r="AJ1966" s="109"/>
      <c r="AK1966" s="109"/>
      <c r="AL1966" s="109"/>
      <c r="AM1966" s="109"/>
      <c r="AN1966" s="109"/>
      <c r="AO1966" s="109"/>
      <c r="AP1966" s="109"/>
      <c r="AQ1966" s="109"/>
      <c r="AR1966" s="109"/>
      <c r="AS1966" s="109"/>
    </row>
    <row r="1967" spans="1:45" ht="12.6" customHeight="1" x14ac:dyDescent="0.3">
      <c r="A1967" s="68"/>
      <c r="B1967" s="77" t="s">
        <v>2000</v>
      </c>
      <c r="C1967" s="98"/>
      <c r="D1967" s="98"/>
      <c r="E1967" s="98"/>
      <c r="F1967" s="98"/>
      <c r="G1967" s="16" t="s">
        <v>1999</v>
      </c>
      <c r="Z1967" s="109"/>
      <c r="AA1967" s="109"/>
      <c r="AB1967" s="109"/>
      <c r="AC1967" s="109"/>
      <c r="AD1967" s="109"/>
      <c r="AE1967" s="109"/>
      <c r="AF1967" s="109"/>
      <c r="AG1967" s="109"/>
      <c r="AH1967" s="109"/>
      <c r="AI1967" s="109"/>
      <c r="AJ1967" s="109"/>
      <c r="AK1967" s="109"/>
      <c r="AL1967" s="109"/>
      <c r="AM1967" s="109"/>
      <c r="AN1967" s="109"/>
      <c r="AO1967" s="109"/>
      <c r="AP1967" s="109"/>
      <c r="AQ1967" s="109"/>
      <c r="AR1967" s="109"/>
      <c r="AS1967" s="109"/>
    </row>
    <row r="1968" spans="1:45" ht="12.6" customHeight="1" x14ac:dyDescent="0.3">
      <c r="A1968" s="78"/>
      <c r="B1968" s="78"/>
      <c r="C1968" s="78"/>
      <c r="D1968" s="78"/>
      <c r="E1968" s="78"/>
      <c r="F1968" s="78"/>
      <c r="G1968" s="16" t="s">
        <v>1317</v>
      </c>
      <c r="Z1968" s="109"/>
      <c r="AA1968" s="109"/>
      <c r="AB1968" s="109"/>
      <c r="AC1968" s="109"/>
      <c r="AD1968" s="109"/>
      <c r="AE1968" s="109"/>
      <c r="AF1968" s="109"/>
      <c r="AG1968" s="109"/>
      <c r="AH1968" s="109"/>
      <c r="AI1968" s="109"/>
      <c r="AJ1968" s="109"/>
      <c r="AK1968" s="109"/>
      <c r="AL1968" s="109"/>
      <c r="AM1968" s="109"/>
      <c r="AN1968" s="109"/>
      <c r="AO1968" s="109"/>
      <c r="AP1968" s="109"/>
      <c r="AQ1968" s="109"/>
      <c r="AR1968" s="109"/>
      <c r="AS1968" s="109"/>
    </row>
    <row r="1969" spans="1:45" ht="12.6" customHeight="1" x14ac:dyDescent="0.3">
      <c r="A1969" s="68"/>
      <c r="B1969" s="77" t="s">
        <v>2002</v>
      </c>
      <c r="C1969" s="78"/>
      <c r="D1969" s="78"/>
      <c r="E1969" s="78"/>
      <c r="F1969" s="78"/>
      <c r="G1969" s="16" t="s">
        <v>2001</v>
      </c>
      <c r="Z1969" s="109"/>
      <c r="AA1969" s="109"/>
      <c r="AB1969" s="109"/>
      <c r="AC1969" s="109"/>
      <c r="AD1969" s="109"/>
      <c r="AE1969" s="109"/>
      <c r="AF1969" s="109"/>
      <c r="AG1969" s="109"/>
      <c r="AH1969" s="109"/>
      <c r="AI1969" s="109"/>
      <c r="AJ1969" s="109"/>
      <c r="AK1969" s="109"/>
      <c r="AL1969" s="109"/>
      <c r="AM1969" s="109"/>
      <c r="AN1969" s="109"/>
      <c r="AO1969" s="109"/>
      <c r="AP1969" s="109"/>
      <c r="AQ1969" s="109"/>
      <c r="AR1969" s="109"/>
      <c r="AS1969" s="109"/>
    </row>
    <row r="1970" spans="1:45" ht="12.6" customHeight="1" x14ac:dyDescent="0.3">
      <c r="A1970" s="78"/>
      <c r="B1970" s="78"/>
      <c r="C1970" s="78"/>
      <c r="D1970" s="78"/>
      <c r="E1970" s="78"/>
      <c r="F1970" s="78"/>
      <c r="G1970" s="16" t="s">
        <v>1317</v>
      </c>
      <c r="Z1970" s="109"/>
      <c r="AA1970" s="109"/>
      <c r="AB1970" s="109"/>
      <c r="AC1970" s="109"/>
      <c r="AD1970" s="109"/>
      <c r="AE1970" s="109"/>
      <c r="AF1970" s="109"/>
      <c r="AG1970" s="109"/>
      <c r="AH1970" s="109"/>
      <c r="AI1970" s="109"/>
      <c r="AJ1970" s="109"/>
      <c r="AK1970" s="109"/>
      <c r="AL1970" s="109"/>
      <c r="AM1970" s="109"/>
      <c r="AN1970" s="109"/>
      <c r="AO1970" s="109"/>
      <c r="AP1970" s="109"/>
      <c r="AQ1970" s="109"/>
      <c r="AR1970" s="109"/>
      <c r="AS1970" s="109"/>
    </row>
    <row r="1971" spans="1:45" ht="12.6" customHeight="1" x14ac:dyDescent="0.3">
      <c r="A1971" s="68"/>
      <c r="B1971" s="77" t="s">
        <v>2004</v>
      </c>
      <c r="C1971" s="78"/>
      <c r="D1971" s="78"/>
      <c r="E1971" s="78"/>
      <c r="F1971" s="78"/>
      <c r="G1971" s="16" t="s">
        <v>2003</v>
      </c>
      <c r="Z1971" s="109"/>
      <c r="AA1971" s="109"/>
      <c r="AB1971" s="109"/>
      <c r="AC1971" s="109"/>
      <c r="AD1971" s="109"/>
      <c r="AE1971" s="109"/>
      <c r="AF1971" s="109"/>
      <c r="AG1971" s="109"/>
      <c r="AH1971" s="109"/>
      <c r="AI1971" s="109"/>
      <c r="AJ1971" s="109"/>
      <c r="AK1971" s="109"/>
      <c r="AL1971" s="109"/>
      <c r="AM1971" s="109"/>
      <c r="AN1971" s="109"/>
      <c r="AO1971" s="109"/>
      <c r="AP1971" s="109"/>
      <c r="AQ1971" s="109"/>
      <c r="AR1971" s="109"/>
      <c r="AS1971" s="109"/>
    </row>
    <row r="1972" spans="1:45" ht="12.6" customHeight="1" x14ac:dyDescent="0.3">
      <c r="A1972" s="78"/>
      <c r="B1972" s="78"/>
      <c r="C1972" s="78"/>
      <c r="D1972" s="78"/>
      <c r="E1972" s="78"/>
      <c r="F1972" s="78"/>
      <c r="G1972" s="16" t="s">
        <v>1317</v>
      </c>
      <c r="Z1972" s="109"/>
      <c r="AA1972" s="109"/>
      <c r="AB1972" s="109"/>
      <c r="AC1972" s="109"/>
      <c r="AD1972" s="109"/>
      <c r="AE1972" s="109"/>
      <c r="AF1972" s="109"/>
      <c r="AG1972" s="109"/>
      <c r="AH1972" s="109"/>
      <c r="AI1972" s="109"/>
      <c r="AJ1972" s="109"/>
      <c r="AK1972" s="109"/>
      <c r="AL1972" s="109"/>
      <c r="AM1972" s="109"/>
      <c r="AN1972" s="109"/>
      <c r="AO1972" s="109"/>
      <c r="AP1972" s="109"/>
      <c r="AQ1972" s="109"/>
      <c r="AR1972" s="109"/>
      <c r="AS1972" s="109"/>
    </row>
    <row r="1973" spans="1:45" ht="12.6" customHeight="1" x14ac:dyDescent="0.3">
      <c r="A1973" s="78"/>
      <c r="B1973" s="78"/>
      <c r="C1973" s="78"/>
      <c r="D1973" s="78"/>
      <c r="E1973" s="78"/>
      <c r="F1973" s="78"/>
      <c r="G1973" s="16" t="s">
        <v>1317</v>
      </c>
      <c r="Z1973" s="109"/>
      <c r="AA1973" s="109"/>
      <c r="AB1973" s="109"/>
      <c r="AC1973" s="109"/>
      <c r="AD1973" s="109"/>
      <c r="AE1973" s="109"/>
      <c r="AF1973" s="109"/>
      <c r="AG1973" s="109"/>
      <c r="AH1973" s="109"/>
      <c r="AI1973" s="109"/>
      <c r="AJ1973" s="109"/>
      <c r="AK1973" s="109"/>
      <c r="AL1973" s="109"/>
      <c r="AM1973" s="109"/>
      <c r="AN1973" s="109"/>
      <c r="AO1973" s="109"/>
      <c r="AP1973" s="109"/>
      <c r="AQ1973" s="109"/>
      <c r="AR1973" s="109"/>
      <c r="AS1973" s="109"/>
    </row>
    <row r="1974" spans="1:45" ht="12.6" customHeight="1" x14ac:dyDescent="0.3">
      <c r="A1974" s="68"/>
      <c r="B1974" s="77" t="s">
        <v>2006</v>
      </c>
      <c r="C1974" s="78"/>
      <c r="D1974" s="78"/>
      <c r="E1974" s="78"/>
      <c r="F1974" s="78"/>
      <c r="G1974" s="16" t="s">
        <v>2005</v>
      </c>
      <c r="Z1974" s="109"/>
      <c r="AA1974" s="109"/>
      <c r="AB1974" s="109"/>
      <c r="AC1974" s="109"/>
      <c r="AD1974" s="109"/>
      <c r="AE1974" s="109"/>
      <c r="AF1974" s="109"/>
      <c r="AG1974" s="109"/>
      <c r="AH1974" s="109"/>
      <c r="AI1974" s="109"/>
      <c r="AJ1974" s="109"/>
      <c r="AK1974" s="109"/>
      <c r="AL1974" s="109"/>
      <c r="AM1974" s="109"/>
      <c r="AN1974" s="109"/>
      <c r="AO1974" s="109"/>
      <c r="AP1974" s="109"/>
      <c r="AQ1974" s="109"/>
      <c r="AR1974" s="109"/>
      <c r="AS1974" s="109"/>
    </row>
    <row r="1975" spans="1:45" ht="12.6" customHeight="1" x14ac:dyDescent="0.3">
      <c r="A1975" s="78"/>
      <c r="B1975" s="78"/>
      <c r="C1975" s="78"/>
      <c r="D1975" s="78"/>
      <c r="E1975" s="78"/>
      <c r="F1975" s="78"/>
      <c r="G1975" s="16" t="s">
        <v>1317</v>
      </c>
      <c r="Z1975" s="109"/>
      <c r="AA1975" s="109"/>
      <c r="AB1975" s="109"/>
      <c r="AC1975" s="109"/>
      <c r="AD1975" s="109"/>
      <c r="AE1975" s="109"/>
      <c r="AF1975" s="109"/>
      <c r="AG1975" s="109"/>
      <c r="AH1975" s="109"/>
      <c r="AI1975" s="109"/>
      <c r="AJ1975" s="109"/>
      <c r="AK1975" s="109"/>
      <c r="AL1975" s="109"/>
      <c r="AM1975" s="109"/>
      <c r="AN1975" s="109"/>
      <c r="AO1975" s="109"/>
      <c r="AP1975" s="109"/>
      <c r="AQ1975" s="109"/>
      <c r="AR1975" s="109"/>
      <c r="AS1975" s="109"/>
    </row>
    <row r="1976" spans="1:45" ht="12.6" customHeight="1" x14ac:dyDescent="0.3">
      <c r="A1976" s="68"/>
      <c r="B1976" s="77" t="s">
        <v>2008</v>
      </c>
      <c r="C1976" s="78"/>
      <c r="D1976" s="78"/>
      <c r="E1976" s="78"/>
      <c r="F1976" s="78"/>
      <c r="G1976" s="16" t="s">
        <v>2007</v>
      </c>
      <c r="Z1976" s="109"/>
      <c r="AA1976" s="109"/>
      <c r="AB1976" s="109"/>
      <c r="AC1976" s="109"/>
      <c r="AD1976" s="109"/>
      <c r="AE1976" s="109"/>
      <c r="AF1976" s="109"/>
      <c r="AG1976" s="109"/>
      <c r="AH1976" s="109"/>
      <c r="AI1976" s="109"/>
      <c r="AJ1976" s="109"/>
      <c r="AK1976" s="109"/>
      <c r="AL1976" s="109"/>
      <c r="AM1976" s="109"/>
      <c r="AN1976" s="109"/>
      <c r="AO1976" s="109"/>
      <c r="AP1976" s="109"/>
      <c r="AQ1976" s="109"/>
      <c r="AR1976" s="109"/>
      <c r="AS1976" s="109"/>
    </row>
    <row r="1977" spans="1:45" ht="12.6" customHeight="1" x14ac:dyDescent="0.3">
      <c r="A1977" s="78"/>
      <c r="B1977" s="78"/>
      <c r="C1977" s="78"/>
      <c r="D1977" s="78"/>
      <c r="E1977" s="78"/>
      <c r="F1977" s="78"/>
      <c r="G1977" s="16" t="s">
        <v>1317</v>
      </c>
      <c r="Z1977" s="109"/>
      <c r="AA1977" s="109"/>
      <c r="AB1977" s="109"/>
      <c r="AC1977" s="109"/>
      <c r="AD1977" s="109"/>
      <c r="AE1977" s="109"/>
      <c r="AF1977" s="109"/>
      <c r="AG1977" s="109"/>
      <c r="AH1977" s="109"/>
      <c r="AI1977" s="109"/>
      <c r="AJ1977" s="109"/>
      <c r="AK1977" s="109"/>
      <c r="AL1977" s="109"/>
      <c r="AM1977" s="109"/>
      <c r="AN1977" s="109"/>
      <c r="AO1977" s="109"/>
      <c r="AP1977" s="109"/>
      <c r="AQ1977" s="109"/>
      <c r="AR1977" s="109"/>
      <c r="AS1977" s="109"/>
    </row>
    <row r="1978" spans="1:45" ht="12.6" customHeight="1" x14ac:dyDescent="0.3">
      <c r="A1978" s="68"/>
      <c r="B1978" s="77" t="s">
        <v>2010</v>
      </c>
      <c r="C1978" s="78"/>
      <c r="D1978" s="78"/>
      <c r="E1978" s="78"/>
      <c r="F1978" s="78"/>
      <c r="G1978" s="16" t="s">
        <v>2009</v>
      </c>
      <c r="Z1978" s="109"/>
      <c r="AA1978" s="109"/>
      <c r="AB1978" s="109"/>
      <c r="AC1978" s="109"/>
      <c r="AD1978" s="109"/>
      <c r="AE1978" s="109"/>
      <c r="AF1978" s="109"/>
      <c r="AG1978" s="109"/>
      <c r="AH1978" s="109"/>
      <c r="AI1978" s="109"/>
      <c r="AJ1978" s="109"/>
      <c r="AK1978" s="109"/>
      <c r="AL1978" s="109"/>
      <c r="AM1978" s="109"/>
      <c r="AN1978" s="109"/>
      <c r="AO1978" s="109"/>
      <c r="AP1978" s="109"/>
      <c r="AQ1978" s="109"/>
      <c r="AR1978" s="109"/>
      <c r="AS1978" s="109"/>
    </row>
    <row r="1979" spans="1:45" ht="12.6" customHeight="1" x14ac:dyDescent="0.3">
      <c r="A1979" s="78"/>
      <c r="B1979" s="78"/>
      <c r="C1979" s="78"/>
      <c r="D1979" s="78"/>
      <c r="E1979" s="78"/>
      <c r="F1979" s="78"/>
      <c r="G1979" s="16" t="s">
        <v>1317</v>
      </c>
      <c r="Z1979" s="109"/>
      <c r="AA1979" s="109"/>
      <c r="AB1979" s="109"/>
      <c r="AC1979" s="109"/>
      <c r="AD1979" s="109"/>
      <c r="AE1979" s="109"/>
      <c r="AF1979" s="109"/>
      <c r="AG1979" s="109"/>
      <c r="AH1979" s="109"/>
      <c r="AI1979" s="109"/>
      <c r="AJ1979" s="109"/>
      <c r="AK1979" s="109"/>
      <c r="AL1979" s="109"/>
      <c r="AM1979" s="109"/>
      <c r="AN1979" s="109"/>
      <c r="AO1979" s="109"/>
      <c r="AP1979" s="109"/>
      <c r="AQ1979" s="109"/>
      <c r="AR1979" s="109"/>
      <c r="AS1979" s="109"/>
    </row>
    <row r="1980" spans="1:45" ht="12.6" customHeight="1" x14ac:dyDescent="0.3">
      <c r="A1980" s="78"/>
      <c r="B1980" s="78"/>
      <c r="C1980" s="78"/>
      <c r="D1980" s="78"/>
      <c r="E1980" s="78"/>
      <c r="F1980" s="78"/>
      <c r="G1980" s="16" t="s">
        <v>1317</v>
      </c>
      <c r="Z1980" s="109"/>
      <c r="AA1980" s="109"/>
      <c r="AB1980" s="109"/>
      <c r="AC1980" s="109"/>
      <c r="AD1980" s="109"/>
      <c r="AE1980" s="109"/>
      <c r="AF1980" s="109"/>
      <c r="AG1980" s="109"/>
      <c r="AH1980" s="109"/>
      <c r="AI1980" s="109"/>
      <c r="AJ1980" s="109"/>
      <c r="AK1980" s="109"/>
      <c r="AL1980" s="109"/>
      <c r="AM1980" s="109"/>
      <c r="AN1980" s="109"/>
      <c r="AO1980" s="109"/>
      <c r="AP1980" s="109"/>
      <c r="AQ1980" s="109"/>
      <c r="AR1980" s="109"/>
      <c r="AS1980" s="109"/>
    </row>
    <row r="1981" spans="1:45" ht="12.6" customHeight="1" x14ac:dyDescent="0.3">
      <c r="A1981" s="68"/>
      <c r="B1981" s="77" t="s">
        <v>2012</v>
      </c>
      <c r="C1981" s="78"/>
      <c r="D1981" s="78"/>
      <c r="E1981" s="78"/>
      <c r="F1981" s="78"/>
      <c r="G1981" s="16" t="s">
        <v>2011</v>
      </c>
      <c r="Z1981" s="109"/>
      <c r="AA1981" s="109"/>
      <c r="AB1981" s="109"/>
      <c r="AC1981" s="109"/>
      <c r="AD1981" s="109"/>
      <c r="AE1981" s="109"/>
      <c r="AF1981" s="109"/>
      <c r="AG1981" s="109"/>
      <c r="AH1981" s="109"/>
      <c r="AI1981" s="109"/>
      <c r="AJ1981" s="109"/>
      <c r="AK1981" s="109"/>
      <c r="AL1981" s="109"/>
      <c r="AM1981" s="109"/>
      <c r="AN1981" s="109"/>
      <c r="AO1981" s="109"/>
      <c r="AP1981" s="109"/>
      <c r="AQ1981" s="109"/>
      <c r="AR1981" s="109"/>
      <c r="AS1981" s="109"/>
    </row>
    <row r="1982" spans="1:45" ht="12.6" customHeight="1" x14ac:dyDescent="0.3">
      <c r="A1982" s="78"/>
      <c r="B1982" s="78"/>
      <c r="C1982" s="78"/>
      <c r="D1982" s="78"/>
      <c r="E1982" s="78"/>
      <c r="F1982" s="78"/>
      <c r="G1982" s="16" t="s">
        <v>1317</v>
      </c>
      <c r="Z1982" s="109"/>
      <c r="AA1982" s="109"/>
      <c r="AB1982" s="109"/>
      <c r="AC1982" s="109"/>
      <c r="AD1982" s="109"/>
      <c r="AE1982" s="109"/>
      <c r="AF1982" s="109"/>
      <c r="AG1982" s="109"/>
      <c r="AH1982" s="109"/>
      <c r="AI1982" s="109"/>
      <c r="AJ1982" s="109"/>
      <c r="AK1982" s="109"/>
      <c r="AL1982" s="109"/>
      <c r="AM1982" s="109"/>
      <c r="AN1982" s="109"/>
      <c r="AO1982" s="109"/>
      <c r="AP1982" s="109"/>
      <c r="AQ1982" s="109"/>
      <c r="AR1982" s="109"/>
      <c r="AS1982" s="109"/>
    </row>
    <row r="1983" spans="1:45" ht="12.6" customHeight="1" x14ac:dyDescent="0.3">
      <c r="A1983" s="68"/>
      <c r="B1983" s="77" t="s">
        <v>2014</v>
      </c>
      <c r="C1983" s="78"/>
      <c r="D1983" s="78"/>
      <c r="E1983" s="78"/>
      <c r="F1983" s="78"/>
      <c r="G1983" s="16" t="s">
        <v>2013</v>
      </c>
      <c r="Z1983" s="109"/>
      <c r="AA1983" s="109"/>
      <c r="AB1983" s="109"/>
      <c r="AC1983" s="109"/>
      <c r="AD1983" s="109"/>
      <c r="AE1983" s="109"/>
      <c r="AF1983" s="109"/>
      <c r="AG1983" s="109"/>
      <c r="AH1983" s="109"/>
      <c r="AI1983" s="109"/>
      <c r="AJ1983" s="109"/>
      <c r="AK1983" s="109"/>
      <c r="AL1983" s="109"/>
      <c r="AM1983" s="109"/>
      <c r="AN1983" s="109"/>
      <c r="AO1983" s="109"/>
      <c r="AP1983" s="109"/>
      <c r="AQ1983" s="109"/>
      <c r="AR1983" s="109"/>
      <c r="AS1983" s="109"/>
    </row>
    <row r="1984" spans="1:45" ht="12.6" customHeight="1" x14ac:dyDescent="0.3">
      <c r="A1984" s="78"/>
      <c r="B1984" s="78"/>
      <c r="C1984" s="78"/>
      <c r="D1984" s="78"/>
      <c r="E1984" s="78"/>
      <c r="F1984" s="78"/>
      <c r="G1984" s="16" t="s">
        <v>1317</v>
      </c>
      <c r="Z1984" s="109"/>
      <c r="AA1984" s="109"/>
      <c r="AB1984" s="109"/>
      <c r="AC1984" s="109"/>
      <c r="AD1984" s="109"/>
      <c r="AE1984" s="109"/>
      <c r="AF1984" s="109"/>
      <c r="AG1984" s="109"/>
      <c r="AH1984" s="109"/>
      <c r="AI1984" s="109"/>
      <c r="AJ1984" s="109"/>
      <c r="AK1984" s="109"/>
      <c r="AL1984" s="109"/>
      <c r="AM1984" s="109"/>
      <c r="AN1984" s="109"/>
      <c r="AO1984" s="109"/>
      <c r="AP1984" s="109"/>
      <c r="AQ1984" s="109"/>
      <c r="AR1984" s="109"/>
      <c r="AS1984" s="109"/>
    </row>
    <row r="1985" spans="1:45" ht="12.6" customHeight="1" x14ac:dyDescent="0.3">
      <c r="A1985" s="68"/>
      <c r="B1985" s="77" t="s">
        <v>2016</v>
      </c>
      <c r="C1985" s="78"/>
      <c r="D1985" s="78"/>
      <c r="E1985" s="78"/>
      <c r="F1985" s="78"/>
      <c r="G1985" s="16" t="s">
        <v>2015</v>
      </c>
      <c r="Z1985" s="109"/>
      <c r="AA1985" s="109"/>
      <c r="AB1985" s="109"/>
      <c r="AC1985" s="109"/>
      <c r="AD1985" s="109"/>
      <c r="AE1985" s="109"/>
      <c r="AF1985" s="109"/>
      <c r="AG1985" s="109"/>
      <c r="AH1985" s="109"/>
      <c r="AI1985" s="109"/>
      <c r="AJ1985" s="109"/>
      <c r="AK1985" s="109"/>
      <c r="AL1985" s="109"/>
      <c r="AM1985" s="109"/>
      <c r="AN1985" s="109"/>
      <c r="AO1985" s="109"/>
      <c r="AP1985" s="109"/>
      <c r="AQ1985" s="109"/>
      <c r="AR1985" s="109"/>
      <c r="AS1985" s="109"/>
    </row>
    <row r="1986" spans="1:45" ht="12.6" customHeight="1" x14ac:dyDescent="0.3">
      <c r="A1986" s="78"/>
      <c r="B1986" s="78"/>
      <c r="C1986" s="78"/>
      <c r="D1986" s="78"/>
      <c r="E1986" s="78"/>
      <c r="F1986" s="78"/>
      <c r="G1986" s="16" t="s">
        <v>1317</v>
      </c>
      <c r="Z1986" s="109"/>
      <c r="AA1986" s="109"/>
      <c r="AB1986" s="109"/>
      <c r="AC1986" s="109"/>
      <c r="AD1986" s="109"/>
      <c r="AE1986" s="109"/>
      <c r="AF1986" s="109"/>
      <c r="AG1986" s="109"/>
      <c r="AH1986" s="109"/>
      <c r="AI1986" s="109"/>
      <c r="AJ1986" s="109"/>
      <c r="AK1986" s="109"/>
      <c r="AL1986" s="109"/>
      <c r="AM1986" s="109"/>
      <c r="AN1986" s="109"/>
      <c r="AO1986" s="109"/>
      <c r="AP1986" s="109"/>
      <c r="AQ1986" s="109"/>
      <c r="AR1986" s="109"/>
      <c r="AS1986" s="109"/>
    </row>
    <row r="1987" spans="1:45" ht="12.6" customHeight="1" x14ac:dyDescent="0.3">
      <c r="A1987" s="68"/>
      <c r="B1987" s="77" t="s">
        <v>2018</v>
      </c>
      <c r="C1987" s="78"/>
      <c r="D1987" s="78"/>
      <c r="E1987" s="78"/>
      <c r="F1987" s="78"/>
      <c r="G1987" s="16" t="s">
        <v>2017</v>
      </c>
      <c r="Z1987" s="109"/>
      <c r="AA1987" s="109"/>
      <c r="AB1987" s="109"/>
      <c r="AC1987" s="109"/>
      <c r="AD1987" s="109"/>
      <c r="AE1987" s="109"/>
      <c r="AF1987" s="109"/>
      <c r="AG1987" s="109"/>
      <c r="AH1987" s="109"/>
      <c r="AI1987" s="109"/>
      <c r="AJ1987" s="109"/>
      <c r="AK1987" s="109"/>
      <c r="AL1987" s="109"/>
      <c r="AM1987" s="109"/>
      <c r="AN1987" s="109"/>
      <c r="AO1987" s="109"/>
      <c r="AP1987" s="109"/>
      <c r="AQ1987" s="109"/>
      <c r="AR1987" s="109"/>
      <c r="AS1987" s="109"/>
    </row>
    <row r="1988" spans="1:45" ht="12.6" customHeight="1" x14ac:dyDescent="0.3">
      <c r="A1988" s="78"/>
      <c r="B1988" s="78"/>
      <c r="C1988" s="78"/>
      <c r="D1988" s="78"/>
      <c r="E1988" s="78"/>
      <c r="F1988" s="78"/>
      <c r="G1988" s="16" t="s">
        <v>1317</v>
      </c>
      <c r="Z1988" s="109"/>
      <c r="AA1988" s="109"/>
      <c r="AB1988" s="109"/>
      <c r="AC1988" s="109"/>
      <c r="AD1988" s="109"/>
      <c r="AE1988" s="109"/>
      <c r="AF1988" s="109"/>
      <c r="AG1988" s="109"/>
      <c r="AH1988" s="109"/>
      <c r="AI1988" s="109"/>
      <c r="AJ1988" s="109"/>
      <c r="AK1988" s="109"/>
      <c r="AL1988" s="109"/>
      <c r="AM1988" s="109"/>
      <c r="AN1988" s="109"/>
      <c r="AO1988" s="109"/>
      <c r="AP1988" s="109"/>
      <c r="AQ1988" s="109"/>
      <c r="AR1988" s="109"/>
      <c r="AS1988" s="109"/>
    </row>
    <row r="1989" spans="1:45" ht="12.6" customHeight="1" x14ac:dyDescent="0.3">
      <c r="A1989" s="68" t="s">
        <v>657</v>
      </c>
      <c r="B1989" s="97" t="str">
        <f>"  콘크리트공 : "&amp;TEXT(I1989,"#,##0"&amp;IF(I1989&lt;&gt;INT(I1989),".###",""))&amp;" * ("&amp;AA1989&amp;" - "&amp;AC1989&amp;") = "&amp;TEXT(C1989,"#,##0.0")&amp;""</f>
        <v xml:space="preserve">  콘크리트공 : 261,283 * (0.15 - 0.13) = 5,225.6</v>
      </c>
      <c r="C1989" s="99">
        <f>E1989+D1989+F1989</f>
        <v>5225.6000000000004</v>
      </c>
      <c r="D1989" s="99">
        <f>IF(H1989=0,0,ROUNDDOWN(J1989*H1989,1))</f>
        <v>5225.6000000000004</v>
      </c>
      <c r="E1989" s="99">
        <f>IF(H1989=0,0,ROUNDDOWN(K1989*H1989,1))</f>
        <v>0</v>
      </c>
      <c r="F1989" s="99">
        <f>IF(H1989=0,0,ROUNDDOWN(L1989*H1989,1))</f>
        <v>0</v>
      </c>
      <c r="G1989" s="16" t="s">
        <v>2019</v>
      </c>
      <c r="H1989" s="105">
        <f>AF1989</f>
        <v>1.999999999999999E-2</v>
      </c>
      <c r="I1989" s="106">
        <f>K1989+J1989+L1989</f>
        <v>261283</v>
      </c>
      <c r="J1989" s="39">
        <f>노무비목록표!E7</f>
        <v>261283</v>
      </c>
      <c r="M1989" s="20" t="s">
        <v>1262</v>
      </c>
      <c r="N1989" s="20" t="s">
        <v>1332</v>
      </c>
      <c r="X1989" s="108" t="str">
        <f>노무비목록표!B7&amp;" / "&amp;노무비목록표!C7</f>
        <v xml:space="preserve">콘크리트공 / </v>
      </c>
      <c r="Y1989" s="19" t="str">
        <f ca="1">HYPERLINK("#"&amp;노무비목록표!G2&amp;"!A"&amp;ROW(노무비목록표!A7),"노무    4 →")</f>
        <v>노무    4 →</v>
      </c>
      <c r="Z1989" s="20" t="s">
        <v>2020</v>
      </c>
      <c r="AA1989" s="110">
        <v>0.15</v>
      </c>
      <c r="AB1989" s="20" t="s">
        <v>1407</v>
      </c>
      <c r="AC1989" s="110">
        <v>0.13</v>
      </c>
      <c r="AD1989" s="20" t="s">
        <v>1532</v>
      </c>
      <c r="AE1989" s="20" t="s">
        <v>1326</v>
      </c>
      <c r="AF1989" s="113">
        <f>1*(AA1989-AC1989)</f>
        <v>1.999999999999999E-2</v>
      </c>
      <c r="AG1989" s="109"/>
      <c r="AH1989" s="109"/>
      <c r="AI1989" s="109"/>
      <c r="AJ1989" s="109"/>
      <c r="AK1989" s="109"/>
      <c r="AL1989" s="109"/>
      <c r="AM1989" s="109"/>
      <c r="AN1989" s="109"/>
      <c r="AO1989" s="109"/>
      <c r="AP1989" s="109"/>
      <c r="AQ1989" s="109"/>
      <c r="AR1989" s="109"/>
      <c r="AS1989" s="109"/>
    </row>
    <row r="1990" spans="1:45" ht="12.6" customHeight="1" x14ac:dyDescent="0.3">
      <c r="A1990" s="78"/>
      <c r="B1990" s="78"/>
      <c r="C1990" s="78"/>
      <c r="D1990" s="78"/>
      <c r="E1990" s="78"/>
      <c r="F1990" s="78"/>
      <c r="G1990" s="16" t="s">
        <v>1317</v>
      </c>
      <c r="Z1990" s="109"/>
      <c r="AA1990" s="109"/>
      <c r="AB1990" s="109"/>
      <c r="AC1990" s="109"/>
      <c r="AD1990" s="109"/>
      <c r="AE1990" s="109"/>
      <c r="AF1990" s="109"/>
      <c r="AG1990" s="109"/>
      <c r="AH1990" s="109"/>
      <c r="AI1990" s="109"/>
      <c r="AJ1990" s="109"/>
      <c r="AK1990" s="109"/>
      <c r="AL1990" s="109"/>
      <c r="AM1990" s="109"/>
      <c r="AN1990" s="109"/>
      <c r="AO1990" s="109"/>
      <c r="AP1990" s="109"/>
      <c r="AQ1990" s="109"/>
      <c r="AR1990" s="109"/>
      <c r="AS1990" s="109"/>
    </row>
    <row r="1991" spans="1:45" ht="12.6" customHeight="1" x14ac:dyDescent="0.3">
      <c r="A1991" s="68" t="s">
        <v>663</v>
      </c>
      <c r="B1991" s="97" t="str">
        <f>"  보통인부 : "&amp;TEXT(I1991,"#,##0"&amp;IF(I1991&lt;&gt;INT(I1991),".###",""))&amp;" * ("&amp;AA1991&amp;" - "&amp;AC1991&amp;") = "&amp;TEXT(C1991,"#,##0.0")&amp;""</f>
        <v xml:space="preserve">  보통인부 : 165,545 * (0.46 - 0.13) = 54,629.8</v>
      </c>
      <c r="C1991" s="99">
        <f>E1991+D1991+F1991</f>
        <v>54629.8</v>
      </c>
      <c r="D1991" s="99">
        <f>IF(H1991=0,0,ROUNDDOWN(J1991*H1991,1))</f>
        <v>54629.8</v>
      </c>
      <c r="E1991" s="99">
        <f>IF(H1991=0,0,ROUNDDOWN(K1991*H1991,1))</f>
        <v>0</v>
      </c>
      <c r="F1991" s="99">
        <f>IF(H1991=0,0,ROUNDDOWN(L1991*H1991,1))</f>
        <v>0</v>
      </c>
      <c r="G1991" s="16" t="s">
        <v>2021</v>
      </c>
      <c r="H1991" s="105">
        <f>AF1991</f>
        <v>0.33</v>
      </c>
      <c r="I1991" s="106">
        <f>K1991+J1991+L1991</f>
        <v>165545</v>
      </c>
      <c r="J1991" s="39">
        <f>노무비목록표!E9</f>
        <v>165545</v>
      </c>
      <c r="M1991" s="20" t="s">
        <v>1126</v>
      </c>
      <c r="N1991" s="20" t="s">
        <v>1332</v>
      </c>
      <c r="X1991" s="108" t="str">
        <f>노무비목록표!B9&amp;" / "&amp;노무비목록표!C9</f>
        <v xml:space="preserve">보통인부 / </v>
      </c>
      <c r="Y1991" s="19" t="str">
        <f ca="1">HYPERLINK("#"&amp;노무비목록표!G2&amp;"!A"&amp;ROW(노무비목록표!A9),"노무    6 →")</f>
        <v>노무    6 →</v>
      </c>
      <c r="Z1991" s="20" t="s">
        <v>2020</v>
      </c>
      <c r="AA1991" s="110">
        <v>0.46</v>
      </c>
      <c r="AB1991" s="20" t="s">
        <v>1407</v>
      </c>
      <c r="AC1991" s="110">
        <v>0.13</v>
      </c>
      <c r="AD1991" s="20" t="s">
        <v>1532</v>
      </c>
      <c r="AE1991" s="20" t="s">
        <v>1326</v>
      </c>
      <c r="AF1991" s="113">
        <f>1*(AA1991-AC1991)</f>
        <v>0.33</v>
      </c>
      <c r="AG1991" s="109"/>
      <c r="AH1991" s="109"/>
      <c r="AI1991" s="109"/>
      <c r="AJ1991" s="109"/>
      <c r="AK1991" s="109"/>
      <c r="AL1991" s="109"/>
      <c r="AM1991" s="109"/>
      <c r="AN1991" s="109"/>
      <c r="AO1991" s="109"/>
      <c r="AP1991" s="109"/>
      <c r="AQ1991" s="109"/>
      <c r="AR1991" s="109"/>
      <c r="AS1991" s="109"/>
    </row>
    <row r="1992" spans="1:45" ht="12.6" customHeight="1" x14ac:dyDescent="0.3">
      <c r="A1992" s="78"/>
      <c r="B1992" s="78"/>
      <c r="C1992" s="78"/>
      <c r="D1992" s="78"/>
      <c r="E1992" s="78"/>
      <c r="F1992" s="78"/>
      <c r="G1992" s="16" t="s">
        <v>1317</v>
      </c>
      <c r="Z1992" s="109"/>
      <c r="AA1992" s="109"/>
      <c r="AB1992" s="109"/>
      <c r="AC1992" s="109"/>
      <c r="AD1992" s="109"/>
      <c r="AE1992" s="109"/>
      <c r="AF1992" s="109"/>
      <c r="AG1992" s="109"/>
      <c r="AH1992" s="109"/>
      <c r="AI1992" s="109"/>
      <c r="AJ1992" s="109"/>
      <c r="AK1992" s="109"/>
      <c r="AL1992" s="109"/>
      <c r="AM1992" s="109"/>
      <c r="AN1992" s="109"/>
      <c r="AO1992" s="109"/>
      <c r="AP1992" s="109"/>
      <c r="AQ1992" s="109"/>
      <c r="AR1992" s="109"/>
      <c r="AS1992" s="109"/>
    </row>
    <row r="1993" spans="1:45" ht="12.6" customHeight="1" x14ac:dyDescent="0.3">
      <c r="A1993" s="68"/>
      <c r="B1993" s="77" t="s">
        <v>1331</v>
      </c>
      <c r="C1993" s="100">
        <f>E1993+D1993+F1993</f>
        <v>59855.4</v>
      </c>
      <c r="D1993" s="100">
        <f>SUMIF(N1967:N1992,M1993,D1967:D1992)</f>
        <v>59855.4</v>
      </c>
      <c r="E1993" s="100">
        <f>SUMIF(N1967:N1992,M1993,E1967:E1992)</f>
        <v>0</v>
      </c>
      <c r="F1993" s="100">
        <f>SUMIF(N1967:N1992,M1993,F1967:F1992)</f>
        <v>0</v>
      </c>
      <c r="G1993" s="16" t="s">
        <v>1363</v>
      </c>
      <c r="M1993" s="20" t="s">
        <v>1332</v>
      </c>
      <c r="N1993" s="20" t="s">
        <v>1341</v>
      </c>
      <c r="Z1993" s="109"/>
      <c r="AA1993" s="109"/>
      <c r="AB1993" s="109"/>
      <c r="AC1993" s="109"/>
      <c r="AD1993" s="109"/>
      <c r="AE1993" s="109"/>
      <c r="AF1993" s="109"/>
      <c r="AG1993" s="109"/>
      <c r="AH1993" s="109"/>
      <c r="AI1993" s="109"/>
      <c r="AJ1993" s="109"/>
      <c r="AK1993" s="109"/>
      <c r="AL1993" s="109"/>
      <c r="AM1993" s="109"/>
      <c r="AN1993" s="109"/>
      <c r="AO1993" s="109"/>
      <c r="AP1993" s="109"/>
      <c r="AQ1993" s="109"/>
      <c r="AR1993" s="109"/>
      <c r="AS1993" s="109"/>
    </row>
    <row r="1994" spans="1:45" ht="12.6" customHeight="1" x14ac:dyDescent="0.3">
      <c r="A1994" s="78"/>
      <c r="B1994" s="78"/>
      <c r="C1994" s="98"/>
      <c r="D1994" s="98"/>
      <c r="E1994" s="98"/>
      <c r="F1994" s="98"/>
      <c r="G1994" s="16" t="s">
        <v>1317</v>
      </c>
      <c r="Z1994" s="109"/>
      <c r="AA1994" s="109"/>
      <c r="AB1994" s="109"/>
      <c r="AC1994" s="109"/>
      <c r="AD1994" s="109"/>
      <c r="AE1994" s="109"/>
      <c r="AF1994" s="109"/>
      <c r="AG1994" s="109"/>
      <c r="AH1994" s="109"/>
      <c r="AI1994" s="109"/>
      <c r="AJ1994" s="109"/>
      <c r="AK1994" s="109"/>
      <c r="AL1994" s="109"/>
      <c r="AM1994" s="109"/>
      <c r="AN1994" s="109"/>
      <c r="AO1994" s="109"/>
      <c r="AP1994" s="109"/>
      <c r="AQ1994" s="109"/>
      <c r="AR1994" s="109"/>
      <c r="AS1994" s="109"/>
    </row>
    <row r="1995" spans="1:45" ht="12.6" customHeight="1" x14ac:dyDescent="0.3">
      <c r="A1995" s="68"/>
      <c r="B1995" s="77" t="s">
        <v>2023</v>
      </c>
      <c r="C1995" s="78"/>
      <c r="D1995" s="78"/>
      <c r="E1995" s="78"/>
      <c r="F1995" s="78"/>
      <c r="G1995" s="16" t="s">
        <v>2022</v>
      </c>
      <c r="Z1995" s="109"/>
      <c r="AA1995" s="109"/>
      <c r="AB1995" s="109"/>
      <c r="AC1995" s="109"/>
      <c r="AD1995" s="109"/>
      <c r="AE1995" s="109"/>
      <c r="AF1995" s="109"/>
      <c r="AG1995" s="109"/>
      <c r="AH1995" s="109"/>
      <c r="AI1995" s="109"/>
      <c r="AJ1995" s="109"/>
      <c r="AK1995" s="109"/>
      <c r="AL1995" s="109"/>
      <c r="AM1995" s="109"/>
      <c r="AN1995" s="109"/>
      <c r="AO1995" s="109"/>
      <c r="AP1995" s="109"/>
      <c r="AQ1995" s="109"/>
      <c r="AR1995" s="109"/>
      <c r="AS1995" s="109"/>
    </row>
    <row r="1996" spans="1:45" ht="12.6" customHeight="1" x14ac:dyDescent="0.3">
      <c r="A1996" s="78"/>
      <c r="B1996" s="78"/>
      <c r="C1996" s="78"/>
      <c r="D1996" s="78"/>
      <c r="E1996" s="78"/>
      <c r="F1996" s="78"/>
      <c r="G1996" s="16" t="s">
        <v>1317</v>
      </c>
      <c r="Z1996" s="109"/>
      <c r="AA1996" s="109"/>
      <c r="AB1996" s="109"/>
      <c r="AC1996" s="109"/>
      <c r="AD1996" s="109"/>
      <c r="AE1996" s="109"/>
      <c r="AF1996" s="109"/>
      <c r="AG1996" s="109"/>
      <c r="AH1996" s="109"/>
      <c r="AI1996" s="109"/>
      <c r="AJ1996" s="109"/>
      <c r="AK1996" s="109"/>
      <c r="AL1996" s="109"/>
      <c r="AM1996" s="109"/>
      <c r="AN1996" s="109"/>
      <c r="AO1996" s="109"/>
      <c r="AP1996" s="109"/>
      <c r="AQ1996" s="109"/>
      <c r="AR1996" s="109"/>
      <c r="AS1996" s="109"/>
    </row>
    <row r="1997" spans="1:45" ht="12.6" customHeight="1" x14ac:dyDescent="0.3">
      <c r="A1997" s="68" t="s">
        <v>1266</v>
      </c>
      <c r="B1997" s="97" t="str">
        <f>"  콘크리트믹서사용 :  "&amp;TEXT(I1997,"#,##0"&amp;IF(I1997&lt;&gt;INT(I1997),".###",""))&amp;" * "&amp;AA1997&amp;" = "&amp;TEXT(C1997,"#,##0.0")&amp;""</f>
        <v xml:space="preserve">  콘크리트믹서사용 :  7,528 * 1 = 7,528.0</v>
      </c>
      <c r="C1997" s="99">
        <f>E1997+D1997+F1997</f>
        <v>7528</v>
      </c>
      <c r="D1997" s="99">
        <f>IF(H1997=0,0,ROUNDDOWN(J1997*H1997,1))</f>
        <v>6216</v>
      </c>
      <c r="E1997" s="99">
        <f>IF(H1997=0,0,ROUNDDOWN(K1997*H1997,1))</f>
        <v>1008</v>
      </c>
      <c r="F1997" s="99">
        <f>IF(H1997=0,0,ROUNDDOWN(L1997*H1997,1))</f>
        <v>304</v>
      </c>
      <c r="G1997" s="16" t="s">
        <v>2024</v>
      </c>
      <c r="H1997" s="105">
        <f>AC1997</f>
        <v>1</v>
      </c>
      <c r="I1997" s="106">
        <f>K1997+J1997+L1997</f>
        <v>7528</v>
      </c>
      <c r="J1997" s="39">
        <f>단가산출근거목록표!F7</f>
        <v>6216</v>
      </c>
      <c r="K1997" s="39">
        <f>단가산출근거목록표!G7</f>
        <v>1008</v>
      </c>
      <c r="L1997" s="39">
        <f>단가산출근거목록표!H7</f>
        <v>304</v>
      </c>
      <c r="M1997" s="20" t="s">
        <v>1265</v>
      </c>
      <c r="N1997" s="20" t="s">
        <v>1332</v>
      </c>
      <c r="X1997" s="108" t="str">
        <f>단가산출근거목록표!B7&amp;" / "&amp;단가산출근거목록표!C7</f>
        <v>콘크리트믹서사용 / 0.45 m3</v>
      </c>
      <c r="Y1997" s="19" t="str">
        <f ca="1">HYPERLINK("#"&amp;단가산출근거목록표!J2&amp;"!A"&amp;ROW(단가산출근거목록표!A7),"산근    4 →")</f>
        <v>산근    4 →</v>
      </c>
      <c r="Z1997" s="20" t="s">
        <v>1338</v>
      </c>
      <c r="AA1997" s="111">
        <v>1</v>
      </c>
      <c r="AB1997" s="20" t="s">
        <v>1326</v>
      </c>
      <c r="AC1997" s="113">
        <f>1*AA1997</f>
        <v>1</v>
      </c>
      <c r="AD1997" s="109"/>
      <c r="AE1997" s="109"/>
      <c r="AF1997" s="109"/>
      <c r="AG1997" s="109"/>
      <c r="AH1997" s="109"/>
      <c r="AI1997" s="109"/>
      <c r="AJ1997" s="109"/>
      <c r="AK1997" s="109"/>
      <c r="AL1997" s="109"/>
      <c r="AM1997" s="109"/>
      <c r="AN1997" s="109"/>
      <c r="AO1997" s="109"/>
      <c r="AP1997" s="109"/>
      <c r="AQ1997" s="109"/>
      <c r="AR1997" s="109"/>
      <c r="AS1997" s="109"/>
    </row>
    <row r="1998" spans="1:45" ht="12.6" customHeight="1" x14ac:dyDescent="0.3">
      <c r="A1998" s="78"/>
      <c r="B1998" s="78"/>
      <c r="C1998" s="78"/>
      <c r="D1998" s="78"/>
      <c r="E1998" s="78"/>
      <c r="F1998" s="78"/>
      <c r="G1998" s="16" t="s">
        <v>1317</v>
      </c>
      <c r="Z1998" s="109"/>
      <c r="AA1998" s="109"/>
      <c r="AB1998" s="109"/>
      <c r="AC1998" s="109"/>
      <c r="AD1998" s="109"/>
      <c r="AE1998" s="109"/>
      <c r="AF1998" s="109"/>
      <c r="AG1998" s="109"/>
      <c r="AH1998" s="109"/>
      <c r="AI1998" s="109"/>
      <c r="AJ1998" s="109"/>
      <c r="AK1998" s="109"/>
      <c r="AL1998" s="109"/>
      <c r="AM1998" s="109"/>
      <c r="AN1998" s="109"/>
      <c r="AO1998" s="109"/>
      <c r="AP1998" s="109"/>
      <c r="AQ1998" s="109"/>
      <c r="AR1998" s="109"/>
      <c r="AS1998" s="109"/>
    </row>
    <row r="1999" spans="1:45" ht="12.6" customHeight="1" x14ac:dyDescent="0.3">
      <c r="A1999" s="68"/>
      <c r="B1999" s="77" t="s">
        <v>1331</v>
      </c>
      <c r="C1999" s="100">
        <f>E1999+D1999+F1999</f>
        <v>7528</v>
      </c>
      <c r="D1999" s="100">
        <f>SUMIF(N1994:N1998,M1999,D1994:D1998)</f>
        <v>6216</v>
      </c>
      <c r="E1999" s="100">
        <f>SUMIF(N1994:N1998,M1999,E1994:E1998)</f>
        <v>1008</v>
      </c>
      <c r="F1999" s="100">
        <f>SUMIF(N1994:N1998,M1999,F1994:F1998)</f>
        <v>304</v>
      </c>
      <c r="G1999" s="16" t="s">
        <v>1363</v>
      </c>
      <c r="M1999" s="20" t="s">
        <v>1332</v>
      </c>
      <c r="N1999" s="20" t="s">
        <v>1341</v>
      </c>
      <c r="Z1999" s="109"/>
      <c r="AA1999" s="109"/>
      <c r="AB1999" s="109"/>
      <c r="AC1999" s="109"/>
      <c r="AD1999" s="109"/>
      <c r="AE1999" s="109"/>
      <c r="AF1999" s="109"/>
      <c r="AG1999" s="109"/>
      <c r="AH1999" s="109"/>
      <c r="AI1999" s="109"/>
      <c r="AJ1999" s="109"/>
      <c r="AK1999" s="109"/>
      <c r="AL1999" s="109"/>
      <c r="AM1999" s="109"/>
      <c r="AN1999" s="109"/>
      <c r="AO1999" s="109"/>
      <c r="AP1999" s="109"/>
      <c r="AQ1999" s="109"/>
      <c r="AR1999" s="109"/>
      <c r="AS1999" s="109"/>
    </row>
    <row r="2000" spans="1:45" ht="12.6" customHeight="1" x14ac:dyDescent="0.3">
      <c r="A2000" s="78"/>
      <c r="B2000" s="78"/>
      <c r="C2000" s="98"/>
      <c r="D2000" s="98"/>
      <c r="E2000" s="98"/>
      <c r="F2000" s="98"/>
      <c r="G2000" s="16" t="s">
        <v>1317</v>
      </c>
      <c r="Z2000" s="109"/>
      <c r="AA2000" s="109"/>
      <c r="AB2000" s="109"/>
      <c r="AC2000" s="109"/>
      <c r="AD2000" s="109"/>
      <c r="AE2000" s="109"/>
      <c r="AF2000" s="109"/>
      <c r="AG2000" s="109"/>
      <c r="AH2000" s="109"/>
      <c r="AI2000" s="109"/>
      <c r="AJ2000" s="109"/>
      <c r="AK2000" s="109"/>
      <c r="AL2000" s="109"/>
      <c r="AM2000" s="109"/>
      <c r="AN2000" s="109"/>
      <c r="AO2000" s="109"/>
      <c r="AP2000" s="109"/>
      <c r="AQ2000" s="109"/>
      <c r="AR2000" s="109"/>
      <c r="AS2000" s="109"/>
    </row>
    <row r="2001" spans="1:45" ht="12.6" customHeight="1" x14ac:dyDescent="0.3">
      <c r="A2001" s="68"/>
      <c r="B2001" s="77" t="s">
        <v>1340</v>
      </c>
      <c r="C2001" s="100">
        <f>E2001+D2001+F2001</f>
        <v>67383.399999999994</v>
      </c>
      <c r="D2001" s="100">
        <f>SUMIF(N1967:N2000,M2001,D1967:D2000)</f>
        <v>66071.399999999994</v>
      </c>
      <c r="E2001" s="100">
        <f>SUMIF(N1967:N2000,M2001,E1967:E2000)</f>
        <v>1008</v>
      </c>
      <c r="F2001" s="100">
        <f>SUMIF(N1967:N2000,M2001,F1967:F2000)</f>
        <v>304</v>
      </c>
      <c r="G2001" s="16" t="s">
        <v>1368</v>
      </c>
      <c r="M2001" s="20" t="s">
        <v>1341</v>
      </c>
      <c r="N2001" s="20" t="s">
        <v>1128</v>
      </c>
      <c r="Z2001" s="109"/>
      <c r="AA2001" s="109"/>
      <c r="AB2001" s="109"/>
      <c r="AC2001" s="109"/>
      <c r="AD2001" s="109"/>
      <c r="AE2001" s="109"/>
      <c r="AF2001" s="109"/>
      <c r="AG2001" s="109"/>
      <c r="AH2001" s="109"/>
      <c r="AI2001" s="109"/>
      <c r="AJ2001" s="109"/>
      <c r="AK2001" s="109"/>
      <c r="AL2001" s="109"/>
      <c r="AM2001" s="109"/>
      <c r="AN2001" s="109"/>
      <c r="AO2001" s="109"/>
      <c r="AP2001" s="109"/>
      <c r="AQ2001" s="109"/>
      <c r="AR2001" s="109"/>
      <c r="AS2001" s="109"/>
    </row>
    <row r="2002" spans="1:45" ht="12.6" customHeight="1" x14ac:dyDescent="0.3">
      <c r="A2002" s="78"/>
      <c r="B2002" s="78"/>
      <c r="C2002" s="98"/>
      <c r="D2002" s="98"/>
      <c r="E2002" s="98"/>
      <c r="F2002" s="98"/>
      <c r="Z2002" s="109"/>
      <c r="AA2002" s="109"/>
      <c r="AB2002" s="109"/>
      <c r="AC2002" s="109"/>
      <c r="AD2002" s="109"/>
      <c r="AE2002" s="109"/>
      <c r="AF2002" s="109"/>
      <c r="AG2002" s="109"/>
      <c r="AH2002" s="109"/>
      <c r="AI2002" s="109"/>
      <c r="AJ2002" s="109"/>
      <c r="AK2002" s="109"/>
      <c r="AL2002" s="109"/>
      <c r="AM2002" s="109"/>
      <c r="AN2002" s="109"/>
      <c r="AO2002" s="109"/>
      <c r="AP2002" s="109"/>
      <c r="AQ2002" s="109"/>
      <c r="AR2002" s="109"/>
      <c r="AS2002" s="109"/>
    </row>
    <row r="2003" spans="1:45" ht="12.6" customHeight="1" x14ac:dyDescent="0.3">
      <c r="A2003" s="78"/>
      <c r="B2003" s="78"/>
      <c r="C2003" s="78"/>
      <c r="D2003" s="78"/>
      <c r="E2003" s="78"/>
      <c r="F2003" s="78"/>
      <c r="Z2003" s="109"/>
      <c r="AA2003" s="109"/>
      <c r="AB2003" s="109"/>
      <c r="AC2003" s="109"/>
      <c r="AD2003" s="109"/>
      <c r="AE2003" s="109"/>
      <c r="AF2003" s="109"/>
      <c r="AG2003" s="109"/>
      <c r="AH2003" s="109"/>
      <c r="AI2003" s="109"/>
      <c r="AJ2003" s="109"/>
      <c r="AK2003" s="109"/>
      <c r="AL2003" s="109"/>
      <c r="AM2003" s="109"/>
      <c r="AN2003" s="109"/>
      <c r="AO2003" s="109"/>
      <c r="AP2003" s="109"/>
      <c r="AQ2003" s="109"/>
      <c r="AR2003" s="109"/>
      <c r="AS2003" s="109"/>
    </row>
    <row r="2004" spans="1:45" ht="12.6" customHeight="1" x14ac:dyDescent="0.3">
      <c r="A2004" s="78"/>
      <c r="B2004" s="78"/>
      <c r="C2004" s="78"/>
      <c r="D2004" s="78"/>
      <c r="E2004" s="78"/>
      <c r="F2004" s="78"/>
      <c r="Z2004" s="109"/>
      <c r="AA2004" s="109"/>
      <c r="AB2004" s="109"/>
      <c r="AC2004" s="109"/>
      <c r="AD2004" s="109"/>
      <c r="AE2004" s="109"/>
      <c r="AF2004" s="109"/>
      <c r="AG2004" s="109"/>
      <c r="AH2004" s="109"/>
      <c r="AI2004" s="109"/>
      <c r="AJ2004" s="109"/>
      <c r="AK2004" s="109"/>
      <c r="AL2004" s="109"/>
      <c r="AM2004" s="109"/>
      <c r="AN2004" s="109"/>
      <c r="AO2004" s="109"/>
      <c r="AP2004" s="109"/>
      <c r="AQ2004" s="109"/>
      <c r="AR2004" s="109"/>
      <c r="AS2004" s="109"/>
    </row>
    <row r="2005" spans="1:45" ht="12.6" customHeight="1" x14ac:dyDescent="0.3">
      <c r="A2005" s="78"/>
      <c r="B2005" s="78"/>
      <c r="C2005" s="78"/>
      <c r="D2005" s="78"/>
      <c r="E2005" s="78"/>
      <c r="F2005" s="78"/>
      <c r="Z2005" s="109"/>
      <c r="AA2005" s="109"/>
      <c r="AB2005" s="109"/>
      <c r="AC2005" s="109"/>
      <c r="AD2005" s="109"/>
      <c r="AE2005" s="109"/>
      <c r="AF2005" s="109"/>
      <c r="AG2005" s="109"/>
      <c r="AH2005" s="109"/>
      <c r="AI2005" s="109"/>
      <c r="AJ2005" s="109"/>
      <c r="AK2005" s="109"/>
      <c r="AL2005" s="109"/>
      <c r="AM2005" s="109"/>
      <c r="AN2005" s="109"/>
      <c r="AO2005" s="109"/>
      <c r="AP2005" s="109"/>
      <c r="AQ2005" s="109"/>
      <c r="AR2005" s="109"/>
      <c r="AS2005" s="109"/>
    </row>
    <row r="2006" spans="1:45" ht="12.6" customHeight="1" x14ac:dyDescent="0.3">
      <c r="A2006" s="78"/>
      <c r="B2006" s="78"/>
      <c r="C2006" s="78"/>
      <c r="D2006" s="78"/>
      <c r="E2006" s="78"/>
      <c r="F2006" s="78"/>
      <c r="Z2006" s="109"/>
      <c r="AA2006" s="109"/>
      <c r="AB2006" s="109"/>
      <c r="AC2006" s="109"/>
      <c r="AD2006" s="109"/>
      <c r="AE2006" s="109"/>
      <c r="AF2006" s="109"/>
      <c r="AG2006" s="109"/>
      <c r="AH2006" s="109"/>
      <c r="AI2006" s="109"/>
      <c r="AJ2006" s="109"/>
      <c r="AK2006" s="109"/>
      <c r="AL2006" s="109"/>
      <c r="AM2006" s="109"/>
      <c r="AN2006" s="109"/>
      <c r="AO2006" s="109"/>
      <c r="AP2006" s="109"/>
      <c r="AQ2006" s="109"/>
      <c r="AR2006" s="109"/>
      <c r="AS2006" s="109"/>
    </row>
    <row r="2007" spans="1:45" ht="12.6" customHeight="1" x14ac:dyDescent="0.3">
      <c r="A2007" s="78"/>
      <c r="B2007" s="78"/>
      <c r="C2007" s="78"/>
      <c r="D2007" s="78"/>
      <c r="E2007" s="78"/>
      <c r="F2007" s="78"/>
      <c r="Z2007" s="109"/>
      <c r="AA2007" s="109"/>
      <c r="AB2007" s="109"/>
      <c r="AC2007" s="109"/>
      <c r="AD2007" s="109"/>
      <c r="AE2007" s="109"/>
      <c r="AF2007" s="109"/>
      <c r="AG2007" s="109"/>
      <c r="AH2007" s="109"/>
      <c r="AI2007" s="109"/>
      <c r="AJ2007" s="109"/>
      <c r="AK2007" s="109"/>
      <c r="AL2007" s="109"/>
      <c r="AM2007" s="109"/>
      <c r="AN2007" s="109"/>
      <c r="AO2007" s="109"/>
      <c r="AP2007" s="109"/>
      <c r="AQ2007" s="109"/>
      <c r="AR2007" s="109"/>
      <c r="AS2007" s="109"/>
    </row>
    <row r="2008" spans="1:45" ht="12.6" customHeight="1" x14ac:dyDescent="0.3">
      <c r="A2008" s="78"/>
      <c r="B2008" s="78"/>
      <c r="C2008" s="78"/>
      <c r="D2008" s="78"/>
      <c r="E2008" s="78"/>
      <c r="F2008" s="78"/>
      <c r="Z2008" s="109"/>
      <c r="AA2008" s="109"/>
      <c r="AB2008" s="109"/>
      <c r="AC2008" s="109"/>
      <c r="AD2008" s="109"/>
      <c r="AE2008" s="109"/>
      <c r="AF2008" s="109"/>
      <c r="AG2008" s="109"/>
      <c r="AH2008" s="109"/>
      <c r="AI2008" s="109"/>
      <c r="AJ2008" s="109"/>
      <c r="AK2008" s="109"/>
      <c r="AL2008" s="109"/>
      <c r="AM2008" s="109"/>
      <c r="AN2008" s="109"/>
      <c r="AO2008" s="109"/>
      <c r="AP2008" s="109"/>
      <c r="AQ2008" s="109"/>
      <c r="AR2008" s="109"/>
      <c r="AS2008" s="109"/>
    </row>
    <row r="2009" spans="1:45" ht="12.6" customHeight="1" x14ac:dyDescent="0.3">
      <c r="A2009" s="78"/>
      <c r="B2009" s="78"/>
      <c r="C2009" s="78"/>
      <c r="D2009" s="78"/>
      <c r="E2009" s="78"/>
      <c r="F2009" s="78"/>
      <c r="Z2009" s="109"/>
      <c r="AA2009" s="109"/>
      <c r="AB2009" s="109"/>
      <c r="AC2009" s="109"/>
      <c r="AD2009" s="109"/>
      <c r="AE2009" s="109"/>
      <c r="AF2009" s="109"/>
      <c r="AG2009" s="109"/>
      <c r="AH2009" s="109"/>
      <c r="AI2009" s="109"/>
      <c r="AJ2009" s="109"/>
      <c r="AK2009" s="109"/>
      <c r="AL2009" s="109"/>
      <c r="AM2009" s="109"/>
      <c r="AN2009" s="109"/>
      <c r="AO2009" s="109"/>
      <c r="AP2009" s="109"/>
      <c r="AQ2009" s="109"/>
      <c r="AR2009" s="109"/>
      <c r="AS2009" s="109"/>
    </row>
    <row r="2010" spans="1:45" ht="12.6" customHeight="1" x14ac:dyDescent="0.3">
      <c r="A2010" s="78"/>
      <c r="B2010" s="78"/>
      <c r="C2010" s="78"/>
      <c r="D2010" s="78"/>
      <c r="E2010" s="78"/>
      <c r="F2010" s="78"/>
      <c r="Z2010" s="109"/>
      <c r="AA2010" s="109"/>
      <c r="AB2010" s="109"/>
      <c r="AC2010" s="109"/>
      <c r="AD2010" s="109"/>
      <c r="AE2010" s="109"/>
      <c r="AF2010" s="109"/>
      <c r="AG2010" s="109"/>
      <c r="AH2010" s="109"/>
      <c r="AI2010" s="109"/>
      <c r="AJ2010" s="109"/>
      <c r="AK2010" s="109"/>
      <c r="AL2010" s="109"/>
      <c r="AM2010" s="109"/>
      <c r="AN2010" s="109"/>
      <c r="AO2010" s="109"/>
      <c r="AP2010" s="109"/>
      <c r="AQ2010" s="109"/>
      <c r="AR2010" s="109"/>
      <c r="AS2010" s="109"/>
    </row>
    <row r="2011" spans="1:45" ht="12.6" customHeight="1" x14ac:dyDescent="0.3">
      <c r="A2011" s="78"/>
      <c r="B2011" s="78"/>
      <c r="C2011" s="78"/>
      <c r="D2011" s="78"/>
      <c r="E2011" s="78"/>
      <c r="F2011" s="78"/>
      <c r="Z2011" s="109"/>
      <c r="AA2011" s="109"/>
      <c r="AB2011" s="109"/>
      <c r="AC2011" s="109"/>
      <c r="AD2011" s="109"/>
      <c r="AE2011" s="109"/>
      <c r="AF2011" s="109"/>
      <c r="AG2011" s="109"/>
      <c r="AH2011" s="109"/>
      <c r="AI2011" s="109"/>
      <c r="AJ2011" s="109"/>
      <c r="AK2011" s="109"/>
      <c r="AL2011" s="109"/>
      <c r="AM2011" s="109"/>
      <c r="AN2011" s="109"/>
      <c r="AO2011" s="109"/>
      <c r="AP2011" s="109"/>
      <c r="AQ2011" s="109"/>
      <c r="AR2011" s="109"/>
      <c r="AS2011" s="109"/>
    </row>
    <row r="2012" spans="1:45" ht="12.6" customHeight="1" x14ac:dyDescent="0.3">
      <c r="A2012" s="78"/>
      <c r="B2012" s="78"/>
      <c r="C2012" s="78"/>
      <c r="D2012" s="78"/>
      <c r="E2012" s="78"/>
      <c r="F2012" s="78"/>
      <c r="Z2012" s="109"/>
      <c r="AA2012" s="109"/>
      <c r="AB2012" s="109"/>
      <c r="AC2012" s="109"/>
      <c r="AD2012" s="109"/>
      <c r="AE2012" s="109"/>
      <c r="AF2012" s="109"/>
      <c r="AG2012" s="109"/>
      <c r="AH2012" s="109"/>
      <c r="AI2012" s="109"/>
      <c r="AJ2012" s="109"/>
      <c r="AK2012" s="109"/>
      <c r="AL2012" s="109"/>
      <c r="AM2012" s="109"/>
      <c r="AN2012" s="109"/>
      <c r="AO2012" s="109"/>
      <c r="AP2012" s="109"/>
      <c r="AQ2012" s="109"/>
      <c r="AR2012" s="109"/>
      <c r="AS2012" s="109"/>
    </row>
    <row r="2013" spans="1:45" ht="12.6" customHeight="1" x14ac:dyDescent="0.3">
      <c r="A2013" s="78"/>
      <c r="B2013" s="78"/>
      <c r="C2013" s="78"/>
      <c r="D2013" s="78"/>
      <c r="E2013" s="78"/>
      <c r="F2013" s="78"/>
      <c r="Z2013" s="109"/>
      <c r="AA2013" s="109"/>
      <c r="AB2013" s="109"/>
      <c r="AC2013" s="109"/>
      <c r="AD2013" s="109"/>
      <c r="AE2013" s="109"/>
      <c r="AF2013" s="109"/>
      <c r="AG2013" s="109"/>
      <c r="AH2013" s="109"/>
      <c r="AI2013" s="109"/>
      <c r="AJ2013" s="109"/>
      <c r="AK2013" s="109"/>
      <c r="AL2013" s="109"/>
      <c r="AM2013" s="109"/>
      <c r="AN2013" s="109"/>
      <c r="AO2013" s="109"/>
      <c r="AP2013" s="109"/>
      <c r="AQ2013" s="109"/>
      <c r="AR2013" s="109"/>
      <c r="AS2013" s="109"/>
    </row>
    <row r="2014" spans="1:45" ht="12.6" customHeight="1" x14ac:dyDescent="0.3">
      <c r="A2014" s="78"/>
      <c r="B2014" s="78"/>
      <c r="C2014" s="78"/>
      <c r="D2014" s="78"/>
      <c r="E2014" s="78"/>
      <c r="F2014" s="78"/>
      <c r="Z2014" s="109"/>
      <c r="AA2014" s="109"/>
      <c r="AB2014" s="109"/>
      <c r="AC2014" s="109"/>
      <c r="AD2014" s="109"/>
      <c r="AE2014" s="109"/>
      <c r="AF2014" s="109"/>
      <c r="AG2014" s="109"/>
      <c r="AH2014" s="109"/>
      <c r="AI2014" s="109"/>
      <c r="AJ2014" s="109"/>
      <c r="AK2014" s="109"/>
      <c r="AL2014" s="109"/>
      <c r="AM2014" s="109"/>
      <c r="AN2014" s="109"/>
      <c r="AO2014" s="109"/>
      <c r="AP2014" s="109"/>
      <c r="AQ2014" s="109"/>
      <c r="AR2014" s="109"/>
      <c r="AS2014" s="109"/>
    </row>
    <row r="2015" spans="1:45" ht="12.6" customHeight="1" x14ac:dyDescent="0.3">
      <c r="A2015" s="78"/>
      <c r="B2015" s="78"/>
      <c r="C2015" s="78"/>
      <c r="D2015" s="78"/>
      <c r="E2015" s="78"/>
      <c r="F2015" s="78"/>
      <c r="Z2015" s="109"/>
      <c r="AA2015" s="109"/>
      <c r="AB2015" s="109"/>
      <c r="AC2015" s="109"/>
      <c r="AD2015" s="109"/>
      <c r="AE2015" s="109"/>
      <c r="AF2015" s="109"/>
      <c r="AG2015" s="109"/>
      <c r="AH2015" s="109"/>
      <c r="AI2015" s="109"/>
      <c r="AJ2015" s="109"/>
      <c r="AK2015" s="109"/>
      <c r="AL2015" s="109"/>
      <c r="AM2015" s="109"/>
      <c r="AN2015" s="109"/>
      <c r="AO2015" s="109"/>
      <c r="AP2015" s="109"/>
      <c r="AQ2015" s="109"/>
      <c r="AR2015" s="109"/>
      <c r="AS2015" s="109"/>
    </row>
    <row r="2016" spans="1:45" ht="12.6" customHeight="1" x14ac:dyDescent="0.3">
      <c r="A2016" s="78"/>
      <c r="B2016" s="78"/>
      <c r="C2016" s="78"/>
      <c r="D2016" s="78"/>
      <c r="E2016" s="78"/>
      <c r="F2016" s="78"/>
      <c r="Z2016" s="109"/>
      <c r="AA2016" s="109"/>
      <c r="AB2016" s="109"/>
      <c r="AC2016" s="109"/>
      <c r="AD2016" s="109"/>
      <c r="AE2016" s="109"/>
      <c r="AF2016" s="109"/>
      <c r="AG2016" s="109"/>
      <c r="AH2016" s="109"/>
      <c r="AI2016" s="109"/>
      <c r="AJ2016" s="109"/>
      <c r="AK2016" s="109"/>
      <c r="AL2016" s="109"/>
      <c r="AM2016" s="109"/>
      <c r="AN2016" s="109"/>
      <c r="AO2016" s="109"/>
      <c r="AP2016" s="109"/>
      <c r="AQ2016" s="109"/>
      <c r="AR2016" s="109"/>
      <c r="AS2016" s="109"/>
    </row>
    <row r="2017" spans="1:45" ht="12.6" customHeight="1" x14ac:dyDescent="0.3">
      <c r="A2017" s="78"/>
      <c r="B2017" s="78"/>
      <c r="C2017" s="78"/>
      <c r="D2017" s="78"/>
      <c r="E2017" s="78"/>
      <c r="F2017" s="78"/>
      <c r="Z2017" s="109"/>
      <c r="AA2017" s="109"/>
      <c r="AB2017" s="109"/>
      <c r="AC2017" s="109"/>
      <c r="AD2017" s="109"/>
      <c r="AE2017" s="109"/>
      <c r="AF2017" s="109"/>
      <c r="AG2017" s="109"/>
      <c r="AH2017" s="109"/>
      <c r="AI2017" s="109"/>
      <c r="AJ2017" s="109"/>
      <c r="AK2017" s="109"/>
      <c r="AL2017" s="109"/>
      <c r="AM2017" s="109"/>
      <c r="AN2017" s="109"/>
      <c r="AO2017" s="109"/>
      <c r="AP2017" s="109"/>
      <c r="AQ2017" s="109"/>
      <c r="AR2017" s="109"/>
      <c r="AS2017" s="109"/>
    </row>
    <row r="2018" spans="1:45" ht="12.6" customHeight="1" x14ac:dyDescent="0.3">
      <c r="A2018" s="78"/>
      <c r="B2018" s="78"/>
      <c r="C2018" s="78"/>
      <c r="D2018" s="78"/>
      <c r="E2018" s="78"/>
      <c r="F2018" s="78"/>
      <c r="Z2018" s="109"/>
      <c r="AA2018" s="109"/>
      <c r="AB2018" s="109"/>
      <c r="AC2018" s="109"/>
      <c r="AD2018" s="109"/>
      <c r="AE2018" s="109"/>
      <c r="AF2018" s="109"/>
      <c r="AG2018" s="109"/>
      <c r="AH2018" s="109"/>
      <c r="AI2018" s="109"/>
      <c r="AJ2018" s="109"/>
      <c r="AK2018" s="109"/>
      <c r="AL2018" s="109"/>
      <c r="AM2018" s="109"/>
      <c r="AN2018" s="109"/>
      <c r="AO2018" s="109"/>
      <c r="AP2018" s="109"/>
      <c r="AQ2018" s="109"/>
      <c r="AR2018" s="109"/>
      <c r="AS2018" s="109"/>
    </row>
    <row r="2019" spans="1:45" ht="12.6" customHeight="1" x14ac:dyDescent="0.3">
      <c r="A2019" s="78"/>
      <c r="B2019" s="78"/>
      <c r="C2019" s="78"/>
      <c r="D2019" s="78"/>
      <c r="E2019" s="78"/>
      <c r="F2019" s="78"/>
      <c r="Z2019" s="109"/>
      <c r="AA2019" s="109"/>
      <c r="AB2019" s="109"/>
      <c r="AC2019" s="109"/>
      <c r="AD2019" s="109"/>
      <c r="AE2019" s="109"/>
      <c r="AF2019" s="109"/>
      <c r="AG2019" s="109"/>
      <c r="AH2019" s="109"/>
      <c r="AI2019" s="109"/>
      <c r="AJ2019" s="109"/>
      <c r="AK2019" s="109"/>
      <c r="AL2019" s="109"/>
      <c r="AM2019" s="109"/>
      <c r="AN2019" s="109"/>
      <c r="AO2019" s="109"/>
      <c r="AP2019" s="109"/>
      <c r="AQ2019" s="109"/>
      <c r="AR2019" s="109"/>
      <c r="AS2019" s="109"/>
    </row>
    <row r="2020" spans="1:45" ht="12.6" customHeight="1" x14ac:dyDescent="0.3">
      <c r="A2020" s="78"/>
      <c r="B2020" s="78"/>
      <c r="C2020" s="78"/>
      <c r="D2020" s="78"/>
      <c r="E2020" s="78"/>
      <c r="F2020" s="78"/>
      <c r="Z2020" s="109"/>
      <c r="AA2020" s="109"/>
      <c r="AB2020" s="109"/>
      <c r="AC2020" s="109"/>
      <c r="AD2020" s="109"/>
      <c r="AE2020" s="109"/>
      <c r="AF2020" s="109"/>
      <c r="AG2020" s="109"/>
      <c r="AH2020" s="109"/>
      <c r="AI2020" s="109"/>
      <c r="AJ2020" s="109"/>
      <c r="AK2020" s="109"/>
      <c r="AL2020" s="109"/>
      <c r="AM2020" s="109"/>
      <c r="AN2020" s="109"/>
      <c r="AO2020" s="109"/>
      <c r="AP2020" s="109"/>
      <c r="AQ2020" s="109"/>
      <c r="AR2020" s="109"/>
      <c r="AS2020" s="109"/>
    </row>
    <row r="2021" spans="1:45" ht="12.6" customHeight="1" x14ac:dyDescent="0.3">
      <c r="A2021" s="78"/>
      <c r="B2021" s="78"/>
      <c r="C2021" s="78"/>
      <c r="D2021" s="78"/>
      <c r="E2021" s="78"/>
      <c r="F2021" s="78"/>
      <c r="Z2021" s="109"/>
      <c r="AA2021" s="109"/>
      <c r="AB2021" s="109"/>
      <c r="AC2021" s="109"/>
      <c r="AD2021" s="109"/>
      <c r="AE2021" s="109"/>
      <c r="AF2021" s="109"/>
      <c r="AG2021" s="109"/>
      <c r="AH2021" s="109"/>
      <c r="AI2021" s="109"/>
      <c r="AJ2021" s="109"/>
      <c r="AK2021" s="109"/>
      <c r="AL2021" s="109"/>
      <c r="AM2021" s="109"/>
      <c r="AN2021" s="109"/>
      <c r="AO2021" s="109"/>
      <c r="AP2021" s="109"/>
      <c r="AQ2021" s="109"/>
      <c r="AR2021" s="109"/>
      <c r="AS2021" s="109"/>
    </row>
    <row r="2022" spans="1:45" ht="12.6" customHeight="1" x14ac:dyDescent="0.3">
      <c r="A2022" s="78"/>
      <c r="B2022" s="78"/>
      <c r="C2022" s="78"/>
      <c r="D2022" s="78"/>
      <c r="E2022" s="78"/>
      <c r="F2022" s="78"/>
      <c r="Z2022" s="109"/>
      <c r="AA2022" s="109"/>
      <c r="AB2022" s="109"/>
      <c r="AC2022" s="109"/>
      <c r="AD2022" s="109"/>
      <c r="AE2022" s="109"/>
      <c r="AF2022" s="109"/>
      <c r="AG2022" s="109"/>
      <c r="AH2022" s="109"/>
      <c r="AI2022" s="109"/>
      <c r="AJ2022" s="109"/>
      <c r="AK2022" s="109"/>
      <c r="AL2022" s="109"/>
      <c r="AM2022" s="109"/>
      <c r="AN2022" s="109"/>
      <c r="AO2022" s="109"/>
      <c r="AP2022" s="109"/>
      <c r="AQ2022" s="109"/>
      <c r="AR2022" s="109"/>
      <c r="AS2022" s="109"/>
    </row>
    <row r="2023" spans="1:45" ht="12.6" customHeight="1" x14ac:dyDescent="0.3">
      <c r="A2023" s="78"/>
      <c r="B2023" s="78"/>
      <c r="C2023" s="78"/>
      <c r="D2023" s="78"/>
      <c r="E2023" s="78"/>
      <c r="F2023" s="78"/>
      <c r="Z2023" s="109"/>
      <c r="AA2023" s="109"/>
      <c r="AB2023" s="109"/>
      <c r="AC2023" s="109"/>
      <c r="AD2023" s="109"/>
      <c r="AE2023" s="109"/>
      <c r="AF2023" s="109"/>
      <c r="AG2023" s="109"/>
      <c r="AH2023" s="109"/>
      <c r="AI2023" s="109"/>
      <c r="AJ2023" s="109"/>
      <c r="AK2023" s="109"/>
      <c r="AL2023" s="109"/>
      <c r="AM2023" s="109"/>
      <c r="AN2023" s="109"/>
      <c r="AO2023" s="109"/>
      <c r="AP2023" s="109"/>
      <c r="AQ2023" s="109"/>
      <c r="AR2023" s="109"/>
      <c r="AS2023" s="109"/>
    </row>
    <row r="2024" spans="1:45" ht="12.6" customHeight="1" x14ac:dyDescent="0.3">
      <c r="A2024" s="78"/>
      <c r="B2024" s="78"/>
      <c r="C2024" s="78"/>
      <c r="D2024" s="78"/>
      <c r="E2024" s="78"/>
      <c r="F2024" s="78"/>
      <c r="Z2024" s="109"/>
      <c r="AA2024" s="109"/>
      <c r="AB2024" s="109"/>
      <c r="AC2024" s="109"/>
      <c r="AD2024" s="109"/>
      <c r="AE2024" s="109"/>
      <c r="AF2024" s="109"/>
      <c r="AG2024" s="109"/>
      <c r="AH2024" s="109"/>
      <c r="AI2024" s="109"/>
      <c r="AJ2024" s="109"/>
      <c r="AK2024" s="109"/>
      <c r="AL2024" s="109"/>
      <c r="AM2024" s="109"/>
      <c r="AN2024" s="109"/>
      <c r="AO2024" s="109"/>
      <c r="AP2024" s="109"/>
      <c r="AQ2024" s="109"/>
      <c r="AR2024" s="109"/>
      <c r="AS2024" s="109"/>
    </row>
    <row r="2025" spans="1:45" ht="12.6" customHeight="1" x14ac:dyDescent="0.3">
      <c r="A2025" s="78"/>
      <c r="B2025" s="78"/>
      <c r="C2025" s="78"/>
      <c r="D2025" s="78"/>
      <c r="E2025" s="78"/>
      <c r="F2025" s="78"/>
      <c r="Z2025" s="109"/>
      <c r="AA2025" s="109"/>
      <c r="AB2025" s="109"/>
      <c r="AC2025" s="109"/>
      <c r="AD2025" s="109"/>
      <c r="AE2025" s="109"/>
      <c r="AF2025" s="109"/>
      <c r="AG2025" s="109"/>
      <c r="AH2025" s="109"/>
      <c r="AI2025" s="109"/>
      <c r="AJ2025" s="109"/>
      <c r="AK2025" s="109"/>
      <c r="AL2025" s="109"/>
      <c r="AM2025" s="109"/>
      <c r="AN2025" s="109"/>
      <c r="AO2025" s="109"/>
      <c r="AP2025" s="109"/>
      <c r="AQ2025" s="109"/>
      <c r="AR2025" s="109"/>
      <c r="AS2025" s="109"/>
    </row>
    <row r="2026" spans="1:45" ht="12.6" customHeight="1" x14ac:dyDescent="0.3">
      <c r="A2026" s="78"/>
      <c r="B2026" s="78"/>
      <c r="C2026" s="78"/>
      <c r="D2026" s="78"/>
      <c r="E2026" s="78"/>
      <c r="F2026" s="78"/>
      <c r="Z2026" s="109"/>
      <c r="AA2026" s="109"/>
      <c r="AB2026" s="109"/>
      <c r="AC2026" s="109"/>
      <c r="AD2026" s="109"/>
      <c r="AE2026" s="109"/>
      <c r="AF2026" s="109"/>
      <c r="AG2026" s="109"/>
      <c r="AH2026" s="109"/>
      <c r="AI2026" s="109"/>
      <c r="AJ2026" s="109"/>
      <c r="AK2026" s="109"/>
      <c r="AL2026" s="109"/>
      <c r="AM2026" s="109"/>
      <c r="AN2026" s="109"/>
      <c r="AO2026" s="109"/>
      <c r="AP2026" s="109"/>
      <c r="AQ2026" s="109"/>
      <c r="AR2026" s="109"/>
      <c r="AS2026" s="109"/>
    </row>
    <row r="2027" spans="1:45" ht="12.6" customHeight="1" x14ac:dyDescent="0.3">
      <c r="A2027" s="78"/>
      <c r="B2027" s="78"/>
      <c r="C2027" s="78"/>
      <c r="D2027" s="78"/>
      <c r="E2027" s="78"/>
      <c r="F2027" s="78"/>
      <c r="Z2027" s="109"/>
      <c r="AA2027" s="109"/>
      <c r="AB2027" s="109"/>
      <c r="AC2027" s="109"/>
      <c r="AD2027" s="109"/>
      <c r="AE2027" s="109"/>
      <c r="AF2027" s="109"/>
      <c r="AG2027" s="109"/>
      <c r="AH2027" s="109"/>
      <c r="AI2027" s="109"/>
      <c r="AJ2027" s="109"/>
      <c r="AK2027" s="109"/>
      <c r="AL2027" s="109"/>
      <c r="AM2027" s="109"/>
      <c r="AN2027" s="109"/>
      <c r="AO2027" s="109"/>
      <c r="AP2027" s="109"/>
      <c r="AQ2027" s="109"/>
      <c r="AR2027" s="109"/>
      <c r="AS2027" s="109"/>
    </row>
    <row r="2028" spans="1:45" ht="12.6" customHeight="1" x14ac:dyDescent="0.3">
      <c r="A2028" s="78"/>
      <c r="B2028" s="78"/>
      <c r="C2028" s="78"/>
      <c r="D2028" s="78"/>
      <c r="E2028" s="78"/>
      <c r="F2028" s="78"/>
      <c r="Z2028" s="109"/>
      <c r="AA2028" s="109"/>
      <c r="AB2028" s="109"/>
      <c r="AC2028" s="109"/>
      <c r="AD2028" s="109"/>
      <c r="AE2028" s="109"/>
      <c r="AF2028" s="109"/>
      <c r="AG2028" s="109"/>
      <c r="AH2028" s="109"/>
      <c r="AI2028" s="109"/>
      <c r="AJ2028" s="109"/>
      <c r="AK2028" s="109"/>
      <c r="AL2028" s="109"/>
      <c r="AM2028" s="109"/>
      <c r="AN2028" s="109"/>
      <c r="AO2028" s="109"/>
      <c r="AP2028" s="109"/>
      <c r="AQ2028" s="109"/>
      <c r="AR2028" s="109"/>
      <c r="AS2028" s="109"/>
    </row>
    <row r="2029" spans="1:45" ht="12.6" customHeight="1" x14ac:dyDescent="0.3">
      <c r="A2029" s="78"/>
      <c r="B2029" s="78"/>
      <c r="C2029" s="78"/>
      <c r="D2029" s="78"/>
      <c r="E2029" s="78"/>
      <c r="F2029" s="78"/>
      <c r="Z2029" s="109"/>
      <c r="AA2029" s="109"/>
      <c r="AB2029" s="109"/>
      <c r="AC2029" s="109"/>
      <c r="AD2029" s="109"/>
      <c r="AE2029" s="109"/>
      <c r="AF2029" s="109"/>
      <c r="AG2029" s="109"/>
      <c r="AH2029" s="109"/>
      <c r="AI2029" s="109"/>
      <c r="AJ2029" s="109"/>
      <c r="AK2029" s="109"/>
      <c r="AL2029" s="109"/>
      <c r="AM2029" s="109"/>
      <c r="AN2029" s="109"/>
      <c r="AO2029" s="109"/>
      <c r="AP2029" s="109"/>
      <c r="AQ2029" s="109"/>
      <c r="AR2029" s="109"/>
      <c r="AS2029" s="109"/>
    </row>
    <row r="2030" spans="1:45" ht="12.6" customHeight="1" x14ac:dyDescent="0.3">
      <c r="A2030" s="78"/>
      <c r="B2030" s="78"/>
      <c r="C2030" s="78"/>
      <c r="D2030" s="78"/>
      <c r="E2030" s="78"/>
      <c r="F2030" s="78"/>
      <c r="Z2030" s="109"/>
      <c r="AA2030" s="109"/>
      <c r="AB2030" s="109"/>
      <c r="AC2030" s="109"/>
      <c r="AD2030" s="109"/>
      <c r="AE2030" s="109"/>
      <c r="AF2030" s="109"/>
      <c r="AG2030" s="109"/>
      <c r="AH2030" s="109"/>
      <c r="AI2030" s="109"/>
      <c r="AJ2030" s="109"/>
      <c r="AK2030" s="109"/>
      <c r="AL2030" s="109"/>
      <c r="AM2030" s="109"/>
      <c r="AN2030" s="109"/>
      <c r="AO2030" s="109"/>
      <c r="AP2030" s="109"/>
      <c r="AQ2030" s="109"/>
      <c r="AR2030" s="109"/>
      <c r="AS2030" s="109"/>
    </row>
    <row r="2031" spans="1:45" ht="12.6" customHeight="1" x14ac:dyDescent="0.3">
      <c r="A2031" s="78"/>
      <c r="B2031" s="78"/>
      <c r="C2031" s="78"/>
      <c r="D2031" s="78"/>
      <c r="E2031" s="78"/>
      <c r="F2031" s="78"/>
      <c r="Z2031" s="109"/>
      <c r="AA2031" s="109"/>
      <c r="AB2031" s="109"/>
      <c r="AC2031" s="109"/>
      <c r="AD2031" s="109"/>
      <c r="AE2031" s="109"/>
      <c r="AF2031" s="109"/>
      <c r="AG2031" s="109"/>
      <c r="AH2031" s="109"/>
      <c r="AI2031" s="109"/>
      <c r="AJ2031" s="109"/>
      <c r="AK2031" s="109"/>
      <c r="AL2031" s="109"/>
      <c r="AM2031" s="109"/>
      <c r="AN2031" s="109"/>
      <c r="AO2031" s="109"/>
      <c r="AP2031" s="109"/>
      <c r="AQ2031" s="109"/>
      <c r="AR2031" s="109"/>
      <c r="AS2031" s="109"/>
    </row>
    <row r="2032" spans="1:45" ht="12.6" customHeight="1" x14ac:dyDescent="0.3">
      <c r="A2032" s="78"/>
      <c r="B2032" s="78"/>
      <c r="C2032" s="78"/>
      <c r="D2032" s="78"/>
      <c r="E2032" s="78"/>
      <c r="F2032" s="78"/>
      <c r="Z2032" s="109"/>
      <c r="AA2032" s="109"/>
      <c r="AB2032" s="109"/>
      <c r="AC2032" s="109"/>
      <c r="AD2032" s="109"/>
      <c r="AE2032" s="109"/>
      <c r="AF2032" s="109"/>
      <c r="AG2032" s="109"/>
      <c r="AH2032" s="109"/>
      <c r="AI2032" s="109"/>
      <c r="AJ2032" s="109"/>
      <c r="AK2032" s="109"/>
      <c r="AL2032" s="109"/>
      <c r="AM2032" s="109"/>
      <c r="AN2032" s="109"/>
      <c r="AO2032" s="109"/>
      <c r="AP2032" s="109"/>
      <c r="AQ2032" s="109"/>
      <c r="AR2032" s="109"/>
      <c r="AS2032" s="109"/>
    </row>
    <row r="2033" spans="1:45" ht="12.6" customHeight="1" x14ac:dyDescent="0.3">
      <c r="A2033" s="58"/>
      <c r="B2033" s="58"/>
      <c r="C2033" s="58"/>
      <c r="D2033" s="58"/>
      <c r="E2033" s="58"/>
      <c r="F2033" s="58"/>
      <c r="Z2033" s="109"/>
      <c r="AA2033" s="109"/>
      <c r="AB2033" s="109"/>
      <c r="AC2033" s="109"/>
      <c r="AD2033" s="109"/>
      <c r="AE2033" s="109"/>
      <c r="AF2033" s="109"/>
      <c r="AG2033" s="109"/>
      <c r="AH2033" s="109"/>
      <c r="AI2033" s="109"/>
      <c r="AJ2033" s="109"/>
      <c r="AK2033" s="109"/>
      <c r="AL2033" s="109"/>
      <c r="AM2033" s="109"/>
      <c r="AN2033" s="109"/>
      <c r="AO2033" s="109"/>
      <c r="AP2033" s="109"/>
      <c r="AQ2033" s="109"/>
      <c r="AR2033" s="109"/>
      <c r="AS2033" s="109"/>
    </row>
    <row r="2034" spans="1:45" ht="12.6" customHeight="1" x14ac:dyDescent="0.3">
      <c r="A2034" s="159" t="s">
        <v>1401</v>
      </c>
      <c r="B2034" s="152"/>
      <c r="C2034" s="55">
        <f>E2034+D2034+F2034</f>
        <v>67383</v>
      </c>
      <c r="D2034" s="54">
        <f>ROUNDDOWN(SUMIF(N1967:N2001,M2034,D1967:D2001),0)</f>
        <v>66071</v>
      </c>
      <c r="E2034" s="63">
        <f>ROUNDDOWN(SUMIF(N1967:N2001,M2034,E1967:E2001),0)</f>
        <v>1008</v>
      </c>
      <c r="F2034" s="55">
        <f>ROUNDDOWN(SUMIF(N1967:N2001,M2034,F1967:F2001),0)</f>
        <v>304</v>
      </c>
      <c r="M2034" s="20" t="s">
        <v>1128</v>
      </c>
      <c r="Z2034" s="109"/>
      <c r="AA2034" s="109"/>
      <c r="AB2034" s="109"/>
      <c r="AC2034" s="109"/>
      <c r="AD2034" s="109"/>
      <c r="AE2034" s="109"/>
      <c r="AF2034" s="109"/>
      <c r="AG2034" s="109"/>
      <c r="AH2034" s="109"/>
      <c r="AI2034" s="109"/>
      <c r="AJ2034" s="109"/>
      <c r="AK2034" s="109"/>
      <c r="AL2034" s="109"/>
      <c r="AM2034" s="109"/>
      <c r="AN2034" s="109"/>
      <c r="AO2034" s="109"/>
      <c r="AP2034" s="109"/>
      <c r="AQ2034" s="109"/>
      <c r="AR2034" s="109"/>
      <c r="AS2034" s="109"/>
    </row>
    <row r="2035" spans="1:45" ht="12.6" customHeight="1" x14ac:dyDescent="0.3">
      <c r="A2035" s="95" t="s">
        <v>148</v>
      </c>
      <c r="B2035" s="96" t="s">
        <v>148</v>
      </c>
      <c r="C2035" s="158">
        <f>C2069</f>
        <v>55909</v>
      </c>
      <c r="D2035" s="158">
        <f>D2069</f>
        <v>0</v>
      </c>
      <c r="E2035" s="158">
        <f>E2069</f>
        <v>0</v>
      </c>
      <c r="F2035" s="158">
        <f>F2069</f>
        <v>55909</v>
      </c>
      <c r="G2035" s="36" t="str">
        <f>HYPERLINK("#G"&amp;ROW(G2054),"_x0005_`BDCOD|D02242_x0007_`POSS|"&amp;ROW(G2037)&amp;"_x0007_`POSE|"&amp;ROW(G2054)&amp;"_x0007_`")</f>
        <v>_x0005_`BDCOD|D02242_x0007_`POSS|2037_x0007_`POSE|2054_x0007_`</v>
      </c>
      <c r="Z2035" s="109"/>
      <c r="AA2035" s="109"/>
      <c r="AB2035" s="109"/>
      <c r="AC2035" s="109"/>
      <c r="AD2035" s="109"/>
      <c r="AE2035" s="109"/>
      <c r="AF2035" s="109"/>
      <c r="AG2035" s="109"/>
      <c r="AH2035" s="109"/>
      <c r="AI2035" s="109"/>
      <c r="AJ2035" s="109"/>
      <c r="AK2035" s="109"/>
      <c r="AL2035" s="109"/>
      <c r="AM2035" s="109"/>
      <c r="AN2035" s="109"/>
      <c r="AO2035" s="109"/>
      <c r="AP2035" s="109"/>
      <c r="AQ2035" s="109"/>
      <c r="AR2035" s="109"/>
      <c r="AS2035" s="109"/>
    </row>
    <row r="2036" spans="1:45" ht="12.6" customHeight="1" x14ac:dyDescent="0.3">
      <c r="A2036" s="84"/>
      <c r="B2036" s="96" t="s">
        <v>277</v>
      </c>
      <c r="C2036" s="141"/>
      <c r="D2036" s="141"/>
      <c r="E2036" s="141"/>
      <c r="F2036" s="141"/>
      <c r="M2036" s="20" t="s">
        <v>276</v>
      </c>
      <c r="Z2036" s="109"/>
      <c r="AA2036" s="109"/>
      <c r="AB2036" s="109"/>
      <c r="AC2036" s="109"/>
      <c r="AD2036" s="109"/>
      <c r="AE2036" s="109"/>
      <c r="AF2036" s="109"/>
      <c r="AG2036" s="109"/>
      <c r="AH2036" s="109"/>
      <c r="AI2036" s="109"/>
      <c r="AJ2036" s="109"/>
      <c r="AK2036" s="109"/>
      <c r="AL2036" s="109"/>
      <c r="AM2036" s="109"/>
      <c r="AN2036" s="109"/>
      <c r="AO2036" s="109"/>
      <c r="AP2036" s="109"/>
      <c r="AQ2036" s="109"/>
      <c r="AR2036" s="109"/>
      <c r="AS2036" s="109"/>
    </row>
    <row r="2037" spans="1:45" ht="12.6" customHeight="1" x14ac:dyDescent="0.3">
      <c r="A2037" s="78"/>
      <c r="B2037" s="78"/>
      <c r="C2037" s="98"/>
      <c r="D2037" s="98"/>
      <c r="E2037" s="98"/>
      <c r="F2037" s="98"/>
      <c r="G2037" s="16" t="s">
        <v>1317</v>
      </c>
      <c r="Z2037" s="109"/>
      <c r="AA2037" s="109"/>
      <c r="AB2037" s="109"/>
      <c r="AC2037" s="109"/>
      <c r="AD2037" s="109"/>
      <c r="AE2037" s="109"/>
      <c r="AF2037" s="109"/>
      <c r="AG2037" s="109"/>
      <c r="AH2037" s="109"/>
      <c r="AI2037" s="109"/>
      <c r="AJ2037" s="109"/>
      <c r="AK2037" s="109"/>
      <c r="AL2037" s="109"/>
      <c r="AM2037" s="109"/>
      <c r="AN2037" s="109"/>
      <c r="AO2037" s="109"/>
      <c r="AP2037" s="109"/>
      <c r="AQ2037" s="109"/>
      <c r="AR2037" s="109"/>
      <c r="AS2037" s="109"/>
    </row>
    <row r="2038" spans="1:45" ht="12.6" customHeight="1" x14ac:dyDescent="0.3">
      <c r="A2038" s="78"/>
      <c r="B2038" s="78"/>
      <c r="C2038" s="78"/>
      <c r="D2038" s="78"/>
      <c r="E2038" s="78"/>
      <c r="F2038" s="78"/>
      <c r="G2038" s="16" t="s">
        <v>1317</v>
      </c>
      <c r="Z2038" s="109"/>
      <c r="AA2038" s="109"/>
      <c r="AB2038" s="109"/>
      <c r="AC2038" s="109"/>
      <c r="AD2038" s="109"/>
      <c r="AE2038" s="109"/>
      <c r="AF2038" s="109"/>
      <c r="AG2038" s="109"/>
      <c r="AH2038" s="109"/>
      <c r="AI2038" s="109"/>
      <c r="AJ2038" s="109"/>
      <c r="AK2038" s="109"/>
      <c r="AL2038" s="109"/>
      <c r="AM2038" s="109"/>
      <c r="AN2038" s="109"/>
      <c r="AO2038" s="109"/>
      <c r="AP2038" s="109"/>
      <c r="AQ2038" s="109"/>
      <c r="AR2038" s="109"/>
      <c r="AS2038" s="109"/>
    </row>
    <row r="2039" spans="1:45" ht="12.6" customHeight="1" x14ac:dyDescent="0.3">
      <c r="A2039" s="78"/>
      <c r="B2039" s="78"/>
      <c r="C2039" s="78"/>
      <c r="D2039" s="78"/>
      <c r="E2039" s="78"/>
      <c r="F2039" s="78"/>
      <c r="G2039" s="16" t="s">
        <v>1317</v>
      </c>
      <c r="Z2039" s="109"/>
      <c r="AA2039" s="109"/>
      <c r="AB2039" s="109"/>
      <c r="AC2039" s="109"/>
      <c r="AD2039" s="109"/>
      <c r="AE2039" s="109"/>
      <c r="AF2039" s="109"/>
      <c r="AG2039" s="109"/>
      <c r="AH2039" s="109"/>
      <c r="AI2039" s="109"/>
      <c r="AJ2039" s="109"/>
      <c r="AK2039" s="109"/>
      <c r="AL2039" s="109"/>
      <c r="AM2039" s="109"/>
      <c r="AN2039" s="109"/>
      <c r="AO2039" s="109"/>
      <c r="AP2039" s="109"/>
      <c r="AQ2039" s="109"/>
      <c r="AR2039" s="109"/>
      <c r="AS2039" s="109"/>
    </row>
    <row r="2040" spans="1:45" ht="12.6" customHeight="1" x14ac:dyDescent="0.3">
      <c r="A2040" s="68"/>
      <c r="B2040" s="77" t="s">
        <v>2026</v>
      </c>
      <c r="C2040" s="78"/>
      <c r="D2040" s="78"/>
      <c r="E2040" s="78"/>
      <c r="F2040" s="78"/>
      <c r="G2040" s="16" t="s">
        <v>2025</v>
      </c>
      <c r="Z2040" s="20" t="s">
        <v>1385</v>
      </c>
      <c r="AA2040" s="20" t="s">
        <v>1385</v>
      </c>
      <c r="AB2040" s="109"/>
      <c r="AC2040" s="109"/>
      <c r="AD2040" s="109"/>
      <c r="AE2040" s="109"/>
      <c r="AF2040" s="109"/>
      <c r="AG2040" s="109"/>
      <c r="AH2040" s="109"/>
      <c r="AI2040" s="109"/>
      <c r="AJ2040" s="109"/>
      <c r="AK2040" s="109"/>
      <c r="AL2040" s="109"/>
      <c r="AM2040" s="109"/>
      <c r="AN2040" s="109"/>
      <c r="AO2040" s="109"/>
      <c r="AP2040" s="109"/>
      <c r="AQ2040" s="109"/>
      <c r="AR2040" s="109"/>
      <c r="AS2040" s="109"/>
    </row>
    <row r="2041" spans="1:45" ht="12.6" customHeight="1" x14ac:dyDescent="0.3">
      <c r="A2041" s="78"/>
      <c r="B2041" s="78"/>
      <c r="C2041" s="78"/>
      <c r="D2041" s="78"/>
      <c r="E2041" s="78"/>
      <c r="F2041" s="78"/>
      <c r="G2041" s="16" t="s">
        <v>1317</v>
      </c>
      <c r="Z2041" s="109"/>
      <c r="AA2041" s="109"/>
      <c r="AB2041" s="109"/>
      <c r="AC2041" s="109"/>
      <c r="AD2041" s="109"/>
      <c r="AE2041" s="109"/>
      <c r="AF2041" s="109"/>
      <c r="AG2041" s="109"/>
      <c r="AH2041" s="109"/>
      <c r="AI2041" s="109"/>
      <c r="AJ2041" s="109"/>
      <c r="AK2041" s="109"/>
      <c r="AL2041" s="109"/>
      <c r="AM2041" s="109"/>
      <c r="AN2041" s="109"/>
      <c r="AO2041" s="109"/>
      <c r="AP2041" s="109"/>
      <c r="AQ2041" s="109"/>
      <c r="AR2041" s="109"/>
      <c r="AS2041" s="109"/>
    </row>
    <row r="2042" spans="1:45" ht="12.6" customHeight="1" x14ac:dyDescent="0.3">
      <c r="A2042" s="78"/>
      <c r="B2042" s="78"/>
      <c r="C2042" s="78"/>
      <c r="D2042" s="78"/>
      <c r="E2042" s="78"/>
      <c r="F2042" s="78"/>
      <c r="G2042" s="16" t="s">
        <v>1317</v>
      </c>
      <c r="Z2042" s="109"/>
      <c r="AA2042" s="109"/>
      <c r="AB2042" s="109"/>
      <c r="AC2042" s="109"/>
      <c r="AD2042" s="109"/>
      <c r="AE2042" s="109"/>
      <c r="AF2042" s="109"/>
      <c r="AG2042" s="109"/>
      <c r="AH2042" s="109"/>
      <c r="AI2042" s="109"/>
      <c r="AJ2042" s="109"/>
      <c r="AK2042" s="109"/>
      <c r="AL2042" s="109"/>
      <c r="AM2042" s="109"/>
      <c r="AN2042" s="109"/>
      <c r="AO2042" s="109"/>
      <c r="AP2042" s="109"/>
      <c r="AQ2042" s="109"/>
      <c r="AR2042" s="109"/>
      <c r="AS2042" s="109"/>
    </row>
    <row r="2043" spans="1:45" ht="12.6" customHeight="1" x14ac:dyDescent="0.3">
      <c r="A2043" s="68"/>
      <c r="B2043" s="77" t="s">
        <v>2028</v>
      </c>
      <c r="C2043" s="78"/>
      <c r="D2043" s="78"/>
      <c r="E2043" s="78"/>
      <c r="F2043" s="78"/>
      <c r="G2043" s="16" t="s">
        <v>2027</v>
      </c>
      <c r="Z2043" s="109"/>
      <c r="AA2043" s="109"/>
      <c r="AB2043" s="109"/>
      <c r="AC2043" s="109"/>
      <c r="AD2043" s="109"/>
      <c r="AE2043" s="109"/>
      <c r="AF2043" s="109"/>
      <c r="AG2043" s="109"/>
      <c r="AH2043" s="109"/>
      <c r="AI2043" s="109"/>
      <c r="AJ2043" s="109"/>
      <c r="AK2043" s="109"/>
      <c r="AL2043" s="109"/>
      <c r="AM2043" s="109"/>
      <c r="AN2043" s="109"/>
      <c r="AO2043" s="109"/>
      <c r="AP2043" s="109"/>
      <c r="AQ2043" s="109"/>
      <c r="AR2043" s="109"/>
      <c r="AS2043" s="109"/>
    </row>
    <row r="2044" spans="1:45" ht="12.6" customHeight="1" x14ac:dyDescent="0.3">
      <c r="A2044" s="78"/>
      <c r="B2044" s="78"/>
      <c r="C2044" s="78"/>
      <c r="D2044" s="78"/>
      <c r="E2044" s="78"/>
      <c r="F2044" s="78"/>
      <c r="G2044" s="16" t="s">
        <v>1317</v>
      </c>
      <c r="Z2044" s="109"/>
      <c r="AA2044" s="109"/>
      <c r="AB2044" s="109"/>
      <c r="AC2044" s="109"/>
      <c r="AD2044" s="109"/>
      <c r="AE2044" s="109"/>
      <c r="AF2044" s="109"/>
      <c r="AG2044" s="109"/>
      <c r="AH2044" s="109"/>
      <c r="AI2044" s="109"/>
      <c r="AJ2044" s="109"/>
      <c r="AK2044" s="109"/>
      <c r="AL2044" s="109"/>
      <c r="AM2044" s="109"/>
      <c r="AN2044" s="109"/>
      <c r="AO2044" s="109"/>
      <c r="AP2044" s="109"/>
      <c r="AQ2044" s="109"/>
      <c r="AR2044" s="109"/>
      <c r="AS2044" s="109"/>
    </row>
    <row r="2045" spans="1:45" ht="12.6" customHeight="1" x14ac:dyDescent="0.3">
      <c r="A2045" s="68"/>
      <c r="B2045" s="77" t="s">
        <v>2030</v>
      </c>
      <c r="C2045" s="78"/>
      <c r="D2045" s="78"/>
      <c r="E2045" s="78"/>
      <c r="F2045" s="78"/>
      <c r="G2045" s="16" t="s">
        <v>2029</v>
      </c>
      <c r="Z2045" s="109"/>
      <c r="AA2045" s="109"/>
      <c r="AB2045" s="109"/>
      <c r="AC2045" s="109"/>
      <c r="AD2045" s="109"/>
      <c r="AE2045" s="109"/>
      <c r="AF2045" s="109"/>
      <c r="AG2045" s="109"/>
      <c r="AH2045" s="109"/>
      <c r="AI2045" s="109"/>
      <c r="AJ2045" s="109"/>
      <c r="AK2045" s="109"/>
      <c r="AL2045" s="109"/>
      <c r="AM2045" s="109"/>
      <c r="AN2045" s="109"/>
      <c r="AO2045" s="109"/>
      <c r="AP2045" s="109"/>
      <c r="AQ2045" s="109"/>
      <c r="AR2045" s="109"/>
      <c r="AS2045" s="109"/>
    </row>
    <row r="2046" spans="1:45" ht="12.6" customHeight="1" x14ac:dyDescent="0.3">
      <c r="A2046" s="78"/>
      <c r="B2046" s="78"/>
      <c r="C2046" s="78"/>
      <c r="D2046" s="78"/>
      <c r="E2046" s="78"/>
      <c r="F2046" s="78"/>
      <c r="G2046" s="16" t="s">
        <v>1317</v>
      </c>
      <c r="Z2046" s="109"/>
      <c r="AA2046" s="109"/>
      <c r="AB2046" s="109"/>
      <c r="AC2046" s="109"/>
      <c r="AD2046" s="109"/>
      <c r="AE2046" s="109"/>
      <c r="AF2046" s="109"/>
      <c r="AG2046" s="109"/>
      <c r="AH2046" s="109"/>
      <c r="AI2046" s="109"/>
      <c r="AJ2046" s="109"/>
      <c r="AK2046" s="109"/>
      <c r="AL2046" s="109"/>
      <c r="AM2046" s="109"/>
      <c r="AN2046" s="109"/>
      <c r="AO2046" s="109"/>
      <c r="AP2046" s="109"/>
      <c r="AQ2046" s="109"/>
      <c r="AR2046" s="109"/>
      <c r="AS2046" s="109"/>
    </row>
    <row r="2047" spans="1:45" ht="12.6" customHeight="1" x14ac:dyDescent="0.3">
      <c r="A2047" s="78"/>
      <c r="B2047" s="78"/>
      <c r="C2047" s="78"/>
      <c r="D2047" s="78"/>
      <c r="E2047" s="78"/>
      <c r="F2047" s="78"/>
      <c r="G2047" s="16" t="s">
        <v>1317</v>
      </c>
      <c r="Z2047" s="109"/>
      <c r="AA2047" s="109"/>
      <c r="AB2047" s="109"/>
      <c r="AC2047" s="109"/>
      <c r="AD2047" s="109"/>
      <c r="AE2047" s="109"/>
      <c r="AF2047" s="109"/>
      <c r="AG2047" s="109"/>
      <c r="AH2047" s="109"/>
      <c r="AI2047" s="109"/>
      <c r="AJ2047" s="109"/>
      <c r="AK2047" s="109"/>
      <c r="AL2047" s="109"/>
      <c r="AM2047" s="109"/>
      <c r="AN2047" s="109"/>
      <c r="AO2047" s="109"/>
      <c r="AP2047" s="109"/>
      <c r="AQ2047" s="109"/>
      <c r="AR2047" s="109"/>
      <c r="AS2047" s="109"/>
    </row>
    <row r="2048" spans="1:45" ht="12.6" customHeight="1" x14ac:dyDescent="0.3">
      <c r="A2048" s="78"/>
      <c r="B2048" s="78"/>
      <c r="C2048" s="78"/>
      <c r="D2048" s="78"/>
      <c r="E2048" s="78"/>
      <c r="F2048" s="78"/>
      <c r="G2048" s="16" t="s">
        <v>1317</v>
      </c>
      <c r="Z2048" s="109"/>
      <c r="AA2048" s="109"/>
      <c r="AB2048" s="109"/>
      <c r="AC2048" s="109"/>
      <c r="AD2048" s="109"/>
      <c r="AE2048" s="109"/>
      <c r="AF2048" s="109"/>
      <c r="AG2048" s="109"/>
      <c r="AH2048" s="109"/>
      <c r="AI2048" s="109"/>
      <c r="AJ2048" s="109"/>
      <c r="AK2048" s="109"/>
      <c r="AL2048" s="109"/>
      <c r="AM2048" s="109"/>
      <c r="AN2048" s="109"/>
      <c r="AO2048" s="109"/>
      <c r="AP2048" s="109"/>
      <c r="AQ2048" s="109"/>
      <c r="AR2048" s="109"/>
      <c r="AS2048" s="109"/>
    </row>
    <row r="2049" spans="1:45" ht="12.6" customHeight="1" x14ac:dyDescent="0.3">
      <c r="A2049" s="68"/>
      <c r="B2049" s="77" t="s">
        <v>2032</v>
      </c>
      <c r="C2049" s="78"/>
      <c r="D2049" s="78"/>
      <c r="E2049" s="78"/>
      <c r="F2049" s="78"/>
      <c r="G2049" s="16" t="s">
        <v>2031</v>
      </c>
      <c r="Z2049" s="109"/>
      <c r="AA2049" s="109"/>
      <c r="AB2049" s="109"/>
      <c r="AC2049" s="109"/>
      <c r="AD2049" s="109"/>
      <c r="AE2049" s="109"/>
      <c r="AF2049" s="109"/>
      <c r="AG2049" s="109"/>
      <c r="AH2049" s="109"/>
      <c r="AI2049" s="109"/>
      <c r="AJ2049" s="109"/>
      <c r="AK2049" s="109"/>
      <c r="AL2049" s="109"/>
      <c r="AM2049" s="109"/>
      <c r="AN2049" s="109"/>
      <c r="AO2049" s="109"/>
      <c r="AP2049" s="109"/>
      <c r="AQ2049" s="109"/>
      <c r="AR2049" s="109"/>
      <c r="AS2049" s="109"/>
    </row>
    <row r="2050" spans="1:45" ht="12.6" customHeight="1" x14ac:dyDescent="0.3">
      <c r="A2050" s="78"/>
      <c r="B2050" s="78"/>
      <c r="C2050" s="78"/>
      <c r="D2050" s="78"/>
      <c r="E2050" s="78"/>
      <c r="F2050" s="78"/>
      <c r="G2050" s="16" t="s">
        <v>1317</v>
      </c>
      <c r="Z2050" s="109"/>
      <c r="AA2050" s="109"/>
      <c r="AB2050" s="109"/>
      <c r="AC2050" s="109"/>
      <c r="AD2050" s="109"/>
      <c r="AE2050" s="109"/>
      <c r="AF2050" s="109"/>
      <c r="AG2050" s="109"/>
      <c r="AH2050" s="109"/>
      <c r="AI2050" s="109"/>
      <c r="AJ2050" s="109"/>
      <c r="AK2050" s="109"/>
      <c r="AL2050" s="109"/>
      <c r="AM2050" s="109"/>
      <c r="AN2050" s="109"/>
      <c r="AO2050" s="109"/>
      <c r="AP2050" s="109"/>
      <c r="AQ2050" s="109"/>
      <c r="AR2050" s="109"/>
      <c r="AS2050" s="109"/>
    </row>
    <row r="2051" spans="1:45" ht="12.6" customHeight="1" x14ac:dyDescent="0.3">
      <c r="A2051" s="68" t="s">
        <v>728</v>
      </c>
      <c r="B2051" s="97" t="str">
        <f>"    "&amp;TEXT(I2051,"#,##0"&amp;IF(I2051&lt;&gt;INT(I2051),".###",""))&amp;" / "&amp;AA2051&amp;"  = "&amp;TEXT(C2051,"#,##0.0")&amp;""</f>
        <v xml:space="preserve">    61,500 / 1.1  = 55,909.0</v>
      </c>
      <c r="C2051" s="99">
        <f>E2051+D2051+F2051</f>
        <v>55909</v>
      </c>
      <c r="D2051" s="99">
        <f>IF(H2051=0,0,ROUNDDOWN(J2051*H2051,1))</f>
        <v>0</v>
      </c>
      <c r="E2051" s="99">
        <f>IF(H2051=0,0,ROUNDDOWN(K2051*H2051,1))</f>
        <v>0</v>
      </c>
      <c r="F2051" s="99">
        <f>IF(H2051=0,0,ROUNDDOWN(L2051*H2051,1))</f>
        <v>55909</v>
      </c>
      <c r="G2051" s="16" t="s">
        <v>2033</v>
      </c>
      <c r="H2051" s="105">
        <f>AC2051</f>
        <v>0.90909090909090906</v>
      </c>
      <c r="I2051" s="106">
        <f>K2051+J2051+L2051</f>
        <v>61500</v>
      </c>
      <c r="L2051" s="39">
        <f>경비목록표!E19</f>
        <v>61500</v>
      </c>
      <c r="M2051" s="20" t="s">
        <v>1857</v>
      </c>
      <c r="N2051" s="20" t="s">
        <v>1332</v>
      </c>
      <c r="X2051" s="108" t="str">
        <f>경비목록표!B19&amp;" / "&amp;경비목록표!C19</f>
        <v>구역화물자동차 / 5톤(20km 이내)</v>
      </c>
      <c r="Y2051" s="19" t="str">
        <f ca="1">HYPERLINK("#"&amp;경비목록표!G2&amp;"!A"&amp;ROW(경비목록표!A19),"경비   16 →")</f>
        <v>경비   16 →</v>
      </c>
      <c r="Z2051" s="20" t="s">
        <v>1393</v>
      </c>
      <c r="AA2051" s="110">
        <v>1.1000000000000001</v>
      </c>
      <c r="AB2051" s="20" t="s">
        <v>1326</v>
      </c>
      <c r="AC2051" s="113">
        <f>1/AA2051</f>
        <v>0.90909090909090906</v>
      </c>
      <c r="AD2051" s="109"/>
      <c r="AE2051" s="109"/>
      <c r="AF2051" s="109"/>
      <c r="AG2051" s="109"/>
      <c r="AH2051" s="109"/>
      <c r="AI2051" s="109"/>
      <c r="AJ2051" s="109"/>
      <c r="AK2051" s="109"/>
      <c r="AL2051" s="109"/>
      <c r="AM2051" s="109"/>
      <c r="AN2051" s="109"/>
      <c r="AO2051" s="109"/>
      <c r="AP2051" s="109"/>
      <c r="AQ2051" s="109"/>
      <c r="AR2051" s="109"/>
      <c r="AS2051" s="109"/>
    </row>
    <row r="2052" spans="1:45" ht="12.6" customHeight="1" x14ac:dyDescent="0.3">
      <c r="A2052" s="78"/>
      <c r="B2052" s="78"/>
      <c r="C2052" s="78"/>
      <c r="D2052" s="78"/>
      <c r="E2052" s="78"/>
      <c r="F2052" s="78"/>
      <c r="G2052" s="16" t="s">
        <v>1317</v>
      </c>
      <c r="Z2052" s="109"/>
      <c r="AA2052" s="109"/>
      <c r="AB2052" s="109"/>
      <c r="AC2052" s="109"/>
      <c r="AD2052" s="109"/>
      <c r="AE2052" s="109"/>
      <c r="AF2052" s="109"/>
      <c r="AG2052" s="109"/>
      <c r="AH2052" s="109"/>
      <c r="AI2052" s="109"/>
      <c r="AJ2052" s="109"/>
      <c r="AK2052" s="109"/>
      <c r="AL2052" s="109"/>
      <c r="AM2052" s="109"/>
      <c r="AN2052" s="109"/>
      <c r="AO2052" s="109"/>
      <c r="AP2052" s="109"/>
      <c r="AQ2052" s="109"/>
      <c r="AR2052" s="109"/>
      <c r="AS2052" s="109"/>
    </row>
    <row r="2053" spans="1:45" ht="12.6" customHeight="1" x14ac:dyDescent="0.3">
      <c r="A2053" s="78"/>
      <c r="B2053" s="78"/>
      <c r="C2053" s="78"/>
      <c r="D2053" s="78"/>
      <c r="E2053" s="78"/>
      <c r="F2053" s="78"/>
      <c r="G2053" s="16" t="s">
        <v>1317</v>
      </c>
      <c r="Z2053" s="109"/>
      <c r="AA2053" s="109"/>
      <c r="AB2053" s="109"/>
      <c r="AC2053" s="109"/>
      <c r="AD2053" s="109"/>
      <c r="AE2053" s="109"/>
      <c r="AF2053" s="109"/>
      <c r="AG2053" s="109"/>
      <c r="AH2053" s="109"/>
      <c r="AI2053" s="109"/>
      <c r="AJ2053" s="109"/>
      <c r="AK2053" s="109"/>
      <c r="AL2053" s="109"/>
      <c r="AM2053" s="109"/>
      <c r="AN2053" s="109"/>
      <c r="AO2053" s="109"/>
      <c r="AP2053" s="109"/>
      <c r="AQ2053" s="109"/>
      <c r="AR2053" s="109"/>
      <c r="AS2053" s="109"/>
    </row>
    <row r="2054" spans="1:45" ht="12.6" customHeight="1" x14ac:dyDescent="0.3">
      <c r="A2054" s="68"/>
      <c r="B2054" s="77" t="s">
        <v>1331</v>
      </c>
      <c r="C2054" s="100">
        <f>E2054+D2054+F2054</f>
        <v>55909</v>
      </c>
      <c r="D2054" s="100">
        <f>SUMIF(N2037:N2053,M2054,D2037:D2053)</f>
        <v>0</v>
      </c>
      <c r="E2054" s="100">
        <f>SUMIF(N2037:N2053,M2054,E2037:E2053)</f>
        <v>0</v>
      </c>
      <c r="F2054" s="100">
        <f>SUMIF(N2037:N2053,M2054,F2037:F2053)</f>
        <v>55909</v>
      </c>
      <c r="G2054" s="16" t="s">
        <v>1415</v>
      </c>
      <c r="M2054" s="20" t="s">
        <v>1332</v>
      </c>
      <c r="N2054" s="20" t="s">
        <v>1128</v>
      </c>
      <c r="Z2054" s="109"/>
      <c r="AA2054" s="109"/>
      <c r="AB2054" s="109"/>
      <c r="AC2054" s="109"/>
      <c r="AD2054" s="109"/>
      <c r="AE2054" s="109"/>
      <c r="AF2054" s="109"/>
      <c r="AG2054" s="109"/>
      <c r="AH2054" s="109"/>
      <c r="AI2054" s="109"/>
      <c r="AJ2054" s="109"/>
      <c r="AK2054" s="109"/>
      <c r="AL2054" s="109"/>
      <c r="AM2054" s="109"/>
      <c r="AN2054" s="109"/>
      <c r="AO2054" s="109"/>
      <c r="AP2054" s="109"/>
      <c r="AQ2054" s="109"/>
      <c r="AR2054" s="109"/>
      <c r="AS2054" s="109"/>
    </row>
    <row r="2055" spans="1:45" ht="12.6" customHeight="1" x14ac:dyDescent="0.3">
      <c r="A2055" s="78"/>
      <c r="B2055" s="78"/>
      <c r="C2055" s="98"/>
      <c r="D2055" s="98"/>
      <c r="E2055" s="98"/>
      <c r="F2055" s="98"/>
      <c r="Z2055" s="109"/>
      <c r="AA2055" s="109"/>
      <c r="AB2055" s="109"/>
      <c r="AC2055" s="109"/>
      <c r="AD2055" s="109"/>
      <c r="AE2055" s="109"/>
      <c r="AF2055" s="109"/>
      <c r="AG2055" s="109"/>
      <c r="AH2055" s="109"/>
      <c r="AI2055" s="109"/>
      <c r="AJ2055" s="109"/>
      <c r="AK2055" s="109"/>
      <c r="AL2055" s="109"/>
      <c r="AM2055" s="109"/>
      <c r="AN2055" s="109"/>
      <c r="AO2055" s="109"/>
      <c r="AP2055" s="109"/>
      <c r="AQ2055" s="109"/>
      <c r="AR2055" s="109"/>
      <c r="AS2055" s="109"/>
    </row>
    <row r="2056" spans="1:45" ht="12.6" customHeight="1" x14ac:dyDescent="0.3">
      <c r="A2056" s="78"/>
      <c r="B2056" s="78"/>
      <c r="C2056" s="78"/>
      <c r="D2056" s="78"/>
      <c r="E2056" s="78"/>
      <c r="F2056" s="78"/>
      <c r="Z2056" s="109"/>
      <c r="AA2056" s="109"/>
      <c r="AB2056" s="109"/>
      <c r="AC2056" s="109"/>
      <c r="AD2056" s="109"/>
      <c r="AE2056" s="109"/>
      <c r="AF2056" s="109"/>
      <c r="AG2056" s="109"/>
      <c r="AH2056" s="109"/>
      <c r="AI2056" s="109"/>
      <c r="AJ2056" s="109"/>
      <c r="AK2056" s="109"/>
      <c r="AL2056" s="109"/>
      <c r="AM2056" s="109"/>
      <c r="AN2056" s="109"/>
      <c r="AO2056" s="109"/>
      <c r="AP2056" s="109"/>
      <c r="AQ2056" s="109"/>
      <c r="AR2056" s="109"/>
      <c r="AS2056" s="109"/>
    </row>
    <row r="2057" spans="1:45" ht="12.6" customHeight="1" x14ac:dyDescent="0.3">
      <c r="A2057" s="78"/>
      <c r="B2057" s="78"/>
      <c r="C2057" s="78"/>
      <c r="D2057" s="78"/>
      <c r="E2057" s="78"/>
      <c r="F2057" s="78"/>
      <c r="Z2057" s="109"/>
      <c r="AA2057" s="109"/>
      <c r="AB2057" s="109"/>
      <c r="AC2057" s="109"/>
      <c r="AD2057" s="109"/>
      <c r="AE2057" s="109"/>
      <c r="AF2057" s="109"/>
      <c r="AG2057" s="109"/>
      <c r="AH2057" s="109"/>
      <c r="AI2057" s="109"/>
      <c r="AJ2057" s="109"/>
      <c r="AK2057" s="109"/>
      <c r="AL2057" s="109"/>
      <c r="AM2057" s="109"/>
      <c r="AN2057" s="109"/>
      <c r="AO2057" s="109"/>
      <c r="AP2057" s="109"/>
      <c r="AQ2057" s="109"/>
      <c r="AR2057" s="109"/>
      <c r="AS2057" s="109"/>
    </row>
    <row r="2058" spans="1:45" ht="12.6" customHeight="1" x14ac:dyDescent="0.3">
      <c r="A2058" s="78"/>
      <c r="B2058" s="78"/>
      <c r="C2058" s="78"/>
      <c r="D2058" s="78"/>
      <c r="E2058" s="78"/>
      <c r="F2058" s="78"/>
      <c r="Z2058" s="109"/>
      <c r="AA2058" s="109"/>
      <c r="AB2058" s="109"/>
      <c r="AC2058" s="109"/>
      <c r="AD2058" s="109"/>
      <c r="AE2058" s="109"/>
      <c r="AF2058" s="109"/>
      <c r="AG2058" s="109"/>
      <c r="AH2058" s="109"/>
      <c r="AI2058" s="109"/>
      <c r="AJ2058" s="109"/>
      <c r="AK2058" s="109"/>
      <c r="AL2058" s="109"/>
      <c r="AM2058" s="109"/>
      <c r="AN2058" s="109"/>
      <c r="AO2058" s="109"/>
      <c r="AP2058" s="109"/>
      <c r="AQ2058" s="109"/>
      <c r="AR2058" s="109"/>
      <c r="AS2058" s="109"/>
    </row>
    <row r="2059" spans="1:45" ht="12.6" customHeight="1" x14ac:dyDescent="0.3">
      <c r="A2059" s="78"/>
      <c r="B2059" s="78"/>
      <c r="C2059" s="78"/>
      <c r="D2059" s="78"/>
      <c r="E2059" s="78"/>
      <c r="F2059" s="78"/>
      <c r="Z2059" s="109"/>
      <c r="AA2059" s="109"/>
      <c r="AB2059" s="109"/>
      <c r="AC2059" s="109"/>
      <c r="AD2059" s="109"/>
      <c r="AE2059" s="109"/>
      <c r="AF2059" s="109"/>
      <c r="AG2059" s="109"/>
      <c r="AH2059" s="109"/>
      <c r="AI2059" s="109"/>
      <c r="AJ2059" s="109"/>
      <c r="AK2059" s="109"/>
      <c r="AL2059" s="109"/>
      <c r="AM2059" s="109"/>
      <c r="AN2059" s="109"/>
      <c r="AO2059" s="109"/>
      <c r="AP2059" s="109"/>
      <c r="AQ2059" s="109"/>
      <c r="AR2059" s="109"/>
      <c r="AS2059" s="109"/>
    </row>
    <row r="2060" spans="1:45" ht="12.6" customHeight="1" x14ac:dyDescent="0.3">
      <c r="A2060" s="78"/>
      <c r="B2060" s="78"/>
      <c r="C2060" s="78"/>
      <c r="D2060" s="78"/>
      <c r="E2060" s="78"/>
      <c r="F2060" s="78"/>
      <c r="Z2060" s="109"/>
      <c r="AA2060" s="109"/>
      <c r="AB2060" s="109"/>
      <c r="AC2060" s="109"/>
      <c r="AD2060" s="109"/>
      <c r="AE2060" s="109"/>
      <c r="AF2060" s="109"/>
      <c r="AG2060" s="109"/>
      <c r="AH2060" s="109"/>
      <c r="AI2060" s="109"/>
      <c r="AJ2060" s="109"/>
      <c r="AK2060" s="109"/>
      <c r="AL2060" s="109"/>
      <c r="AM2060" s="109"/>
      <c r="AN2060" s="109"/>
      <c r="AO2060" s="109"/>
      <c r="AP2060" s="109"/>
      <c r="AQ2060" s="109"/>
      <c r="AR2060" s="109"/>
      <c r="AS2060" s="109"/>
    </row>
    <row r="2061" spans="1:45" ht="12.6" customHeight="1" x14ac:dyDescent="0.3">
      <c r="A2061" s="78"/>
      <c r="B2061" s="78"/>
      <c r="C2061" s="78"/>
      <c r="D2061" s="78"/>
      <c r="E2061" s="78"/>
      <c r="F2061" s="78"/>
      <c r="Z2061" s="109"/>
      <c r="AA2061" s="109"/>
      <c r="AB2061" s="109"/>
      <c r="AC2061" s="109"/>
      <c r="AD2061" s="109"/>
      <c r="AE2061" s="109"/>
      <c r="AF2061" s="109"/>
      <c r="AG2061" s="109"/>
      <c r="AH2061" s="109"/>
      <c r="AI2061" s="109"/>
      <c r="AJ2061" s="109"/>
      <c r="AK2061" s="109"/>
      <c r="AL2061" s="109"/>
      <c r="AM2061" s="109"/>
      <c r="AN2061" s="109"/>
      <c r="AO2061" s="109"/>
      <c r="AP2061" s="109"/>
      <c r="AQ2061" s="109"/>
      <c r="AR2061" s="109"/>
      <c r="AS2061" s="109"/>
    </row>
    <row r="2062" spans="1:45" ht="12.6" customHeight="1" x14ac:dyDescent="0.3">
      <c r="A2062" s="78"/>
      <c r="B2062" s="78"/>
      <c r="C2062" s="78"/>
      <c r="D2062" s="78"/>
      <c r="E2062" s="78"/>
      <c r="F2062" s="78"/>
      <c r="Z2062" s="109"/>
      <c r="AA2062" s="109"/>
      <c r="AB2062" s="109"/>
      <c r="AC2062" s="109"/>
      <c r="AD2062" s="109"/>
      <c r="AE2062" s="109"/>
      <c r="AF2062" s="109"/>
      <c r="AG2062" s="109"/>
      <c r="AH2062" s="109"/>
      <c r="AI2062" s="109"/>
      <c r="AJ2062" s="109"/>
      <c r="AK2062" s="109"/>
      <c r="AL2062" s="109"/>
      <c r="AM2062" s="109"/>
      <c r="AN2062" s="109"/>
      <c r="AO2062" s="109"/>
      <c r="AP2062" s="109"/>
      <c r="AQ2062" s="109"/>
      <c r="AR2062" s="109"/>
      <c r="AS2062" s="109"/>
    </row>
    <row r="2063" spans="1:45" ht="12.6" customHeight="1" x14ac:dyDescent="0.3">
      <c r="A2063" s="78"/>
      <c r="B2063" s="78"/>
      <c r="C2063" s="78"/>
      <c r="D2063" s="78"/>
      <c r="E2063" s="78"/>
      <c r="F2063" s="78"/>
      <c r="Z2063" s="109"/>
      <c r="AA2063" s="109"/>
      <c r="AB2063" s="109"/>
      <c r="AC2063" s="109"/>
      <c r="AD2063" s="109"/>
      <c r="AE2063" s="109"/>
      <c r="AF2063" s="109"/>
      <c r="AG2063" s="109"/>
      <c r="AH2063" s="109"/>
      <c r="AI2063" s="109"/>
      <c r="AJ2063" s="109"/>
      <c r="AK2063" s="109"/>
      <c r="AL2063" s="109"/>
      <c r="AM2063" s="109"/>
      <c r="AN2063" s="109"/>
      <c r="AO2063" s="109"/>
      <c r="AP2063" s="109"/>
      <c r="AQ2063" s="109"/>
      <c r="AR2063" s="109"/>
      <c r="AS2063" s="109"/>
    </row>
    <row r="2064" spans="1:45" ht="12.6" customHeight="1" x14ac:dyDescent="0.3">
      <c r="A2064" s="78"/>
      <c r="B2064" s="78"/>
      <c r="C2064" s="78"/>
      <c r="D2064" s="78"/>
      <c r="E2064" s="78"/>
      <c r="F2064" s="78"/>
      <c r="Z2064" s="109"/>
      <c r="AA2064" s="109"/>
      <c r="AB2064" s="109"/>
      <c r="AC2064" s="109"/>
      <c r="AD2064" s="109"/>
      <c r="AE2064" s="109"/>
      <c r="AF2064" s="109"/>
      <c r="AG2064" s="109"/>
      <c r="AH2064" s="109"/>
      <c r="AI2064" s="109"/>
      <c r="AJ2064" s="109"/>
      <c r="AK2064" s="109"/>
      <c r="AL2064" s="109"/>
      <c r="AM2064" s="109"/>
      <c r="AN2064" s="109"/>
      <c r="AO2064" s="109"/>
      <c r="AP2064" s="109"/>
      <c r="AQ2064" s="109"/>
      <c r="AR2064" s="109"/>
      <c r="AS2064" s="109"/>
    </row>
    <row r="2065" spans="1:45" ht="12.6" customHeight="1" x14ac:dyDescent="0.3">
      <c r="A2065" s="78"/>
      <c r="B2065" s="78"/>
      <c r="C2065" s="78"/>
      <c r="D2065" s="78"/>
      <c r="E2065" s="78"/>
      <c r="F2065" s="78"/>
      <c r="Z2065" s="109"/>
      <c r="AA2065" s="109"/>
      <c r="AB2065" s="109"/>
      <c r="AC2065" s="109"/>
      <c r="AD2065" s="109"/>
      <c r="AE2065" s="109"/>
      <c r="AF2065" s="109"/>
      <c r="AG2065" s="109"/>
      <c r="AH2065" s="109"/>
      <c r="AI2065" s="109"/>
      <c r="AJ2065" s="109"/>
      <c r="AK2065" s="109"/>
      <c r="AL2065" s="109"/>
      <c r="AM2065" s="109"/>
      <c r="AN2065" s="109"/>
      <c r="AO2065" s="109"/>
      <c r="AP2065" s="109"/>
      <c r="AQ2065" s="109"/>
      <c r="AR2065" s="109"/>
      <c r="AS2065" s="109"/>
    </row>
    <row r="2066" spans="1:45" ht="12.6" customHeight="1" x14ac:dyDescent="0.3">
      <c r="A2066" s="78"/>
      <c r="B2066" s="78"/>
      <c r="C2066" s="78"/>
      <c r="D2066" s="78"/>
      <c r="E2066" s="78"/>
      <c r="F2066" s="78"/>
      <c r="Z2066" s="109"/>
      <c r="AA2066" s="109"/>
      <c r="AB2066" s="109"/>
      <c r="AC2066" s="109"/>
      <c r="AD2066" s="109"/>
      <c r="AE2066" s="109"/>
      <c r="AF2066" s="109"/>
      <c r="AG2066" s="109"/>
      <c r="AH2066" s="109"/>
      <c r="AI2066" s="109"/>
      <c r="AJ2066" s="109"/>
      <c r="AK2066" s="109"/>
      <c r="AL2066" s="109"/>
      <c r="AM2066" s="109"/>
      <c r="AN2066" s="109"/>
      <c r="AO2066" s="109"/>
      <c r="AP2066" s="109"/>
      <c r="AQ2066" s="109"/>
      <c r="AR2066" s="109"/>
      <c r="AS2066" s="109"/>
    </row>
    <row r="2067" spans="1:45" ht="12.6" customHeight="1" x14ac:dyDescent="0.3">
      <c r="A2067" s="78"/>
      <c r="B2067" s="78"/>
      <c r="C2067" s="78"/>
      <c r="D2067" s="78"/>
      <c r="E2067" s="78"/>
      <c r="F2067" s="78"/>
      <c r="Z2067" s="109"/>
      <c r="AA2067" s="109"/>
      <c r="AB2067" s="109"/>
      <c r="AC2067" s="109"/>
      <c r="AD2067" s="109"/>
      <c r="AE2067" s="109"/>
      <c r="AF2067" s="109"/>
      <c r="AG2067" s="109"/>
      <c r="AH2067" s="109"/>
      <c r="AI2067" s="109"/>
      <c r="AJ2067" s="109"/>
      <c r="AK2067" s="109"/>
      <c r="AL2067" s="109"/>
      <c r="AM2067" s="109"/>
      <c r="AN2067" s="109"/>
      <c r="AO2067" s="109"/>
      <c r="AP2067" s="109"/>
      <c r="AQ2067" s="109"/>
      <c r="AR2067" s="109"/>
      <c r="AS2067" s="109"/>
    </row>
    <row r="2068" spans="1:45" ht="12.6" customHeight="1" x14ac:dyDescent="0.3">
      <c r="A2068" s="58"/>
      <c r="B2068" s="58"/>
      <c r="C2068" s="58"/>
      <c r="D2068" s="58"/>
      <c r="E2068" s="58"/>
      <c r="F2068" s="58"/>
      <c r="Z2068" s="109"/>
      <c r="AA2068" s="109"/>
      <c r="AB2068" s="109"/>
      <c r="AC2068" s="109"/>
      <c r="AD2068" s="109"/>
      <c r="AE2068" s="109"/>
      <c r="AF2068" s="109"/>
      <c r="AG2068" s="109"/>
      <c r="AH2068" s="109"/>
      <c r="AI2068" s="109"/>
      <c r="AJ2068" s="109"/>
      <c r="AK2068" s="109"/>
      <c r="AL2068" s="109"/>
      <c r="AM2068" s="109"/>
      <c r="AN2068" s="109"/>
      <c r="AO2068" s="109"/>
      <c r="AP2068" s="109"/>
      <c r="AQ2068" s="109"/>
      <c r="AR2068" s="109"/>
      <c r="AS2068" s="109"/>
    </row>
    <row r="2069" spans="1:45" ht="12.6" customHeight="1" x14ac:dyDescent="0.3">
      <c r="A2069" s="159" t="s">
        <v>1737</v>
      </c>
      <c r="B2069" s="152"/>
      <c r="C2069" s="55">
        <f>E2069+D2069+F2069</f>
        <v>55909</v>
      </c>
      <c r="D2069" s="11">
        <v>0</v>
      </c>
      <c r="E2069" s="12">
        <v>0</v>
      </c>
      <c r="F2069" s="55">
        <f>ROUNDDOWN(SUMIF(N2037:N2054,M2069,E2037:E2054),0)+ROUNDDOWN(SUMIF(N2037:N2054,M2069,D2037:D2054),0)+ROUNDDOWN(SUMIF(N2037:N2054,M2069,F2037:F2054),0)</f>
        <v>55909</v>
      </c>
      <c r="M2069" s="20" t="s">
        <v>1128</v>
      </c>
      <c r="Z2069" s="109"/>
      <c r="AA2069" s="109"/>
      <c r="AB2069" s="109"/>
      <c r="AC2069" s="109"/>
      <c r="AD2069" s="109"/>
      <c r="AE2069" s="109"/>
      <c r="AF2069" s="109"/>
      <c r="AG2069" s="109"/>
      <c r="AH2069" s="109"/>
      <c r="AI2069" s="109"/>
      <c r="AJ2069" s="109"/>
      <c r="AK2069" s="109"/>
      <c r="AL2069" s="109"/>
      <c r="AM2069" s="109"/>
      <c r="AN2069" s="109"/>
      <c r="AO2069" s="109"/>
      <c r="AP2069" s="109"/>
      <c r="AQ2069" s="109"/>
      <c r="AR2069" s="109"/>
      <c r="AS2069" s="109"/>
    </row>
    <row r="2070" spans="1:45" ht="12.6" customHeight="1" x14ac:dyDescent="0.3">
      <c r="A2070" s="95" t="s">
        <v>153</v>
      </c>
      <c r="B2070" s="96" t="s">
        <v>153</v>
      </c>
      <c r="C2070" s="158">
        <f>C2104</f>
        <v>41739</v>
      </c>
      <c r="D2070" s="158">
        <f>D2104</f>
        <v>36155</v>
      </c>
      <c r="E2070" s="158">
        <f>E2104</f>
        <v>4500</v>
      </c>
      <c r="F2070" s="158">
        <f>F2104</f>
        <v>1084</v>
      </c>
      <c r="G2070" s="36" t="str">
        <f>HYPERLINK("#G"&amp;ROW(G2099),"_x0005_`BDCOD|D02246_x0007_`POSS|"&amp;ROW(G2072)&amp;"_x0007_`POSE|"&amp;ROW(G2099)&amp;"_x0007_`")</f>
        <v>_x0005_`BDCOD|D02246_x0007_`POSS|2072_x0007_`POSE|2099_x0007_`</v>
      </c>
      <c r="Z2070" s="109"/>
      <c r="AA2070" s="109"/>
      <c r="AB2070" s="109"/>
      <c r="AC2070" s="109"/>
      <c r="AD2070" s="109"/>
      <c r="AE2070" s="109"/>
      <c r="AF2070" s="109"/>
      <c r="AG2070" s="109"/>
      <c r="AH2070" s="109"/>
      <c r="AI2070" s="109"/>
      <c r="AJ2070" s="109"/>
      <c r="AK2070" s="109"/>
      <c r="AL2070" s="109"/>
      <c r="AM2070" s="109"/>
      <c r="AN2070" s="109"/>
      <c r="AO2070" s="109"/>
      <c r="AP2070" s="109"/>
      <c r="AQ2070" s="109"/>
      <c r="AR2070" s="109"/>
      <c r="AS2070" s="109"/>
    </row>
    <row r="2071" spans="1:45" ht="12.6" customHeight="1" x14ac:dyDescent="0.3">
      <c r="A2071" s="84"/>
      <c r="B2071" s="96" t="s">
        <v>280</v>
      </c>
      <c r="C2071" s="141"/>
      <c r="D2071" s="141"/>
      <c r="E2071" s="141"/>
      <c r="F2071" s="141"/>
      <c r="M2071" s="20" t="s">
        <v>279</v>
      </c>
      <c r="Z2071" s="109"/>
      <c r="AA2071" s="109"/>
      <c r="AB2071" s="109"/>
      <c r="AC2071" s="109"/>
      <c r="AD2071" s="109"/>
      <c r="AE2071" s="109"/>
      <c r="AF2071" s="109"/>
      <c r="AG2071" s="109"/>
      <c r="AH2071" s="109"/>
      <c r="AI2071" s="109"/>
      <c r="AJ2071" s="109"/>
      <c r="AK2071" s="109"/>
      <c r="AL2071" s="109"/>
      <c r="AM2071" s="109"/>
      <c r="AN2071" s="109"/>
      <c r="AO2071" s="109"/>
      <c r="AP2071" s="109"/>
      <c r="AQ2071" s="109"/>
      <c r="AR2071" s="109"/>
      <c r="AS2071" s="109"/>
    </row>
    <row r="2072" spans="1:45" ht="12.6" customHeight="1" x14ac:dyDescent="0.3">
      <c r="A2072" s="68"/>
      <c r="B2072" s="77" t="s">
        <v>1980</v>
      </c>
      <c r="C2072" s="98"/>
      <c r="D2072" s="98"/>
      <c r="E2072" s="98"/>
      <c r="F2072" s="98"/>
      <c r="G2072" s="16" t="s">
        <v>1979</v>
      </c>
      <c r="Z2072" s="109"/>
      <c r="AA2072" s="109"/>
      <c r="AB2072" s="109"/>
      <c r="AC2072" s="109"/>
      <c r="AD2072" s="109"/>
      <c r="AE2072" s="109"/>
      <c r="AF2072" s="109"/>
      <c r="AG2072" s="109"/>
      <c r="AH2072" s="109"/>
      <c r="AI2072" s="109"/>
      <c r="AJ2072" s="109"/>
      <c r="AK2072" s="109"/>
      <c r="AL2072" s="109"/>
      <c r="AM2072" s="109"/>
      <c r="AN2072" s="109"/>
      <c r="AO2072" s="109"/>
      <c r="AP2072" s="109"/>
      <c r="AQ2072" s="109"/>
      <c r="AR2072" s="109"/>
      <c r="AS2072" s="109"/>
    </row>
    <row r="2073" spans="1:45" ht="12.6" customHeight="1" x14ac:dyDescent="0.3">
      <c r="A2073" s="78"/>
      <c r="B2073" s="78"/>
      <c r="C2073" s="78"/>
      <c r="D2073" s="78"/>
      <c r="E2073" s="78"/>
      <c r="F2073" s="78"/>
      <c r="G2073" s="16" t="s">
        <v>1317</v>
      </c>
      <c r="Z2073" s="109"/>
      <c r="AA2073" s="109"/>
      <c r="AB2073" s="109"/>
      <c r="AC2073" s="109"/>
      <c r="AD2073" s="109"/>
      <c r="AE2073" s="109"/>
      <c r="AF2073" s="109"/>
      <c r="AG2073" s="109"/>
      <c r="AH2073" s="109"/>
      <c r="AI2073" s="109"/>
      <c r="AJ2073" s="109"/>
      <c r="AK2073" s="109"/>
      <c r="AL2073" s="109"/>
      <c r="AM2073" s="109"/>
      <c r="AN2073" s="109"/>
      <c r="AO2073" s="109"/>
      <c r="AP2073" s="109"/>
      <c r="AQ2073" s="109"/>
      <c r="AR2073" s="109"/>
      <c r="AS2073" s="109"/>
    </row>
    <row r="2074" spans="1:45" ht="12.6" customHeight="1" x14ac:dyDescent="0.3">
      <c r="A2074" s="68"/>
      <c r="B2074" s="77" t="s">
        <v>2035</v>
      </c>
      <c r="C2074" s="78"/>
      <c r="D2074" s="78"/>
      <c r="E2074" s="78"/>
      <c r="F2074" s="78"/>
      <c r="G2074" s="16" t="s">
        <v>2034</v>
      </c>
      <c r="Z2074" s="109"/>
      <c r="AA2074" s="109"/>
      <c r="AB2074" s="109"/>
      <c r="AC2074" s="109"/>
      <c r="AD2074" s="109"/>
      <c r="AE2074" s="109"/>
      <c r="AF2074" s="109"/>
      <c r="AG2074" s="109"/>
      <c r="AH2074" s="109"/>
      <c r="AI2074" s="109"/>
      <c r="AJ2074" s="109"/>
      <c r="AK2074" s="109"/>
      <c r="AL2074" s="109"/>
      <c r="AM2074" s="109"/>
      <c r="AN2074" s="109"/>
      <c r="AO2074" s="109"/>
      <c r="AP2074" s="109"/>
      <c r="AQ2074" s="109"/>
      <c r="AR2074" s="109"/>
      <c r="AS2074" s="109"/>
    </row>
    <row r="2075" spans="1:45" ht="12.6" customHeight="1" x14ac:dyDescent="0.3">
      <c r="A2075" s="78"/>
      <c r="B2075" s="78"/>
      <c r="C2075" s="78"/>
      <c r="D2075" s="78"/>
      <c r="E2075" s="78"/>
      <c r="F2075" s="78"/>
      <c r="G2075" s="16" t="s">
        <v>1317</v>
      </c>
      <c r="Z2075" s="109"/>
      <c r="AA2075" s="109"/>
      <c r="AB2075" s="109"/>
      <c r="AC2075" s="109"/>
      <c r="AD2075" s="109"/>
      <c r="AE2075" s="109"/>
      <c r="AF2075" s="109"/>
      <c r="AG2075" s="109"/>
      <c r="AH2075" s="109"/>
      <c r="AI2075" s="109"/>
      <c r="AJ2075" s="109"/>
      <c r="AK2075" s="109"/>
      <c r="AL2075" s="109"/>
      <c r="AM2075" s="109"/>
      <c r="AN2075" s="109"/>
      <c r="AO2075" s="109"/>
      <c r="AP2075" s="109"/>
      <c r="AQ2075" s="109"/>
      <c r="AR2075" s="109"/>
      <c r="AS2075" s="109"/>
    </row>
    <row r="2076" spans="1:45" ht="12.6" customHeight="1" x14ac:dyDescent="0.3">
      <c r="A2076" s="68"/>
      <c r="B2076" s="77" t="s">
        <v>1984</v>
      </c>
      <c r="C2076" s="78"/>
      <c r="D2076" s="78"/>
      <c r="E2076" s="78"/>
      <c r="F2076" s="78"/>
      <c r="G2076" s="16" t="s">
        <v>1983</v>
      </c>
      <c r="Z2076" s="109"/>
      <c r="AA2076" s="109"/>
      <c r="AB2076" s="109"/>
      <c r="AC2076" s="109"/>
      <c r="AD2076" s="109"/>
      <c r="AE2076" s="109"/>
      <c r="AF2076" s="109"/>
      <c r="AG2076" s="109"/>
      <c r="AH2076" s="109"/>
      <c r="AI2076" s="109"/>
      <c r="AJ2076" s="109"/>
      <c r="AK2076" s="109"/>
      <c r="AL2076" s="109"/>
      <c r="AM2076" s="109"/>
      <c r="AN2076" s="109"/>
      <c r="AO2076" s="109"/>
      <c r="AP2076" s="109"/>
      <c r="AQ2076" s="109"/>
      <c r="AR2076" s="109"/>
      <c r="AS2076" s="109"/>
    </row>
    <row r="2077" spans="1:45" ht="12.6" customHeight="1" x14ac:dyDescent="0.3">
      <c r="A2077" s="78"/>
      <c r="B2077" s="78"/>
      <c r="C2077" s="78"/>
      <c r="D2077" s="78"/>
      <c r="E2077" s="78"/>
      <c r="F2077" s="78"/>
      <c r="G2077" s="16" t="s">
        <v>1317</v>
      </c>
      <c r="Z2077" s="109"/>
      <c r="AA2077" s="109"/>
      <c r="AB2077" s="109"/>
      <c r="AC2077" s="109"/>
      <c r="AD2077" s="109"/>
      <c r="AE2077" s="109"/>
      <c r="AF2077" s="109"/>
      <c r="AG2077" s="109"/>
      <c r="AH2077" s="109"/>
      <c r="AI2077" s="109"/>
      <c r="AJ2077" s="109"/>
      <c r="AK2077" s="109"/>
      <c r="AL2077" s="109"/>
      <c r="AM2077" s="109"/>
      <c r="AN2077" s="109"/>
      <c r="AO2077" s="109"/>
      <c r="AP2077" s="109"/>
      <c r="AQ2077" s="109"/>
      <c r="AR2077" s="109"/>
      <c r="AS2077" s="109"/>
    </row>
    <row r="2078" spans="1:45" ht="12.6" customHeight="1" x14ac:dyDescent="0.3">
      <c r="A2078" s="68" t="s">
        <v>1986</v>
      </c>
      <c r="B2078" s="97" t="str">
        <f>" 패널(유로폼) : "&amp;TEXT(I2078,"#,##0"&amp;IF(I2078&lt;&gt;INT(I2078),".###",""))&amp;" * "&amp;AA2078&amp;" / "&amp;AC2078&amp;" = "&amp;TEXT(C2078,"#,##0.0")&amp;""</f>
        <v xml:space="preserve"> 패널(유로폼) : 31,500 * 0.89 / 10 = 2,803.5</v>
      </c>
      <c r="C2078" s="99">
        <f>E2078+D2078+F2078</f>
        <v>2803.5</v>
      </c>
      <c r="D2078" s="99">
        <f>IF(H2078=0,0,ROUNDDOWN(J2078*H2078,1))</f>
        <v>0</v>
      </c>
      <c r="E2078" s="99">
        <f>IF(H2078=0,0,ROUNDDOWN(K2078*H2078,1))</f>
        <v>2803.5</v>
      </c>
      <c r="F2078" s="99">
        <f>IF(H2078=0,0,ROUNDDOWN(L2078*H2078,1))</f>
        <v>0</v>
      </c>
      <c r="G2078" s="16" t="s">
        <v>1985</v>
      </c>
      <c r="H2078" s="105">
        <f>AE2078</f>
        <v>8.8999999999999996E-2</v>
      </c>
      <c r="I2078" s="106">
        <f>K2078+J2078+L2078</f>
        <v>31500</v>
      </c>
      <c r="K2078" s="39">
        <f>재료비목록표!E19</f>
        <v>31500</v>
      </c>
      <c r="M2078" s="20" t="s">
        <v>1987</v>
      </c>
      <c r="N2078" s="20" t="s">
        <v>1332</v>
      </c>
      <c r="O2078" s="20" t="s">
        <v>1247</v>
      </c>
      <c r="X2078" s="108" t="str">
        <f>재료비목록표!B19&amp;" / "&amp;재료비목록표!C19</f>
        <v>패널(유로폼) / 600*1200mm</v>
      </c>
      <c r="Y2078" s="19" t="str">
        <f ca="1">HYPERLINK("#"&amp;재료비목록표!G2&amp;"!A"&amp;ROW(재료비목록표!A19),"자재   16 →")</f>
        <v>자재   16 →</v>
      </c>
      <c r="Z2078" s="20" t="s">
        <v>1338</v>
      </c>
      <c r="AA2078" s="110">
        <v>0.89</v>
      </c>
      <c r="AB2078" s="20" t="s">
        <v>1387</v>
      </c>
      <c r="AC2078" s="111">
        <v>10</v>
      </c>
      <c r="AD2078" s="20" t="s">
        <v>1326</v>
      </c>
      <c r="AE2078" s="113">
        <f>1*AA2078/AC2078</f>
        <v>8.8999999999999996E-2</v>
      </c>
      <c r="AF2078" s="109"/>
      <c r="AG2078" s="109"/>
      <c r="AH2078" s="109"/>
      <c r="AI2078" s="109"/>
      <c r="AJ2078" s="109"/>
      <c r="AK2078" s="109"/>
      <c r="AL2078" s="109"/>
      <c r="AM2078" s="109"/>
      <c r="AN2078" s="109"/>
      <c r="AO2078" s="109"/>
      <c r="AP2078" s="109"/>
      <c r="AQ2078" s="109"/>
      <c r="AR2078" s="109"/>
      <c r="AS2078" s="109"/>
    </row>
    <row r="2079" spans="1:45" ht="12.6" customHeight="1" x14ac:dyDescent="0.3">
      <c r="A2079" s="78"/>
      <c r="B2079" s="78"/>
      <c r="C2079" s="78"/>
      <c r="D2079" s="78"/>
      <c r="E2079" s="78"/>
      <c r="F2079" s="78"/>
      <c r="G2079" s="16" t="s">
        <v>1317</v>
      </c>
      <c r="Z2079" s="109"/>
      <c r="AA2079" s="109"/>
      <c r="AB2079" s="109"/>
      <c r="AC2079" s="109"/>
      <c r="AD2079" s="109"/>
      <c r="AE2079" s="109"/>
      <c r="AF2079" s="109"/>
      <c r="AG2079" s="109"/>
      <c r="AH2079" s="109"/>
      <c r="AI2079" s="109"/>
      <c r="AJ2079" s="109"/>
      <c r="AK2079" s="109"/>
      <c r="AL2079" s="109"/>
      <c r="AM2079" s="109"/>
      <c r="AN2079" s="109"/>
      <c r="AO2079" s="109"/>
      <c r="AP2079" s="109"/>
      <c r="AQ2079" s="109"/>
      <c r="AR2079" s="109"/>
      <c r="AS2079" s="109"/>
    </row>
    <row r="2080" spans="1:45" ht="12.6" customHeight="1" x14ac:dyDescent="0.3">
      <c r="A2080" s="68" t="s">
        <v>2037</v>
      </c>
      <c r="B2080" s="97" t="str">
        <f>" 내부코너패널(유로폼) : "&amp;TEXT(I2080,"#,##0"&amp;IF(I2080&lt;&gt;INT(I2080),".###",""))&amp;" * "&amp;AA2080&amp;" / "&amp;AC2080&amp;" = "&amp;TEXT(C2080,"#,##0.0")&amp;""</f>
        <v xml:space="preserve"> 내부코너패널(유로폼) : 21,000 * 0.03 / 10 = 63.0</v>
      </c>
      <c r="C2080" s="99">
        <f>E2080+D2080+F2080</f>
        <v>63</v>
      </c>
      <c r="D2080" s="99">
        <f>IF(H2080=0,0,ROUNDDOWN(J2080*H2080,1))</f>
        <v>0</v>
      </c>
      <c r="E2080" s="99">
        <f>IF(H2080=0,0,ROUNDDOWN(K2080*H2080,1))</f>
        <v>63</v>
      </c>
      <c r="F2080" s="99">
        <f>IF(H2080=0,0,ROUNDDOWN(L2080*H2080,1))</f>
        <v>0</v>
      </c>
      <c r="G2080" s="16" t="s">
        <v>2036</v>
      </c>
      <c r="H2080" s="105">
        <f>AE2080</f>
        <v>3.0000000000000001E-3</v>
      </c>
      <c r="I2080" s="106">
        <f>K2080+J2080+L2080</f>
        <v>21000</v>
      </c>
      <c r="K2080" s="39">
        <f>재료비목록표!E35</f>
        <v>21000</v>
      </c>
      <c r="M2080" s="20" t="s">
        <v>2038</v>
      </c>
      <c r="N2080" s="20" t="s">
        <v>1332</v>
      </c>
      <c r="O2080" s="20" t="s">
        <v>1247</v>
      </c>
      <c r="X2080" s="108" t="str">
        <f>재료비목록표!B35&amp;" / "&amp;재료비목록표!C35</f>
        <v>내부코너패널(유로폼) / (100x200)x1200mm</v>
      </c>
      <c r="Y2080" s="19" t="str">
        <f ca="1">HYPERLINK("#"&amp;재료비목록표!G2&amp;"!A"&amp;ROW(재료비목록표!A35),"자재   32 →")</f>
        <v>자재   32 →</v>
      </c>
      <c r="Z2080" s="20" t="s">
        <v>1338</v>
      </c>
      <c r="AA2080" s="110">
        <v>0.03</v>
      </c>
      <c r="AB2080" s="20" t="s">
        <v>1387</v>
      </c>
      <c r="AC2080" s="111">
        <v>10</v>
      </c>
      <c r="AD2080" s="20" t="s">
        <v>1326</v>
      </c>
      <c r="AE2080" s="113">
        <f>1*AA2080/AC2080</f>
        <v>3.0000000000000001E-3</v>
      </c>
      <c r="AF2080" s="109"/>
      <c r="AG2080" s="109"/>
      <c r="AH2080" s="109"/>
      <c r="AI2080" s="109"/>
      <c r="AJ2080" s="109"/>
      <c r="AK2080" s="109"/>
      <c r="AL2080" s="109"/>
      <c r="AM2080" s="109"/>
      <c r="AN2080" s="109"/>
      <c r="AO2080" s="109"/>
      <c r="AP2080" s="109"/>
      <c r="AQ2080" s="109"/>
      <c r="AR2080" s="109"/>
      <c r="AS2080" s="109"/>
    </row>
    <row r="2081" spans="1:45" ht="12.6" customHeight="1" x14ac:dyDescent="0.3">
      <c r="A2081" s="78"/>
      <c r="B2081" s="78"/>
      <c r="C2081" s="78"/>
      <c r="D2081" s="78"/>
      <c r="E2081" s="78"/>
      <c r="F2081" s="78"/>
      <c r="G2081" s="16" t="s">
        <v>1317</v>
      </c>
      <c r="Z2081" s="109"/>
      <c r="AA2081" s="109"/>
      <c r="AB2081" s="109"/>
      <c r="AC2081" s="109"/>
      <c r="AD2081" s="109"/>
      <c r="AE2081" s="109"/>
      <c r="AF2081" s="109"/>
      <c r="AG2081" s="109"/>
      <c r="AH2081" s="109"/>
      <c r="AI2081" s="109"/>
      <c r="AJ2081" s="109"/>
      <c r="AK2081" s="109"/>
      <c r="AL2081" s="109"/>
      <c r="AM2081" s="109"/>
      <c r="AN2081" s="109"/>
      <c r="AO2081" s="109"/>
      <c r="AP2081" s="109"/>
      <c r="AQ2081" s="109"/>
      <c r="AR2081" s="109"/>
      <c r="AS2081" s="109"/>
    </row>
    <row r="2082" spans="1:45" ht="12.6" customHeight="1" x14ac:dyDescent="0.3">
      <c r="A2082" s="68"/>
      <c r="B2082" s="97" t="str">
        <f>" 부자재(웨지핀, 플랫타이, 강관파이프, 훅) : "&amp;TEXT(I2082,"#,##0.0")&amp;" * "&amp;AA2082&amp;" %  = "&amp;TEXT(C2082,"#,##0.0")&amp;""</f>
        <v xml:space="preserve"> 부자재(웨지핀, 플랫타이, 강관파이프, 훅) : 2,866.5 * 52 %  = 1,490.5</v>
      </c>
      <c r="C2082" s="99">
        <f>E2082+D2082+F2082</f>
        <v>1490.5</v>
      </c>
      <c r="D2082" s="99">
        <f>IF(H2082=0,0,ROUNDDOWN(J2082*H2082/100,1))</f>
        <v>0</v>
      </c>
      <c r="E2082" s="99">
        <f>IF(H2082=0,0,ROUNDDOWN(K2082*H2082/100,1))</f>
        <v>1490.5</v>
      </c>
      <c r="F2082" s="99">
        <f>IF(H2082=0,0,ROUNDDOWN(L2082*H2082/100,1))</f>
        <v>0</v>
      </c>
      <c r="G2082" s="16" t="s">
        <v>2039</v>
      </c>
      <c r="H2082" s="105">
        <f>AC2082</f>
        <v>52</v>
      </c>
      <c r="I2082" s="106">
        <f>K2082+J2082+L2082</f>
        <v>2866.5</v>
      </c>
      <c r="J2082" s="37">
        <v>0</v>
      </c>
      <c r="K2082" s="39">
        <f>SUMIF(O2072:O2081,"1_01",E2072:E2081)</f>
        <v>2866.5</v>
      </c>
      <c r="L2082" s="37">
        <v>0</v>
      </c>
      <c r="M2082" s="20" t="s">
        <v>1367</v>
      </c>
      <c r="N2082" s="20" t="s">
        <v>1332</v>
      </c>
      <c r="Z2082" s="20" t="s">
        <v>1338</v>
      </c>
      <c r="AA2082" s="111">
        <v>52</v>
      </c>
      <c r="AB2082" s="20" t="s">
        <v>1326</v>
      </c>
      <c r="AC2082" s="113">
        <f>1*AA2082</f>
        <v>52</v>
      </c>
      <c r="AD2082" s="109"/>
      <c r="AE2082" s="109"/>
      <c r="AF2082" s="109"/>
      <c r="AG2082" s="109"/>
      <c r="AH2082" s="109"/>
      <c r="AI2082" s="109"/>
      <c r="AJ2082" s="109"/>
      <c r="AK2082" s="109"/>
      <c r="AL2082" s="109"/>
      <c r="AM2082" s="109"/>
      <c r="AN2082" s="109"/>
      <c r="AO2082" s="109"/>
      <c r="AP2082" s="109"/>
      <c r="AQ2082" s="109"/>
      <c r="AR2082" s="109"/>
      <c r="AS2082" s="109"/>
    </row>
    <row r="2083" spans="1:45" ht="12.6" customHeight="1" x14ac:dyDescent="0.3">
      <c r="A2083" s="78"/>
      <c r="B2083" s="78"/>
      <c r="C2083" s="78"/>
      <c r="D2083" s="78"/>
      <c r="E2083" s="78"/>
      <c r="F2083" s="78"/>
      <c r="G2083" s="16" t="s">
        <v>1317</v>
      </c>
      <c r="Z2083" s="109"/>
      <c r="AA2083" s="109"/>
      <c r="AB2083" s="109"/>
      <c r="AC2083" s="109"/>
      <c r="AD2083" s="109"/>
      <c r="AE2083" s="109"/>
      <c r="AF2083" s="109"/>
      <c r="AG2083" s="109"/>
      <c r="AH2083" s="109"/>
      <c r="AI2083" s="109"/>
      <c r="AJ2083" s="109"/>
      <c r="AK2083" s="109"/>
      <c r="AL2083" s="109"/>
      <c r="AM2083" s="109"/>
      <c r="AN2083" s="109"/>
      <c r="AO2083" s="109"/>
      <c r="AP2083" s="109"/>
      <c r="AQ2083" s="109"/>
      <c r="AR2083" s="109"/>
      <c r="AS2083" s="109"/>
    </row>
    <row r="2084" spans="1:45" ht="12.6" customHeight="1" x14ac:dyDescent="0.3">
      <c r="A2084" s="68"/>
      <c r="B2084" s="97" t="str">
        <f>" 소모자재(박리재 등) : "&amp;TEXT(I2084,"#,##0.0")&amp;" * "&amp;AA2084&amp;" %  = "&amp;TEXT(C2084,"#,##0.0")&amp;""</f>
        <v xml:space="preserve"> 소모자재(박리재 등) : 2,866.5 * 5 %  = 143.3</v>
      </c>
      <c r="C2084" s="99">
        <f>E2084+D2084+F2084</f>
        <v>143.30000000000001</v>
      </c>
      <c r="D2084" s="99">
        <f>IF(H2084=0,0,ROUNDDOWN(J2084*H2084/100,1))</f>
        <v>0</v>
      </c>
      <c r="E2084" s="99">
        <f>IF(H2084=0,0,ROUNDDOWN(K2084*H2084/100,1))</f>
        <v>143.30000000000001</v>
      </c>
      <c r="F2084" s="99">
        <f>IF(H2084=0,0,ROUNDDOWN(L2084*H2084/100,1))</f>
        <v>0</v>
      </c>
      <c r="G2084" s="16" t="s">
        <v>1992</v>
      </c>
      <c r="H2084" s="105">
        <f>AC2084</f>
        <v>5</v>
      </c>
      <c r="I2084" s="106">
        <f>K2084+J2084+L2084</f>
        <v>2866.5</v>
      </c>
      <c r="J2084" s="37">
        <v>0</v>
      </c>
      <c r="K2084" s="39">
        <f>SUMIF(O2072:O2083,"1_01",E2072:E2083)</f>
        <v>2866.5</v>
      </c>
      <c r="L2084" s="37">
        <v>0</v>
      </c>
      <c r="M2084" s="20" t="s">
        <v>1367</v>
      </c>
      <c r="N2084" s="20" t="s">
        <v>1332</v>
      </c>
      <c r="Z2084" s="20" t="s">
        <v>1338</v>
      </c>
      <c r="AA2084" s="111">
        <v>5</v>
      </c>
      <c r="AB2084" s="20" t="s">
        <v>1326</v>
      </c>
      <c r="AC2084" s="113">
        <f>1*AA2084</f>
        <v>5</v>
      </c>
      <c r="AD2084" s="109"/>
      <c r="AE2084" s="109"/>
      <c r="AF2084" s="109"/>
      <c r="AG2084" s="109"/>
      <c r="AH2084" s="109"/>
      <c r="AI2084" s="109"/>
      <c r="AJ2084" s="109"/>
      <c r="AK2084" s="109"/>
      <c r="AL2084" s="109"/>
      <c r="AM2084" s="109"/>
      <c r="AN2084" s="109"/>
      <c r="AO2084" s="109"/>
      <c r="AP2084" s="109"/>
      <c r="AQ2084" s="109"/>
      <c r="AR2084" s="109"/>
      <c r="AS2084" s="109"/>
    </row>
    <row r="2085" spans="1:45" ht="12.6" customHeight="1" x14ac:dyDescent="0.3">
      <c r="A2085" s="78"/>
      <c r="B2085" s="78"/>
      <c r="C2085" s="78"/>
      <c r="D2085" s="78"/>
      <c r="E2085" s="78"/>
      <c r="F2085" s="78"/>
      <c r="G2085" s="16" t="s">
        <v>1317</v>
      </c>
      <c r="Z2085" s="109"/>
      <c r="AA2085" s="109"/>
      <c r="AB2085" s="109"/>
      <c r="AC2085" s="109"/>
      <c r="AD2085" s="109"/>
      <c r="AE2085" s="109"/>
      <c r="AF2085" s="109"/>
      <c r="AG2085" s="109"/>
      <c r="AH2085" s="109"/>
      <c r="AI2085" s="109"/>
      <c r="AJ2085" s="109"/>
      <c r="AK2085" s="109"/>
      <c r="AL2085" s="109"/>
      <c r="AM2085" s="109"/>
      <c r="AN2085" s="109"/>
      <c r="AO2085" s="109"/>
      <c r="AP2085" s="109"/>
      <c r="AQ2085" s="109"/>
      <c r="AR2085" s="109"/>
      <c r="AS2085" s="109"/>
    </row>
    <row r="2086" spans="1:45" ht="12.6" customHeight="1" x14ac:dyDescent="0.3">
      <c r="A2086" s="68"/>
      <c r="B2086" s="77" t="s">
        <v>1331</v>
      </c>
      <c r="C2086" s="100">
        <f>E2086+D2086+F2086</f>
        <v>4500.3</v>
      </c>
      <c r="D2086" s="100">
        <f>SUMIF(N2072:N2085,M2086,D2072:D2085)</f>
        <v>0</v>
      </c>
      <c r="E2086" s="100">
        <f>SUMIF(N2072:N2085,M2086,E2072:E2085)</f>
        <v>4500.3</v>
      </c>
      <c r="F2086" s="100">
        <f>SUMIF(N2072:N2085,M2086,F2072:F2085)</f>
        <v>0</v>
      </c>
      <c r="G2086" s="16" t="s">
        <v>1415</v>
      </c>
      <c r="M2086" s="20" t="s">
        <v>1332</v>
      </c>
      <c r="N2086" s="20" t="s">
        <v>1341</v>
      </c>
      <c r="Z2086" s="109"/>
      <c r="AA2086" s="109"/>
      <c r="AB2086" s="109"/>
      <c r="AC2086" s="109"/>
      <c r="AD2086" s="109"/>
      <c r="AE2086" s="109"/>
      <c r="AF2086" s="109"/>
      <c r="AG2086" s="109"/>
      <c r="AH2086" s="109"/>
      <c r="AI2086" s="109"/>
      <c r="AJ2086" s="109"/>
      <c r="AK2086" s="109"/>
      <c r="AL2086" s="109"/>
      <c r="AM2086" s="109"/>
      <c r="AN2086" s="109"/>
      <c r="AO2086" s="109"/>
      <c r="AP2086" s="109"/>
      <c r="AQ2086" s="109"/>
      <c r="AR2086" s="109"/>
      <c r="AS2086" s="109"/>
    </row>
    <row r="2087" spans="1:45" ht="12.6" customHeight="1" x14ac:dyDescent="0.3">
      <c r="A2087" s="78"/>
      <c r="B2087" s="78"/>
      <c r="C2087" s="98"/>
      <c r="D2087" s="98"/>
      <c r="E2087" s="98"/>
      <c r="F2087" s="98"/>
      <c r="G2087" s="16" t="s">
        <v>1317</v>
      </c>
      <c r="Z2087" s="109"/>
      <c r="AA2087" s="109"/>
      <c r="AB2087" s="109"/>
      <c r="AC2087" s="109"/>
      <c r="AD2087" s="109"/>
      <c r="AE2087" s="109"/>
      <c r="AF2087" s="109"/>
      <c r="AG2087" s="109"/>
      <c r="AH2087" s="109"/>
      <c r="AI2087" s="109"/>
      <c r="AJ2087" s="109"/>
      <c r="AK2087" s="109"/>
      <c r="AL2087" s="109"/>
      <c r="AM2087" s="109"/>
      <c r="AN2087" s="109"/>
      <c r="AO2087" s="109"/>
      <c r="AP2087" s="109"/>
      <c r="AQ2087" s="109"/>
      <c r="AR2087" s="109"/>
      <c r="AS2087" s="109"/>
    </row>
    <row r="2088" spans="1:45" ht="12.6" customHeight="1" x14ac:dyDescent="0.3">
      <c r="A2088" s="78"/>
      <c r="B2088" s="78"/>
      <c r="C2088" s="78"/>
      <c r="D2088" s="78"/>
      <c r="E2088" s="78"/>
      <c r="F2088" s="78"/>
      <c r="G2088" s="16" t="s">
        <v>1317</v>
      </c>
      <c r="Z2088" s="109"/>
      <c r="AA2088" s="109"/>
      <c r="AB2088" s="109"/>
      <c r="AC2088" s="109"/>
      <c r="AD2088" s="109"/>
      <c r="AE2088" s="109"/>
      <c r="AF2088" s="109"/>
      <c r="AG2088" s="109"/>
      <c r="AH2088" s="109"/>
      <c r="AI2088" s="109"/>
      <c r="AJ2088" s="109"/>
      <c r="AK2088" s="109"/>
      <c r="AL2088" s="109"/>
      <c r="AM2088" s="109"/>
      <c r="AN2088" s="109"/>
      <c r="AO2088" s="109"/>
      <c r="AP2088" s="109"/>
      <c r="AQ2088" s="109"/>
      <c r="AR2088" s="109"/>
      <c r="AS2088" s="109"/>
    </row>
    <row r="2089" spans="1:45" ht="12.6" customHeight="1" x14ac:dyDescent="0.3">
      <c r="A2089" s="68"/>
      <c r="B2089" s="77" t="s">
        <v>1994</v>
      </c>
      <c r="C2089" s="78"/>
      <c r="D2089" s="78"/>
      <c r="E2089" s="78"/>
      <c r="F2089" s="78"/>
      <c r="G2089" s="16" t="s">
        <v>1993</v>
      </c>
      <c r="Z2089" s="109"/>
      <c r="AA2089" s="109"/>
      <c r="AB2089" s="109"/>
      <c r="AC2089" s="109"/>
      <c r="AD2089" s="109"/>
      <c r="AE2089" s="109"/>
      <c r="AF2089" s="109"/>
      <c r="AG2089" s="109"/>
      <c r="AH2089" s="109"/>
      <c r="AI2089" s="109"/>
      <c r="AJ2089" s="109"/>
      <c r="AK2089" s="109"/>
      <c r="AL2089" s="109"/>
      <c r="AM2089" s="109"/>
      <c r="AN2089" s="109"/>
      <c r="AO2089" s="109"/>
      <c r="AP2089" s="109"/>
      <c r="AQ2089" s="109"/>
      <c r="AR2089" s="109"/>
      <c r="AS2089" s="109"/>
    </row>
    <row r="2090" spans="1:45" ht="12.6" customHeight="1" x14ac:dyDescent="0.3">
      <c r="A2090" s="78"/>
      <c r="B2090" s="78"/>
      <c r="C2090" s="78"/>
      <c r="D2090" s="78"/>
      <c r="E2090" s="78"/>
      <c r="F2090" s="78"/>
      <c r="G2090" s="16" t="s">
        <v>1317</v>
      </c>
      <c r="Z2090" s="109"/>
      <c r="AA2090" s="109"/>
      <c r="AB2090" s="109"/>
      <c r="AC2090" s="109"/>
      <c r="AD2090" s="109"/>
      <c r="AE2090" s="109"/>
      <c r="AF2090" s="109"/>
      <c r="AG2090" s="109"/>
      <c r="AH2090" s="109"/>
      <c r="AI2090" s="109"/>
      <c r="AJ2090" s="109"/>
      <c r="AK2090" s="109"/>
      <c r="AL2090" s="109"/>
      <c r="AM2090" s="109"/>
      <c r="AN2090" s="109"/>
      <c r="AO2090" s="109"/>
      <c r="AP2090" s="109"/>
      <c r="AQ2090" s="109"/>
      <c r="AR2090" s="109"/>
      <c r="AS2090" s="109"/>
    </row>
    <row r="2091" spans="1:45" ht="12.6" customHeight="1" x14ac:dyDescent="0.3">
      <c r="A2091" s="68" t="s">
        <v>651</v>
      </c>
      <c r="B2091" s="97" t="str">
        <f>" 형틀목공 : "&amp;TEXT(I2091,"#,##0"&amp;IF(I2091&lt;&gt;INT(I2091),".###",""))&amp;" * "&amp;AA2091&amp;" / "&amp;AC2091&amp;" = "&amp;TEXT(C2091,"#,##0.0")&amp;""</f>
        <v xml:space="preserve"> 형틀목공 : 274,978 * 4 / 35 = 31,426.0</v>
      </c>
      <c r="C2091" s="99">
        <f>E2091+D2091+F2091</f>
        <v>31426</v>
      </c>
      <c r="D2091" s="99">
        <f>IF(H2091=0,0,ROUNDDOWN(J2091*H2091,1))</f>
        <v>31426</v>
      </c>
      <c r="E2091" s="99">
        <f>IF(H2091=0,0,ROUNDDOWN(K2091*H2091,1))</f>
        <v>0</v>
      </c>
      <c r="F2091" s="99">
        <f>IF(H2091=0,0,ROUNDDOWN(L2091*H2091,1))</f>
        <v>0</v>
      </c>
      <c r="G2091" s="16" t="s">
        <v>2040</v>
      </c>
      <c r="H2091" s="105">
        <f>AE2091</f>
        <v>0.11428571428571428</v>
      </c>
      <c r="I2091" s="106">
        <f>K2091+J2091+L2091</f>
        <v>274978</v>
      </c>
      <c r="J2091" s="39">
        <f>노무비목록표!E5</f>
        <v>274978</v>
      </c>
      <c r="M2091" s="20" t="s">
        <v>1996</v>
      </c>
      <c r="N2091" s="20" t="s">
        <v>1332</v>
      </c>
      <c r="O2091" s="20" t="s">
        <v>1359</v>
      </c>
      <c r="X2091" s="108" t="str">
        <f>노무비목록표!B5&amp;" / "&amp;노무비목록표!C5</f>
        <v xml:space="preserve">형틀목공 / </v>
      </c>
      <c r="Y2091" s="19" t="str">
        <f ca="1">HYPERLINK("#"&amp;노무비목록표!G2&amp;"!A"&amp;ROW(노무비목록표!A5),"노무    2 →")</f>
        <v>노무    2 →</v>
      </c>
      <c r="Z2091" s="20" t="s">
        <v>1338</v>
      </c>
      <c r="AA2091" s="111">
        <v>4</v>
      </c>
      <c r="AB2091" s="20" t="s">
        <v>1387</v>
      </c>
      <c r="AC2091" s="111">
        <v>35</v>
      </c>
      <c r="AD2091" s="20" t="s">
        <v>1326</v>
      </c>
      <c r="AE2091" s="113">
        <f>1*AA2091/AC2091</f>
        <v>0.11428571428571428</v>
      </c>
      <c r="AF2091" s="109"/>
      <c r="AG2091" s="109"/>
      <c r="AH2091" s="109"/>
      <c r="AI2091" s="109"/>
      <c r="AJ2091" s="109"/>
      <c r="AK2091" s="109"/>
      <c r="AL2091" s="109"/>
      <c r="AM2091" s="109"/>
      <c r="AN2091" s="109"/>
      <c r="AO2091" s="109"/>
      <c r="AP2091" s="109"/>
      <c r="AQ2091" s="109"/>
      <c r="AR2091" s="109"/>
      <c r="AS2091" s="109"/>
    </row>
    <row r="2092" spans="1:45" ht="12.6" customHeight="1" x14ac:dyDescent="0.3">
      <c r="A2092" s="78"/>
      <c r="B2092" s="78"/>
      <c r="C2092" s="78"/>
      <c r="D2092" s="78"/>
      <c r="E2092" s="78"/>
      <c r="F2092" s="78"/>
      <c r="G2092" s="16" t="s">
        <v>1317</v>
      </c>
      <c r="Z2092" s="109"/>
      <c r="AA2092" s="109"/>
      <c r="AB2092" s="109"/>
      <c r="AC2092" s="109"/>
      <c r="AD2092" s="109"/>
      <c r="AE2092" s="109"/>
      <c r="AF2092" s="109"/>
      <c r="AG2092" s="109"/>
      <c r="AH2092" s="109"/>
      <c r="AI2092" s="109"/>
      <c r="AJ2092" s="109"/>
      <c r="AK2092" s="109"/>
      <c r="AL2092" s="109"/>
      <c r="AM2092" s="109"/>
      <c r="AN2092" s="109"/>
      <c r="AO2092" s="109"/>
      <c r="AP2092" s="109"/>
      <c r="AQ2092" s="109"/>
      <c r="AR2092" s="109"/>
      <c r="AS2092" s="109"/>
    </row>
    <row r="2093" spans="1:45" ht="12.6" customHeight="1" x14ac:dyDescent="0.3">
      <c r="A2093" s="68" t="s">
        <v>663</v>
      </c>
      <c r="B2093" s="97" t="str">
        <f>" 보통인부 : "&amp;TEXT(I2093,"#,##0"&amp;IF(I2093&lt;&gt;INT(I2093),".###",""))&amp;" * "&amp;AA2093&amp;" / "&amp;AC2093&amp;" = "&amp;TEXT(C2093,"#,##0.0")&amp;""</f>
        <v xml:space="preserve"> 보통인부 : 165,545 * 1 / 35 = 4,729.8</v>
      </c>
      <c r="C2093" s="99">
        <f>E2093+D2093+F2093</f>
        <v>4729.8</v>
      </c>
      <c r="D2093" s="99">
        <f>IF(H2093=0,0,ROUNDDOWN(J2093*H2093,1))</f>
        <v>4729.8</v>
      </c>
      <c r="E2093" s="99">
        <f>IF(H2093=0,0,ROUNDDOWN(K2093*H2093,1))</f>
        <v>0</v>
      </c>
      <c r="F2093" s="99">
        <f>IF(H2093=0,0,ROUNDDOWN(L2093*H2093,1))</f>
        <v>0</v>
      </c>
      <c r="G2093" s="16" t="s">
        <v>2041</v>
      </c>
      <c r="H2093" s="105">
        <f>AE2093</f>
        <v>2.8571428571428571E-2</v>
      </c>
      <c r="I2093" s="106">
        <f>K2093+J2093+L2093</f>
        <v>165545</v>
      </c>
      <c r="J2093" s="39">
        <f>노무비목록표!E9</f>
        <v>165545</v>
      </c>
      <c r="M2093" s="20" t="s">
        <v>1126</v>
      </c>
      <c r="N2093" s="20" t="s">
        <v>1332</v>
      </c>
      <c r="O2093" s="20" t="s">
        <v>1359</v>
      </c>
      <c r="X2093" s="108" t="str">
        <f>노무비목록표!B9&amp;" / "&amp;노무비목록표!C9</f>
        <v xml:space="preserve">보통인부 / </v>
      </c>
      <c r="Y2093" s="19" t="str">
        <f ca="1">HYPERLINK("#"&amp;노무비목록표!G2&amp;"!A"&amp;ROW(노무비목록표!A9),"노무    6 →")</f>
        <v>노무    6 →</v>
      </c>
      <c r="Z2093" s="20" t="s">
        <v>1338</v>
      </c>
      <c r="AA2093" s="111">
        <v>1</v>
      </c>
      <c r="AB2093" s="20" t="s">
        <v>1387</v>
      </c>
      <c r="AC2093" s="111">
        <v>35</v>
      </c>
      <c r="AD2093" s="20" t="s">
        <v>1326</v>
      </c>
      <c r="AE2093" s="113">
        <f>1*AA2093/AC2093</f>
        <v>2.8571428571428571E-2</v>
      </c>
      <c r="AF2093" s="109"/>
      <c r="AG2093" s="109"/>
      <c r="AH2093" s="109"/>
      <c r="AI2093" s="109"/>
      <c r="AJ2093" s="109"/>
      <c r="AK2093" s="109"/>
      <c r="AL2093" s="109"/>
      <c r="AM2093" s="109"/>
      <c r="AN2093" s="109"/>
      <c r="AO2093" s="109"/>
      <c r="AP2093" s="109"/>
      <c r="AQ2093" s="109"/>
      <c r="AR2093" s="109"/>
      <c r="AS2093" s="109"/>
    </row>
    <row r="2094" spans="1:45" ht="12.6" customHeight="1" x14ac:dyDescent="0.3">
      <c r="A2094" s="78"/>
      <c r="B2094" s="78"/>
      <c r="C2094" s="78"/>
      <c r="D2094" s="78"/>
      <c r="E2094" s="78"/>
      <c r="F2094" s="78"/>
      <c r="G2094" s="16" t="s">
        <v>1317</v>
      </c>
      <c r="Z2094" s="109"/>
      <c r="AA2094" s="109"/>
      <c r="AB2094" s="109"/>
      <c r="AC2094" s="109"/>
      <c r="AD2094" s="109"/>
      <c r="AE2094" s="109"/>
      <c r="AF2094" s="109"/>
      <c r="AG2094" s="109"/>
      <c r="AH2094" s="109"/>
      <c r="AI2094" s="109"/>
      <c r="AJ2094" s="109"/>
      <c r="AK2094" s="109"/>
      <c r="AL2094" s="109"/>
      <c r="AM2094" s="109"/>
      <c r="AN2094" s="109"/>
      <c r="AO2094" s="109"/>
      <c r="AP2094" s="109"/>
      <c r="AQ2094" s="109"/>
      <c r="AR2094" s="109"/>
      <c r="AS2094" s="109"/>
    </row>
    <row r="2095" spans="1:45" ht="12.6" customHeight="1" x14ac:dyDescent="0.3">
      <c r="A2095" s="68"/>
      <c r="B2095" s="97" t="str">
        <f>" 공구손료 및 경장비 기계경비 : "&amp;TEXT(I2095,"#,##0.0")&amp;" * "&amp;AA2095&amp;" %  = "&amp;TEXT(C2095,"#,##0.0")&amp;""</f>
        <v xml:space="preserve"> 공구손료 및 경장비 기계경비 : 36,155.8 * 3 %  = 1,084.6</v>
      </c>
      <c r="C2095" s="99">
        <f>E2095+D2095+F2095</f>
        <v>1084.5999999999999</v>
      </c>
      <c r="D2095" s="99">
        <f>IF(H2095=0,0,ROUNDDOWN(J2095*H2095/100,1))</f>
        <v>0</v>
      </c>
      <c r="E2095" s="99">
        <f>IF(H2095=0,0,ROUNDDOWN(K2095*H2095/100,1))</f>
        <v>0</v>
      </c>
      <c r="F2095" s="99">
        <f>IF(H2095=0,0,ROUNDDOWN(L2095*H2095/100,1))</f>
        <v>1084.5999999999999</v>
      </c>
      <c r="G2095" s="16" t="s">
        <v>1998</v>
      </c>
      <c r="H2095" s="105">
        <f>AC2095</f>
        <v>3</v>
      </c>
      <c r="I2095" s="106">
        <f>K2095+J2095+L2095</f>
        <v>36155.800000000003</v>
      </c>
      <c r="J2095" s="37">
        <v>0</v>
      </c>
      <c r="K2095" s="37">
        <v>0</v>
      </c>
      <c r="L2095" s="39">
        <f>SUMIF(O2072:O2094,"1_02",D2072:D2094)</f>
        <v>36155.800000000003</v>
      </c>
      <c r="M2095" s="20" t="s">
        <v>1367</v>
      </c>
      <c r="N2095" s="20" t="s">
        <v>1332</v>
      </c>
      <c r="Z2095" s="20" t="s">
        <v>1338</v>
      </c>
      <c r="AA2095" s="111">
        <v>3</v>
      </c>
      <c r="AB2095" s="20" t="s">
        <v>1326</v>
      </c>
      <c r="AC2095" s="113">
        <f>1*AA2095</f>
        <v>3</v>
      </c>
      <c r="AD2095" s="109"/>
      <c r="AE2095" s="109"/>
      <c r="AF2095" s="109"/>
      <c r="AG2095" s="109"/>
      <c r="AH2095" s="109"/>
      <c r="AI2095" s="109"/>
      <c r="AJ2095" s="109"/>
      <c r="AK2095" s="109"/>
      <c r="AL2095" s="109"/>
      <c r="AM2095" s="109"/>
      <c r="AN2095" s="109"/>
      <c r="AO2095" s="109"/>
      <c r="AP2095" s="109"/>
      <c r="AQ2095" s="109"/>
      <c r="AR2095" s="109"/>
      <c r="AS2095" s="109"/>
    </row>
    <row r="2096" spans="1:45" ht="12.6" customHeight="1" x14ac:dyDescent="0.3">
      <c r="A2096" s="78"/>
      <c r="B2096" s="78"/>
      <c r="C2096" s="78"/>
      <c r="D2096" s="78"/>
      <c r="E2096" s="78"/>
      <c r="F2096" s="78"/>
      <c r="G2096" s="16" t="s">
        <v>1317</v>
      </c>
      <c r="Z2096" s="109"/>
      <c r="AA2096" s="109"/>
      <c r="AB2096" s="109"/>
      <c r="AC2096" s="109"/>
      <c r="AD2096" s="109"/>
      <c r="AE2096" s="109"/>
      <c r="AF2096" s="109"/>
      <c r="AG2096" s="109"/>
      <c r="AH2096" s="109"/>
      <c r="AI2096" s="109"/>
      <c r="AJ2096" s="109"/>
      <c r="AK2096" s="109"/>
      <c r="AL2096" s="109"/>
      <c r="AM2096" s="109"/>
      <c r="AN2096" s="109"/>
      <c r="AO2096" s="109"/>
      <c r="AP2096" s="109"/>
      <c r="AQ2096" s="109"/>
      <c r="AR2096" s="109"/>
      <c r="AS2096" s="109"/>
    </row>
    <row r="2097" spans="1:45" ht="12.6" customHeight="1" x14ac:dyDescent="0.3">
      <c r="A2097" s="68"/>
      <c r="B2097" s="77" t="s">
        <v>1331</v>
      </c>
      <c r="C2097" s="100">
        <f>E2097+D2097+F2097</f>
        <v>37240.400000000001</v>
      </c>
      <c r="D2097" s="100">
        <f>SUMIF(N2087:N2096,M2097,D2087:D2096)</f>
        <v>36155.800000000003</v>
      </c>
      <c r="E2097" s="100">
        <f>SUMIF(N2087:N2096,M2097,E2087:E2096)</f>
        <v>0</v>
      </c>
      <c r="F2097" s="100">
        <f>SUMIF(N2087:N2096,M2097,F2087:F2096)</f>
        <v>1084.5999999999999</v>
      </c>
      <c r="G2097" s="16" t="s">
        <v>1415</v>
      </c>
      <c r="M2097" s="20" t="s">
        <v>1332</v>
      </c>
      <c r="N2097" s="20" t="s">
        <v>1341</v>
      </c>
      <c r="Z2097" s="109"/>
      <c r="AA2097" s="109"/>
      <c r="AB2097" s="109"/>
      <c r="AC2097" s="109"/>
      <c r="AD2097" s="109"/>
      <c r="AE2097" s="109"/>
      <c r="AF2097" s="109"/>
      <c r="AG2097" s="109"/>
      <c r="AH2097" s="109"/>
      <c r="AI2097" s="109"/>
      <c r="AJ2097" s="109"/>
      <c r="AK2097" s="109"/>
      <c r="AL2097" s="109"/>
      <c r="AM2097" s="109"/>
      <c r="AN2097" s="109"/>
      <c r="AO2097" s="109"/>
      <c r="AP2097" s="109"/>
      <c r="AQ2097" s="109"/>
      <c r="AR2097" s="109"/>
      <c r="AS2097" s="109"/>
    </row>
    <row r="2098" spans="1:45" ht="12.6" customHeight="1" x14ac:dyDescent="0.3">
      <c r="A2098" s="78"/>
      <c r="B2098" s="78"/>
      <c r="C2098" s="98"/>
      <c r="D2098" s="98"/>
      <c r="E2098" s="98"/>
      <c r="F2098" s="98"/>
      <c r="G2098" s="16" t="s">
        <v>1317</v>
      </c>
      <c r="Z2098" s="109"/>
      <c r="AA2098" s="109"/>
      <c r="AB2098" s="109"/>
      <c r="AC2098" s="109"/>
      <c r="AD2098" s="109"/>
      <c r="AE2098" s="109"/>
      <c r="AF2098" s="109"/>
      <c r="AG2098" s="109"/>
      <c r="AH2098" s="109"/>
      <c r="AI2098" s="109"/>
      <c r="AJ2098" s="109"/>
      <c r="AK2098" s="109"/>
      <c r="AL2098" s="109"/>
      <c r="AM2098" s="109"/>
      <c r="AN2098" s="109"/>
      <c r="AO2098" s="109"/>
      <c r="AP2098" s="109"/>
      <c r="AQ2098" s="109"/>
      <c r="AR2098" s="109"/>
      <c r="AS2098" s="109"/>
    </row>
    <row r="2099" spans="1:45" ht="12.6" customHeight="1" x14ac:dyDescent="0.3">
      <c r="A2099" s="68"/>
      <c r="B2099" s="77" t="s">
        <v>1340</v>
      </c>
      <c r="C2099" s="100">
        <f>E2099+D2099+F2099</f>
        <v>41740.700000000004</v>
      </c>
      <c r="D2099" s="100">
        <f>SUMIF(N2072:N2098,M2099,D2072:D2098)</f>
        <v>36155.800000000003</v>
      </c>
      <c r="E2099" s="100">
        <f>SUMIF(N2072:N2098,M2099,E2072:E2098)</f>
        <v>4500.3</v>
      </c>
      <c r="F2099" s="100">
        <f>SUMIF(N2072:N2098,M2099,F2072:F2098)</f>
        <v>1084.5999999999999</v>
      </c>
      <c r="G2099" s="16" t="s">
        <v>1380</v>
      </c>
      <c r="M2099" s="20" t="s">
        <v>1341</v>
      </c>
      <c r="N2099" s="20" t="s">
        <v>1128</v>
      </c>
      <c r="Z2099" s="109"/>
      <c r="AA2099" s="109"/>
      <c r="AB2099" s="109"/>
      <c r="AC2099" s="109"/>
      <c r="AD2099" s="109"/>
      <c r="AE2099" s="109"/>
      <c r="AF2099" s="109"/>
      <c r="AG2099" s="109"/>
      <c r="AH2099" s="109"/>
      <c r="AI2099" s="109"/>
      <c r="AJ2099" s="109"/>
      <c r="AK2099" s="109"/>
      <c r="AL2099" s="109"/>
      <c r="AM2099" s="109"/>
      <c r="AN2099" s="109"/>
      <c r="AO2099" s="109"/>
      <c r="AP2099" s="109"/>
      <c r="AQ2099" s="109"/>
      <c r="AR2099" s="109"/>
      <c r="AS2099" s="109"/>
    </row>
    <row r="2100" spans="1:45" ht="12.6" customHeight="1" x14ac:dyDescent="0.3">
      <c r="A2100" s="78"/>
      <c r="B2100" s="78"/>
      <c r="C2100" s="98"/>
      <c r="D2100" s="98"/>
      <c r="E2100" s="98"/>
      <c r="F2100" s="98"/>
      <c r="Z2100" s="109"/>
      <c r="AA2100" s="109"/>
      <c r="AB2100" s="109"/>
      <c r="AC2100" s="109"/>
      <c r="AD2100" s="109"/>
      <c r="AE2100" s="109"/>
      <c r="AF2100" s="109"/>
      <c r="AG2100" s="109"/>
      <c r="AH2100" s="109"/>
      <c r="AI2100" s="109"/>
      <c r="AJ2100" s="109"/>
      <c r="AK2100" s="109"/>
      <c r="AL2100" s="109"/>
      <c r="AM2100" s="109"/>
      <c r="AN2100" s="109"/>
      <c r="AO2100" s="109"/>
      <c r="AP2100" s="109"/>
      <c r="AQ2100" s="109"/>
      <c r="AR2100" s="109"/>
      <c r="AS2100" s="109"/>
    </row>
    <row r="2101" spans="1:45" ht="12.6" customHeight="1" x14ac:dyDescent="0.3">
      <c r="A2101" s="78"/>
      <c r="B2101" s="78"/>
      <c r="C2101" s="78"/>
      <c r="D2101" s="78"/>
      <c r="E2101" s="78"/>
      <c r="F2101" s="78"/>
      <c r="Z2101" s="109"/>
      <c r="AA2101" s="109"/>
      <c r="AB2101" s="109"/>
      <c r="AC2101" s="109"/>
      <c r="AD2101" s="109"/>
      <c r="AE2101" s="109"/>
      <c r="AF2101" s="109"/>
      <c r="AG2101" s="109"/>
      <c r="AH2101" s="109"/>
      <c r="AI2101" s="109"/>
      <c r="AJ2101" s="109"/>
      <c r="AK2101" s="109"/>
      <c r="AL2101" s="109"/>
      <c r="AM2101" s="109"/>
      <c r="AN2101" s="109"/>
      <c r="AO2101" s="109"/>
      <c r="AP2101" s="109"/>
      <c r="AQ2101" s="109"/>
      <c r="AR2101" s="109"/>
      <c r="AS2101" s="109"/>
    </row>
    <row r="2102" spans="1:45" ht="12.6" customHeight="1" x14ac:dyDescent="0.3">
      <c r="A2102" s="78"/>
      <c r="B2102" s="78"/>
      <c r="C2102" s="78"/>
      <c r="D2102" s="78"/>
      <c r="E2102" s="78"/>
      <c r="F2102" s="78"/>
      <c r="Z2102" s="109"/>
      <c r="AA2102" s="109"/>
      <c r="AB2102" s="109"/>
      <c r="AC2102" s="109"/>
      <c r="AD2102" s="109"/>
      <c r="AE2102" s="109"/>
      <c r="AF2102" s="109"/>
      <c r="AG2102" s="109"/>
      <c r="AH2102" s="109"/>
      <c r="AI2102" s="109"/>
      <c r="AJ2102" s="109"/>
      <c r="AK2102" s="109"/>
      <c r="AL2102" s="109"/>
      <c r="AM2102" s="109"/>
      <c r="AN2102" s="109"/>
      <c r="AO2102" s="109"/>
      <c r="AP2102" s="109"/>
      <c r="AQ2102" s="109"/>
      <c r="AR2102" s="109"/>
      <c r="AS2102" s="109"/>
    </row>
    <row r="2103" spans="1:45" ht="12.6" customHeight="1" x14ac:dyDescent="0.3">
      <c r="A2103" s="58"/>
      <c r="B2103" s="58"/>
      <c r="C2103" s="58"/>
      <c r="D2103" s="58"/>
      <c r="E2103" s="58"/>
      <c r="F2103" s="58"/>
      <c r="Z2103" s="109"/>
      <c r="AA2103" s="109"/>
      <c r="AB2103" s="109"/>
      <c r="AC2103" s="109"/>
      <c r="AD2103" s="109"/>
      <c r="AE2103" s="109"/>
      <c r="AF2103" s="109"/>
      <c r="AG2103" s="109"/>
      <c r="AH2103" s="109"/>
      <c r="AI2103" s="109"/>
      <c r="AJ2103" s="109"/>
      <c r="AK2103" s="109"/>
      <c r="AL2103" s="109"/>
      <c r="AM2103" s="109"/>
      <c r="AN2103" s="109"/>
      <c r="AO2103" s="109"/>
      <c r="AP2103" s="109"/>
      <c r="AQ2103" s="109"/>
      <c r="AR2103" s="109"/>
      <c r="AS2103" s="109"/>
    </row>
    <row r="2104" spans="1:45" ht="12.6" customHeight="1" x14ac:dyDescent="0.3">
      <c r="A2104" s="159" t="s">
        <v>1401</v>
      </c>
      <c r="B2104" s="152"/>
      <c r="C2104" s="55">
        <f>E2104+D2104+F2104</f>
        <v>41739</v>
      </c>
      <c r="D2104" s="54">
        <f>ROUNDDOWN(SUMIF(N2072:N2099,M2104,D2072:D2099),0)</f>
        <v>36155</v>
      </c>
      <c r="E2104" s="63">
        <f>ROUNDDOWN(SUMIF(N2072:N2099,M2104,E2072:E2099),0)</f>
        <v>4500</v>
      </c>
      <c r="F2104" s="55">
        <f>ROUNDDOWN(SUMIF(N2072:N2099,M2104,F2072:F2099),0)</f>
        <v>1084</v>
      </c>
      <c r="M2104" s="20" t="s">
        <v>1128</v>
      </c>
      <c r="Z2104" s="109"/>
      <c r="AA2104" s="109"/>
      <c r="AB2104" s="109"/>
      <c r="AC2104" s="109"/>
      <c r="AD2104" s="109"/>
      <c r="AE2104" s="109"/>
      <c r="AF2104" s="109"/>
      <c r="AG2104" s="109"/>
      <c r="AH2104" s="109"/>
      <c r="AI2104" s="109"/>
      <c r="AJ2104" s="109"/>
      <c r="AK2104" s="109"/>
      <c r="AL2104" s="109"/>
      <c r="AM2104" s="109"/>
      <c r="AN2104" s="109"/>
      <c r="AO2104" s="109"/>
      <c r="AP2104" s="109"/>
      <c r="AQ2104" s="109"/>
      <c r="AR2104" s="109"/>
      <c r="AS2104" s="109"/>
    </row>
    <row r="2105" spans="1:45" ht="12.6" customHeight="1" x14ac:dyDescent="0.3">
      <c r="A2105" s="95" t="s">
        <v>157</v>
      </c>
      <c r="B2105" s="96" t="s">
        <v>157</v>
      </c>
      <c r="C2105" s="158">
        <f>C2139</f>
        <v>5621</v>
      </c>
      <c r="D2105" s="158">
        <f>D2139</f>
        <v>5458</v>
      </c>
      <c r="E2105" s="158">
        <f>E2139</f>
        <v>0</v>
      </c>
      <c r="F2105" s="158">
        <f>F2139</f>
        <v>163</v>
      </c>
      <c r="G2105" s="36" t="str">
        <f>HYPERLINK("#G"&amp;ROW(G2117),"_x0005_`BDCOD|D02248_x0007_`POSS|"&amp;ROW(G2107)&amp;"_x0007_`POSE|"&amp;ROW(G2117)&amp;"_x0007_`")</f>
        <v>_x0005_`BDCOD|D02248_x0007_`POSS|2107_x0007_`POSE|2117_x0007_`</v>
      </c>
      <c r="Z2105" s="109"/>
      <c r="AA2105" s="109"/>
      <c r="AB2105" s="109"/>
      <c r="AC2105" s="109"/>
      <c r="AD2105" s="109"/>
      <c r="AE2105" s="109"/>
      <c r="AF2105" s="109"/>
      <c r="AG2105" s="109"/>
      <c r="AH2105" s="109"/>
      <c r="AI2105" s="109"/>
      <c r="AJ2105" s="109"/>
      <c r="AK2105" s="109"/>
      <c r="AL2105" s="109"/>
      <c r="AM2105" s="109"/>
      <c r="AN2105" s="109"/>
      <c r="AO2105" s="109"/>
      <c r="AP2105" s="109"/>
      <c r="AQ2105" s="109"/>
      <c r="AR2105" s="109"/>
      <c r="AS2105" s="109"/>
    </row>
    <row r="2106" spans="1:45" ht="12.6" customHeight="1" x14ac:dyDescent="0.3">
      <c r="A2106" s="84"/>
      <c r="B2106" s="96" t="s">
        <v>283</v>
      </c>
      <c r="C2106" s="141"/>
      <c r="D2106" s="141"/>
      <c r="E2106" s="141"/>
      <c r="F2106" s="141"/>
      <c r="M2106" s="20" t="s">
        <v>282</v>
      </c>
      <c r="Z2106" s="109"/>
      <c r="AA2106" s="109"/>
      <c r="AB2106" s="109"/>
      <c r="AC2106" s="109"/>
      <c r="AD2106" s="109"/>
      <c r="AE2106" s="109"/>
      <c r="AF2106" s="109"/>
      <c r="AG2106" s="109"/>
      <c r="AH2106" s="109"/>
      <c r="AI2106" s="109"/>
      <c r="AJ2106" s="109"/>
      <c r="AK2106" s="109"/>
      <c r="AL2106" s="109"/>
      <c r="AM2106" s="109"/>
      <c r="AN2106" s="109"/>
      <c r="AO2106" s="109"/>
      <c r="AP2106" s="109"/>
      <c r="AQ2106" s="109"/>
      <c r="AR2106" s="109"/>
      <c r="AS2106" s="109"/>
    </row>
    <row r="2107" spans="1:45" ht="12.6" customHeight="1" x14ac:dyDescent="0.3">
      <c r="A2107" s="68"/>
      <c r="B2107" s="77" t="s">
        <v>2043</v>
      </c>
      <c r="C2107" s="98"/>
      <c r="D2107" s="98"/>
      <c r="E2107" s="98"/>
      <c r="F2107" s="98"/>
      <c r="G2107" s="16" t="s">
        <v>2042</v>
      </c>
      <c r="Z2107" s="109"/>
      <c r="AA2107" s="109"/>
      <c r="AB2107" s="109"/>
      <c r="AC2107" s="109"/>
      <c r="AD2107" s="109"/>
      <c r="AE2107" s="109"/>
      <c r="AF2107" s="109"/>
      <c r="AG2107" s="109"/>
      <c r="AH2107" s="109"/>
      <c r="AI2107" s="109"/>
      <c r="AJ2107" s="109"/>
      <c r="AK2107" s="109"/>
      <c r="AL2107" s="109"/>
      <c r="AM2107" s="109"/>
      <c r="AN2107" s="109"/>
      <c r="AO2107" s="109"/>
      <c r="AP2107" s="109"/>
      <c r="AQ2107" s="109"/>
      <c r="AR2107" s="109"/>
      <c r="AS2107" s="109"/>
    </row>
    <row r="2108" spans="1:45" ht="12.6" customHeight="1" x14ac:dyDescent="0.3">
      <c r="A2108" s="78"/>
      <c r="B2108" s="78"/>
      <c r="C2108" s="78"/>
      <c r="D2108" s="78"/>
      <c r="E2108" s="78"/>
      <c r="F2108" s="78"/>
      <c r="G2108" s="16" t="s">
        <v>1317</v>
      </c>
      <c r="Z2108" s="109"/>
      <c r="AA2108" s="109"/>
      <c r="AB2108" s="109"/>
      <c r="AC2108" s="109"/>
      <c r="AD2108" s="109"/>
      <c r="AE2108" s="109"/>
      <c r="AF2108" s="109"/>
      <c r="AG2108" s="109"/>
      <c r="AH2108" s="109"/>
      <c r="AI2108" s="109"/>
      <c r="AJ2108" s="109"/>
      <c r="AK2108" s="109"/>
      <c r="AL2108" s="109"/>
      <c r="AM2108" s="109"/>
      <c r="AN2108" s="109"/>
      <c r="AO2108" s="109"/>
      <c r="AP2108" s="109"/>
      <c r="AQ2108" s="109"/>
      <c r="AR2108" s="109"/>
      <c r="AS2108" s="109"/>
    </row>
    <row r="2109" spans="1:45" ht="12.6" customHeight="1" x14ac:dyDescent="0.3">
      <c r="A2109" s="68"/>
      <c r="B2109" s="77" t="s">
        <v>2045</v>
      </c>
      <c r="C2109" s="78"/>
      <c r="D2109" s="78"/>
      <c r="E2109" s="78"/>
      <c r="F2109" s="78"/>
      <c r="G2109" s="16" t="s">
        <v>2044</v>
      </c>
      <c r="Z2109" s="109"/>
      <c r="AA2109" s="109"/>
      <c r="AB2109" s="109"/>
      <c r="AC2109" s="109"/>
      <c r="AD2109" s="109"/>
      <c r="AE2109" s="109"/>
      <c r="AF2109" s="109"/>
      <c r="AG2109" s="109"/>
      <c r="AH2109" s="109"/>
      <c r="AI2109" s="109"/>
      <c r="AJ2109" s="109"/>
      <c r="AK2109" s="109"/>
      <c r="AL2109" s="109"/>
      <c r="AM2109" s="109"/>
      <c r="AN2109" s="109"/>
      <c r="AO2109" s="109"/>
      <c r="AP2109" s="109"/>
      <c r="AQ2109" s="109"/>
      <c r="AR2109" s="109"/>
      <c r="AS2109" s="109"/>
    </row>
    <row r="2110" spans="1:45" ht="12.6" customHeight="1" x14ac:dyDescent="0.3">
      <c r="A2110" s="78"/>
      <c r="B2110" s="78"/>
      <c r="C2110" s="78"/>
      <c r="D2110" s="78"/>
      <c r="E2110" s="78"/>
      <c r="F2110" s="78"/>
      <c r="G2110" s="16" t="s">
        <v>1317</v>
      </c>
      <c r="Z2110" s="109"/>
      <c r="AA2110" s="109"/>
      <c r="AB2110" s="109"/>
      <c r="AC2110" s="109"/>
      <c r="AD2110" s="109"/>
      <c r="AE2110" s="109"/>
      <c r="AF2110" s="109"/>
      <c r="AG2110" s="109"/>
      <c r="AH2110" s="109"/>
      <c r="AI2110" s="109"/>
      <c r="AJ2110" s="109"/>
      <c r="AK2110" s="109"/>
      <c r="AL2110" s="109"/>
      <c r="AM2110" s="109"/>
      <c r="AN2110" s="109"/>
      <c r="AO2110" s="109"/>
      <c r="AP2110" s="109"/>
      <c r="AQ2110" s="109"/>
      <c r="AR2110" s="109"/>
      <c r="AS2110" s="109"/>
    </row>
    <row r="2111" spans="1:45" ht="12.6" customHeight="1" x14ac:dyDescent="0.3">
      <c r="A2111" s="68" t="s">
        <v>681</v>
      </c>
      <c r="B2111" s="97" t="str">
        <f>" 포장공 : "&amp;TEXT(I2111,"#,##0"&amp;IF(I2111&lt;&gt;INT(I2111),".###",""))&amp;" * "&amp;AA2111&amp;" / ("&amp;AC2111&amp;" / "&amp;AE2111&amp;") = "&amp;TEXT(C2111,"#,##0.0")&amp;""</f>
        <v xml:space="preserve"> 포장공 : 258,360 * 4 / (50 / 0.2) = 4,133.7</v>
      </c>
      <c r="C2111" s="99">
        <f>E2111+D2111+F2111</f>
        <v>4133.7</v>
      </c>
      <c r="D2111" s="99">
        <f>IF(H2111=0,0,ROUNDDOWN(J2111*H2111,1))</f>
        <v>4133.7</v>
      </c>
      <c r="E2111" s="99">
        <f>IF(H2111=0,0,ROUNDDOWN(K2111*H2111,1))</f>
        <v>0</v>
      </c>
      <c r="F2111" s="99">
        <f>IF(H2111=0,0,ROUNDDOWN(L2111*H2111,1))</f>
        <v>0</v>
      </c>
      <c r="G2111" s="16" t="s">
        <v>2046</v>
      </c>
      <c r="H2111" s="105">
        <f>AH2111</f>
        <v>1.6E-2</v>
      </c>
      <c r="I2111" s="106">
        <f>K2111+J2111+L2111</f>
        <v>258360</v>
      </c>
      <c r="J2111" s="39">
        <f>노무비목록표!E15</f>
        <v>258360</v>
      </c>
      <c r="M2111" s="20" t="s">
        <v>2047</v>
      </c>
      <c r="N2111" s="20" t="s">
        <v>1332</v>
      </c>
      <c r="O2111" s="20" t="s">
        <v>1247</v>
      </c>
      <c r="X2111" s="108" t="str">
        <f>노무비목록표!B15&amp;" / "&amp;노무비목록표!C15</f>
        <v xml:space="preserve">포장공 / </v>
      </c>
      <c r="Y2111" s="19" t="str">
        <f ca="1">HYPERLINK("#"&amp;노무비목록표!G2&amp;"!A"&amp;ROW(노무비목록표!A15),"노무   12 →")</f>
        <v>노무   12 →</v>
      </c>
      <c r="Z2111" s="20" t="s">
        <v>1338</v>
      </c>
      <c r="AA2111" s="111">
        <v>4</v>
      </c>
      <c r="AB2111" s="20" t="s">
        <v>1531</v>
      </c>
      <c r="AC2111" s="111">
        <v>50</v>
      </c>
      <c r="AD2111" s="20" t="s">
        <v>1387</v>
      </c>
      <c r="AE2111" s="110">
        <v>0.2</v>
      </c>
      <c r="AF2111" s="20" t="s">
        <v>1532</v>
      </c>
      <c r="AG2111" s="20" t="s">
        <v>1326</v>
      </c>
      <c r="AH2111" s="113">
        <f>1*AA2111/(AC2111/AE2111)</f>
        <v>1.6E-2</v>
      </c>
      <c r="AI2111" s="109"/>
      <c r="AJ2111" s="109"/>
      <c r="AK2111" s="109"/>
      <c r="AL2111" s="109"/>
      <c r="AM2111" s="109"/>
      <c r="AN2111" s="109"/>
      <c r="AO2111" s="109"/>
      <c r="AP2111" s="109"/>
      <c r="AQ2111" s="109"/>
      <c r="AR2111" s="109"/>
      <c r="AS2111" s="109"/>
    </row>
    <row r="2112" spans="1:45" ht="12.6" customHeight="1" x14ac:dyDescent="0.3">
      <c r="A2112" s="78"/>
      <c r="B2112" s="78"/>
      <c r="C2112" s="78"/>
      <c r="D2112" s="78"/>
      <c r="E2112" s="78"/>
      <c r="F2112" s="78"/>
      <c r="G2112" s="16" t="s">
        <v>1317</v>
      </c>
      <c r="Z2112" s="109"/>
      <c r="AA2112" s="109"/>
      <c r="AB2112" s="109"/>
      <c r="AC2112" s="109"/>
      <c r="AD2112" s="109"/>
      <c r="AE2112" s="109"/>
      <c r="AF2112" s="109"/>
      <c r="AG2112" s="109"/>
      <c r="AH2112" s="109"/>
      <c r="AI2112" s="109"/>
      <c r="AJ2112" s="109"/>
      <c r="AK2112" s="109"/>
      <c r="AL2112" s="109"/>
      <c r="AM2112" s="109"/>
      <c r="AN2112" s="109"/>
      <c r="AO2112" s="109"/>
      <c r="AP2112" s="109"/>
      <c r="AQ2112" s="109"/>
      <c r="AR2112" s="109"/>
      <c r="AS2112" s="109"/>
    </row>
    <row r="2113" spans="1:45" ht="12.6" customHeight="1" x14ac:dyDescent="0.3">
      <c r="A2113" s="68" t="s">
        <v>663</v>
      </c>
      <c r="B2113" s="97" t="str">
        <f>" 보통인부 : "&amp;TEXT(I2113,"#,##0"&amp;IF(I2113&lt;&gt;INT(I2113),".###",""))&amp;" * "&amp;AA2113&amp;" / ("&amp;AC2113&amp;" / "&amp;AE2113&amp;") = "&amp;TEXT(C2113,"#,##0.0")&amp;""</f>
        <v xml:space="preserve"> 보통인부 : 165,545 * 2 / (50 / 0.2) = 1,324.3</v>
      </c>
      <c r="C2113" s="99">
        <f>E2113+D2113+F2113</f>
        <v>1324.3</v>
      </c>
      <c r="D2113" s="99">
        <f>IF(H2113=0,0,ROUNDDOWN(J2113*H2113,1))</f>
        <v>1324.3</v>
      </c>
      <c r="E2113" s="99">
        <f>IF(H2113=0,0,ROUNDDOWN(K2113*H2113,1))</f>
        <v>0</v>
      </c>
      <c r="F2113" s="99">
        <f>IF(H2113=0,0,ROUNDDOWN(L2113*H2113,1))</f>
        <v>0</v>
      </c>
      <c r="G2113" s="16" t="s">
        <v>2048</v>
      </c>
      <c r="H2113" s="105">
        <f>AH2113</f>
        <v>8.0000000000000002E-3</v>
      </c>
      <c r="I2113" s="106">
        <f>K2113+J2113+L2113</f>
        <v>165545</v>
      </c>
      <c r="J2113" s="39">
        <f>노무비목록표!E9</f>
        <v>165545</v>
      </c>
      <c r="M2113" s="20" t="s">
        <v>1126</v>
      </c>
      <c r="N2113" s="20" t="s">
        <v>1332</v>
      </c>
      <c r="O2113" s="20" t="s">
        <v>1247</v>
      </c>
      <c r="X2113" s="108" t="str">
        <f>노무비목록표!B9&amp;" / "&amp;노무비목록표!C9</f>
        <v xml:space="preserve">보통인부 / </v>
      </c>
      <c r="Y2113" s="19" t="str">
        <f ca="1">HYPERLINK("#"&amp;노무비목록표!G2&amp;"!A"&amp;ROW(노무비목록표!A9),"노무    6 →")</f>
        <v>노무    6 →</v>
      </c>
      <c r="Z2113" s="20" t="s">
        <v>1338</v>
      </c>
      <c r="AA2113" s="111">
        <v>2</v>
      </c>
      <c r="AB2113" s="20" t="s">
        <v>1531</v>
      </c>
      <c r="AC2113" s="111">
        <v>50</v>
      </c>
      <c r="AD2113" s="20" t="s">
        <v>1387</v>
      </c>
      <c r="AE2113" s="110">
        <v>0.2</v>
      </c>
      <c r="AF2113" s="20" t="s">
        <v>1532</v>
      </c>
      <c r="AG2113" s="20" t="s">
        <v>1326</v>
      </c>
      <c r="AH2113" s="113">
        <f>1*AA2113/(AC2113/AE2113)</f>
        <v>8.0000000000000002E-3</v>
      </c>
      <c r="AI2113" s="109"/>
      <c r="AJ2113" s="109"/>
      <c r="AK2113" s="109"/>
      <c r="AL2113" s="109"/>
      <c r="AM2113" s="109"/>
      <c r="AN2113" s="109"/>
      <c r="AO2113" s="109"/>
      <c r="AP2113" s="109"/>
      <c r="AQ2113" s="109"/>
      <c r="AR2113" s="109"/>
      <c r="AS2113" s="109"/>
    </row>
    <row r="2114" spans="1:45" ht="12.6" customHeight="1" x14ac:dyDescent="0.3">
      <c r="A2114" s="78"/>
      <c r="B2114" s="78"/>
      <c r="C2114" s="78"/>
      <c r="D2114" s="78"/>
      <c r="E2114" s="78"/>
      <c r="F2114" s="78"/>
      <c r="G2114" s="16" t="s">
        <v>1317</v>
      </c>
      <c r="Z2114" s="109"/>
      <c r="AA2114" s="109"/>
      <c r="AB2114" s="109"/>
      <c r="AC2114" s="109"/>
      <c r="AD2114" s="109"/>
      <c r="AE2114" s="109"/>
      <c r="AF2114" s="109"/>
      <c r="AG2114" s="109"/>
      <c r="AH2114" s="109"/>
      <c r="AI2114" s="109"/>
      <c r="AJ2114" s="109"/>
      <c r="AK2114" s="109"/>
      <c r="AL2114" s="109"/>
      <c r="AM2114" s="109"/>
      <c r="AN2114" s="109"/>
      <c r="AO2114" s="109"/>
      <c r="AP2114" s="109"/>
      <c r="AQ2114" s="109"/>
      <c r="AR2114" s="109"/>
      <c r="AS2114" s="109"/>
    </row>
    <row r="2115" spans="1:45" ht="12.6" customHeight="1" x14ac:dyDescent="0.3">
      <c r="A2115" s="68"/>
      <c r="B2115" s="97" t="str">
        <f>" 손료계산 : "&amp;TEXT(I2115,"#,##0.0")&amp;" * "&amp;AA2115&amp;" %  = "&amp;TEXT(C2115,"#,##0.0")&amp;""</f>
        <v xml:space="preserve"> 손료계산 : 5,458.0 * 3 %  = 163.7</v>
      </c>
      <c r="C2115" s="99">
        <f>E2115+D2115+F2115</f>
        <v>163.69999999999999</v>
      </c>
      <c r="D2115" s="99">
        <f>IF(H2115=0,0,ROUNDDOWN(J2115*H2115/100,1))</f>
        <v>0</v>
      </c>
      <c r="E2115" s="99">
        <f>IF(H2115=0,0,ROUNDDOWN(K2115*H2115/100,1))</f>
        <v>0</v>
      </c>
      <c r="F2115" s="99">
        <f>IF(H2115=0,0,ROUNDDOWN(L2115*H2115/100,1))</f>
        <v>163.69999999999999</v>
      </c>
      <c r="G2115" s="16" t="s">
        <v>2049</v>
      </c>
      <c r="H2115" s="105">
        <f>AC2115</f>
        <v>3</v>
      </c>
      <c r="I2115" s="106">
        <f>K2115+J2115+L2115</f>
        <v>5458</v>
      </c>
      <c r="J2115" s="37">
        <v>0</v>
      </c>
      <c r="K2115" s="37">
        <v>0</v>
      </c>
      <c r="L2115" s="39">
        <f>SUMIF(O2107:O2114,"1_01",D2107:D2114)</f>
        <v>5458</v>
      </c>
      <c r="M2115" s="20" t="s">
        <v>1367</v>
      </c>
      <c r="N2115" s="20" t="s">
        <v>1332</v>
      </c>
      <c r="Z2115" s="20" t="s">
        <v>1338</v>
      </c>
      <c r="AA2115" s="111">
        <v>3</v>
      </c>
      <c r="AB2115" s="20" t="s">
        <v>1326</v>
      </c>
      <c r="AC2115" s="113">
        <f>1*AA2115</f>
        <v>3</v>
      </c>
      <c r="AD2115" s="109"/>
      <c r="AE2115" s="109"/>
      <c r="AF2115" s="109"/>
      <c r="AG2115" s="109"/>
      <c r="AH2115" s="109"/>
      <c r="AI2115" s="109"/>
      <c r="AJ2115" s="109"/>
      <c r="AK2115" s="109"/>
      <c r="AL2115" s="109"/>
      <c r="AM2115" s="109"/>
      <c r="AN2115" s="109"/>
      <c r="AO2115" s="109"/>
      <c r="AP2115" s="109"/>
      <c r="AQ2115" s="109"/>
      <c r="AR2115" s="109"/>
      <c r="AS2115" s="109"/>
    </row>
    <row r="2116" spans="1:45" ht="12.6" customHeight="1" x14ac:dyDescent="0.3">
      <c r="A2116" s="78"/>
      <c r="B2116" s="78"/>
      <c r="C2116" s="78"/>
      <c r="D2116" s="78"/>
      <c r="E2116" s="78"/>
      <c r="F2116" s="78"/>
      <c r="G2116" s="16" t="s">
        <v>1317</v>
      </c>
      <c r="Z2116" s="109"/>
      <c r="AA2116" s="109"/>
      <c r="AB2116" s="109"/>
      <c r="AC2116" s="109"/>
      <c r="AD2116" s="109"/>
      <c r="AE2116" s="109"/>
      <c r="AF2116" s="109"/>
      <c r="AG2116" s="109"/>
      <c r="AH2116" s="109"/>
      <c r="AI2116" s="109"/>
      <c r="AJ2116" s="109"/>
      <c r="AK2116" s="109"/>
      <c r="AL2116" s="109"/>
      <c r="AM2116" s="109"/>
      <c r="AN2116" s="109"/>
      <c r="AO2116" s="109"/>
      <c r="AP2116" s="109"/>
      <c r="AQ2116" s="109"/>
      <c r="AR2116" s="109"/>
      <c r="AS2116" s="109"/>
    </row>
    <row r="2117" spans="1:45" ht="12.6" customHeight="1" x14ac:dyDescent="0.3">
      <c r="A2117" s="68"/>
      <c r="B2117" s="77" t="s">
        <v>1331</v>
      </c>
      <c r="C2117" s="100">
        <f>E2117+D2117+F2117</f>
        <v>5621.7</v>
      </c>
      <c r="D2117" s="100">
        <f>SUMIF(N2107:N2116,M2117,D2107:D2116)</f>
        <v>5458</v>
      </c>
      <c r="E2117" s="100">
        <f>SUMIF(N2107:N2116,M2117,E2107:E2116)</f>
        <v>0</v>
      </c>
      <c r="F2117" s="100">
        <f>SUMIF(N2107:N2116,M2117,F2107:F2116)</f>
        <v>163.69999999999999</v>
      </c>
      <c r="G2117" s="16" t="s">
        <v>1415</v>
      </c>
      <c r="M2117" s="20" t="s">
        <v>1332</v>
      </c>
      <c r="N2117" s="20" t="s">
        <v>1128</v>
      </c>
      <c r="Z2117" s="109"/>
      <c r="AA2117" s="109"/>
      <c r="AB2117" s="109"/>
      <c r="AC2117" s="109"/>
      <c r="AD2117" s="109"/>
      <c r="AE2117" s="109"/>
      <c r="AF2117" s="109"/>
      <c r="AG2117" s="109"/>
      <c r="AH2117" s="109"/>
      <c r="AI2117" s="109"/>
      <c r="AJ2117" s="109"/>
      <c r="AK2117" s="109"/>
      <c r="AL2117" s="109"/>
      <c r="AM2117" s="109"/>
      <c r="AN2117" s="109"/>
      <c r="AO2117" s="109"/>
      <c r="AP2117" s="109"/>
      <c r="AQ2117" s="109"/>
      <c r="AR2117" s="109"/>
      <c r="AS2117" s="109"/>
    </row>
    <row r="2118" spans="1:45" ht="12.6" customHeight="1" x14ac:dyDescent="0.3">
      <c r="A2118" s="78"/>
      <c r="B2118" s="78"/>
      <c r="C2118" s="98"/>
      <c r="D2118" s="98"/>
      <c r="E2118" s="98"/>
      <c r="F2118" s="98"/>
      <c r="Z2118" s="109"/>
      <c r="AA2118" s="109"/>
      <c r="AB2118" s="109"/>
      <c r="AC2118" s="109"/>
      <c r="AD2118" s="109"/>
      <c r="AE2118" s="109"/>
      <c r="AF2118" s="109"/>
      <c r="AG2118" s="109"/>
      <c r="AH2118" s="109"/>
      <c r="AI2118" s="109"/>
      <c r="AJ2118" s="109"/>
      <c r="AK2118" s="109"/>
      <c r="AL2118" s="109"/>
      <c r="AM2118" s="109"/>
      <c r="AN2118" s="109"/>
      <c r="AO2118" s="109"/>
      <c r="AP2118" s="109"/>
      <c r="AQ2118" s="109"/>
      <c r="AR2118" s="109"/>
      <c r="AS2118" s="109"/>
    </row>
    <row r="2119" spans="1:45" ht="12.6" customHeight="1" x14ac:dyDescent="0.3">
      <c r="A2119" s="78"/>
      <c r="B2119" s="78"/>
      <c r="C2119" s="78"/>
      <c r="D2119" s="78"/>
      <c r="E2119" s="78"/>
      <c r="F2119" s="78"/>
      <c r="Z2119" s="109"/>
      <c r="AA2119" s="109"/>
      <c r="AB2119" s="109"/>
      <c r="AC2119" s="109"/>
      <c r="AD2119" s="109"/>
      <c r="AE2119" s="109"/>
      <c r="AF2119" s="109"/>
      <c r="AG2119" s="109"/>
      <c r="AH2119" s="109"/>
      <c r="AI2119" s="109"/>
      <c r="AJ2119" s="109"/>
      <c r="AK2119" s="109"/>
      <c r="AL2119" s="109"/>
      <c r="AM2119" s="109"/>
      <c r="AN2119" s="109"/>
      <c r="AO2119" s="109"/>
      <c r="AP2119" s="109"/>
      <c r="AQ2119" s="109"/>
      <c r="AR2119" s="109"/>
      <c r="AS2119" s="109"/>
    </row>
    <row r="2120" spans="1:45" ht="12.6" customHeight="1" x14ac:dyDescent="0.3">
      <c r="A2120" s="78"/>
      <c r="B2120" s="78"/>
      <c r="C2120" s="78"/>
      <c r="D2120" s="78"/>
      <c r="E2120" s="78"/>
      <c r="F2120" s="78"/>
      <c r="Z2120" s="109"/>
      <c r="AA2120" s="109"/>
      <c r="AB2120" s="109"/>
      <c r="AC2120" s="109"/>
      <c r="AD2120" s="109"/>
      <c r="AE2120" s="109"/>
      <c r="AF2120" s="109"/>
      <c r="AG2120" s="109"/>
      <c r="AH2120" s="109"/>
      <c r="AI2120" s="109"/>
      <c r="AJ2120" s="109"/>
      <c r="AK2120" s="109"/>
      <c r="AL2120" s="109"/>
      <c r="AM2120" s="109"/>
      <c r="AN2120" s="109"/>
      <c r="AO2120" s="109"/>
      <c r="AP2120" s="109"/>
      <c r="AQ2120" s="109"/>
      <c r="AR2120" s="109"/>
      <c r="AS2120" s="109"/>
    </row>
    <row r="2121" spans="1:45" ht="12.6" customHeight="1" x14ac:dyDescent="0.3">
      <c r="A2121" s="78"/>
      <c r="B2121" s="78"/>
      <c r="C2121" s="78"/>
      <c r="D2121" s="78"/>
      <c r="E2121" s="78"/>
      <c r="F2121" s="78"/>
      <c r="Z2121" s="109"/>
      <c r="AA2121" s="109"/>
      <c r="AB2121" s="109"/>
      <c r="AC2121" s="109"/>
      <c r="AD2121" s="109"/>
      <c r="AE2121" s="109"/>
      <c r="AF2121" s="109"/>
      <c r="AG2121" s="109"/>
      <c r="AH2121" s="109"/>
      <c r="AI2121" s="109"/>
      <c r="AJ2121" s="109"/>
      <c r="AK2121" s="109"/>
      <c r="AL2121" s="109"/>
      <c r="AM2121" s="109"/>
      <c r="AN2121" s="109"/>
      <c r="AO2121" s="109"/>
      <c r="AP2121" s="109"/>
      <c r="AQ2121" s="109"/>
      <c r="AR2121" s="109"/>
      <c r="AS2121" s="109"/>
    </row>
    <row r="2122" spans="1:45" ht="12.6" customHeight="1" x14ac:dyDescent="0.3">
      <c r="A2122" s="78"/>
      <c r="B2122" s="78"/>
      <c r="C2122" s="78"/>
      <c r="D2122" s="78"/>
      <c r="E2122" s="78"/>
      <c r="F2122" s="78"/>
      <c r="Z2122" s="109"/>
      <c r="AA2122" s="109"/>
      <c r="AB2122" s="109"/>
      <c r="AC2122" s="109"/>
      <c r="AD2122" s="109"/>
      <c r="AE2122" s="109"/>
      <c r="AF2122" s="109"/>
      <c r="AG2122" s="109"/>
      <c r="AH2122" s="109"/>
      <c r="AI2122" s="109"/>
      <c r="AJ2122" s="109"/>
      <c r="AK2122" s="109"/>
      <c r="AL2122" s="109"/>
      <c r="AM2122" s="109"/>
      <c r="AN2122" s="109"/>
      <c r="AO2122" s="109"/>
      <c r="AP2122" s="109"/>
      <c r="AQ2122" s="109"/>
      <c r="AR2122" s="109"/>
      <c r="AS2122" s="109"/>
    </row>
    <row r="2123" spans="1:45" ht="12.6" customHeight="1" x14ac:dyDescent="0.3">
      <c r="A2123" s="78"/>
      <c r="B2123" s="78"/>
      <c r="C2123" s="78"/>
      <c r="D2123" s="78"/>
      <c r="E2123" s="78"/>
      <c r="F2123" s="78"/>
      <c r="Z2123" s="109"/>
      <c r="AA2123" s="109"/>
      <c r="AB2123" s="109"/>
      <c r="AC2123" s="109"/>
      <c r="AD2123" s="109"/>
      <c r="AE2123" s="109"/>
      <c r="AF2123" s="109"/>
      <c r="AG2123" s="109"/>
      <c r="AH2123" s="109"/>
      <c r="AI2123" s="109"/>
      <c r="AJ2123" s="109"/>
      <c r="AK2123" s="109"/>
      <c r="AL2123" s="109"/>
      <c r="AM2123" s="109"/>
      <c r="AN2123" s="109"/>
      <c r="AO2123" s="109"/>
      <c r="AP2123" s="109"/>
      <c r="AQ2123" s="109"/>
      <c r="AR2123" s="109"/>
      <c r="AS2123" s="109"/>
    </row>
    <row r="2124" spans="1:45" ht="12.6" customHeight="1" x14ac:dyDescent="0.3">
      <c r="A2124" s="78"/>
      <c r="B2124" s="78"/>
      <c r="C2124" s="78"/>
      <c r="D2124" s="78"/>
      <c r="E2124" s="78"/>
      <c r="F2124" s="78"/>
      <c r="Z2124" s="109"/>
      <c r="AA2124" s="109"/>
      <c r="AB2124" s="109"/>
      <c r="AC2124" s="109"/>
      <c r="AD2124" s="109"/>
      <c r="AE2124" s="109"/>
      <c r="AF2124" s="109"/>
      <c r="AG2124" s="109"/>
      <c r="AH2124" s="109"/>
      <c r="AI2124" s="109"/>
      <c r="AJ2124" s="109"/>
      <c r="AK2124" s="109"/>
      <c r="AL2124" s="109"/>
      <c r="AM2124" s="109"/>
      <c r="AN2124" s="109"/>
      <c r="AO2124" s="109"/>
      <c r="AP2124" s="109"/>
      <c r="AQ2124" s="109"/>
      <c r="AR2124" s="109"/>
      <c r="AS2124" s="109"/>
    </row>
    <row r="2125" spans="1:45" ht="12.6" customHeight="1" x14ac:dyDescent="0.3">
      <c r="A2125" s="78"/>
      <c r="B2125" s="78"/>
      <c r="C2125" s="78"/>
      <c r="D2125" s="78"/>
      <c r="E2125" s="78"/>
      <c r="F2125" s="78"/>
      <c r="Z2125" s="109"/>
      <c r="AA2125" s="109"/>
      <c r="AB2125" s="109"/>
      <c r="AC2125" s="109"/>
      <c r="AD2125" s="109"/>
      <c r="AE2125" s="109"/>
      <c r="AF2125" s="109"/>
      <c r="AG2125" s="109"/>
      <c r="AH2125" s="109"/>
      <c r="AI2125" s="109"/>
      <c r="AJ2125" s="109"/>
      <c r="AK2125" s="109"/>
      <c r="AL2125" s="109"/>
      <c r="AM2125" s="109"/>
      <c r="AN2125" s="109"/>
      <c r="AO2125" s="109"/>
      <c r="AP2125" s="109"/>
      <c r="AQ2125" s="109"/>
      <c r="AR2125" s="109"/>
      <c r="AS2125" s="109"/>
    </row>
    <row r="2126" spans="1:45" ht="12.6" customHeight="1" x14ac:dyDescent="0.3">
      <c r="A2126" s="78"/>
      <c r="B2126" s="78"/>
      <c r="C2126" s="78"/>
      <c r="D2126" s="78"/>
      <c r="E2126" s="78"/>
      <c r="F2126" s="78"/>
      <c r="Z2126" s="109"/>
      <c r="AA2126" s="109"/>
      <c r="AB2126" s="109"/>
      <c r="AC2126" s="109"/>
      <c r="AD2126" s="109"/>
      <c r="AE2126" s="109"/>
      <c r="AF2126" s="109"/>
      <c r="AG2126" s="109"/>
      <c r="AH2126" s="109"/>
      <c r="AI2126" s="109"/>
      <c r="AJ2126" s="109"/>
      <c r="AK2126" s="109"/>
      <c r="AL2126" s="109"/>
      <c r="AM2126" s="109"/>
      <c r="AN2126" s="109"/>
      <c r="AO2126" s="109"/>
      <c r="AP2126" s="109"/>
      <c r="AQ2126" s="109"/>
      <c r="AR2126" s="109"/>
      <c r="AS2126" s="109"/>
    </row>
    <row r="2127" spans="1:45" ht="12.6" customHeight="1" x14ac:dyDescent="0.3">
      <c r="A2127" s="78"/>
      <c r="B2127" s="78"/>
      <c r="C2127" s="78"/>
      <c r="D2127" s="78"/>
      <c r="E2127" s="78"/>
      <c r="F2127" s="78"/>
      <c r="Z2127" s="109"/>
      <c r="AA2127" s="109"/>
      <c r="AB2127" s="109"/>
      <c r="AC2127" s="109"/>
      <c r="AD2127" s="109"/>
      <c r="AE2127" s="109"/>
      <c r="AF2127" s="109"/>
      <c r="AG2127" s="109"/>
      <c r="AH2127" s="109"/>
      <c r="AI2127" s="109"/>
      <c r="AJ2127" s="109"/>
      <c r="AK2127" s="109"/>
      <c r="AL2127" s="109"/>
      <c r="AM2127" s="109"/>
      <c r="AN2127" s="109"/>
      <c r="AO2127" s="109"/>
      <c r="AP2127" s="109"/>
      <c r="AQ2127" s="109"/>
      <c r="AR2127" s="109"/>
      <c r="AS2127" s="109"/>
    </row>
    <row r="2128" spans="1:45" ht="12.6" customHeight="1" x14ac:dyDescent="0.3">
      <c r="A2128" s="78"/>
      <c r="B2128" s="78"/>
      <c r="C2128" s="78"/>
      <c r="D2128" s="78"/>
      <c r="E2128" s="78"/>
      <c r="F2128" s="78"/>
      <c r="Z2128" s="109"/>
      <c r="AA2128" s="109"/>
      <c r="AB2128" s="109"/>
      <c r="AC2128" s="109"/>
      <c r="AD2128" s="109"/>
      <c r="AE2128" s="109"/>
      <c r="AF2128" s="109"/>
      <c r="AG2128" s="109"/>
      <c r="AH2128" s="109"/>
      <c r="AI2128" s="109"/>
      <c r="AJ2128" s="109"/>
      <c r="AK2128" s="109"/>
      <c r="AL2128" s="109"/>
      <c r="AM2128" s="109"/>
      <c r="AN2128" s="109"/>
      <c r="AO2128" s="109"/>
      <c r="AP2128" s="109"/>
      <c r="AQ2128" s="109"/>
      <c r="AR2128" s="109"/>
      <c r="AS2128" s="109"/>
    </row>
    <row r="2129" spans="1:45" ht="12.6" customHeight="1" x14ac:dyDescent="0.3">
      <c r="A2129" s="78"/>
      <c r="B2129" s="78"/>
      <c r="C2129" s="78"/>
      <c r="D2129" s="78"/>
      <c r="E2129" s="78"/>
      <c r="F2129" s="78"/>
      <c r="Z2129" s="109"/>
      <c r="AA2129" s="109"/>
      <c r="AB2129" s="109"/>
      <c r="AC2129" s="109"/>
      <c r="AD2129" s="109"/>
      <c r="AE2129" s="109"/>
      <c r="AF2129" s="109"/>
      <c r="AG2129" s="109"/>
      <c r="AH2129" s="109"/>
      <c r="AI2129" s="109"/>
      <c r="AJ2129" s="109"/>
      <c r="AK2129" s="109"/>
      <c r="AL2129" s="109"/>
      <c r="AM2129" s="109"/>
      <c r="AN2129" s="109"/>
      <c r="AO2129" s="109"/>
      <c r="AP2129" s="109"/>
      <c r="AQ2129" s="109"/>
      <c r="AR2129" s="109"/>
      <c r="AS2129" s="109"/>
    </row>
    <row r="2130" spans="1:45" ht="12.6" customHeight="1" x14ac:dyDescent="0.3">
      <c r="A2130" s="78"/>
      <c r="B2130" s="78"/>
      <c r="C2130" s="78"/>
      <c r="D2130" s="78"/>
      <c r="E2130" s="78"/>
      <c r="F2130" s="78"/>
      <c r="Z2130" s="109"/>
      <c r="AA2130" s="109"/>
      <c r="AB2130" s="109"/>
      <c r="AC2130" s="109"/>
      <c r="AD2130" s="109"/>
      <c r="AE2130" s="109"/>
      <c r="AF2130" s="109"/>
      <c r="AG2130" s="109"/>
      <c r="AH2130" s="109"/>
      <c r="AI2130" s="109"/>
      <c r="AJ2130" s="109"/>
      <c r="AK2130" s="109"/>
      <c r="AL2130" s="109"/>
      <c r="AM2130" s="109"/>
      <c r="AN2130" s="109"/>
      <c r="AO2130" s="109"/>
      <c r="AP2130" s="109"/>
      <c r="AQ2130" s="109"/>
      <c r="AR2130" s="109"/>
      <c r="AS2130" s="109"/>
    </row>
    <row r="2131" spans="1:45" ht="12.6" customHeight="1" x14ac:dyDescent="0.3">
      <c r="A2131" s="78"/>
      <c r="B2131" s="78"/>
      <c r="C2131" s="78"/>
      <c r="D2131" s="78"/>
      <c r="E2131" s="78"/>
      <c r="F2131" s="78"/>
      <c r="Z2131" s="109"/>
      <c r="AA2131" s="109"/>
      <c r="AB2131" s="109"/>
      <c r="AC2131" s="109"/>
      <c r="AD2131" s="109"/>
      <c r="AE2131" s="109"/>
      <c r="AF2131" s="109"/>
      <c r="AG2131" s="109"/>
      <c r="AH2131" s="109"/>
      <c r="AI2131" s="109"/>
      <c r="AJ2131" s="109"/>
      <c r="AK2131" s="109"/>
      <c r="AL2131" s="109"/>
      <c r="AM2131" s="109"/>
      <c r="AN2131" s="109"/>
      <c r="AO2131" s="109"/>
      <c r="AP2131" s="109"/>
      <c r="AQ2131" s="109"/>
      <c r="AR2131" s="109"/>
      <c r="AS2131" s="109"/>
    </row>
    <row r="2132" spans="1:45" ht="12.6" customHeight="1" x14ac:dyDescent="0.3">
      <c r="A2132" s="78"/>
      <c r="B2132" s="78"/>
      <c r="C2132" s="78"/>
      <c r="D2132" s="78"/>
      <c r="E2132" s="78"/>
      <c r="F2132" s="78"/>
      <c r="Z2132" s="109"/>
      <c r="AA2132" s="109"/>
      <c r="AB2132" s="109"/>
      <c r="AC2132" s="109"/>
      <c r="AD2132" s="109"/>
      <c r="AE2132" s="109"/>
      <c r="AF2132" s="109"/>
      <c r="AG2132" s="109"/>
      <c r="AH2132" s="109"/>
      <c r="AI2132" s="109"/>
      <c r="AJ2132" s="109"/>
      <c r="AK2132" s="109"/>
      <c r="AL2132" s="109"/>
      <c r="AM2132" s="109"/>
      <c r="AN2132" s="109"/>
      <c r="AO2132" s="109"/>
      <c r="AP2132" s="109"/>
      <c r="AQ2132" s="109"/>
      <c r="AR2132" s="109"/>
      <c r="AS2132" s="109"/>
    </row>
    <row r="2133" spans="1:45" ht="12.6" customHeight="1" x14ac:dyDescent="0.3">
      <c r="A2133" s="78"/>
      <c r="B2133" s="78"/>
      <c r="C2133" s="78"/>
      <c r="D2133" s="78"/>
      <c r="E2133" s="78"/>
      <c r="F2133" s="78"/>
      <c r="Z2133" s="109"/>
      <c r="AA2133" s="109"/>
      <c r="AB2133" s="109"/>
      <c r="AC2133" s="109"/>
      <c r="AD2133" s="109"/>
      <c r="AE2133" s="109"/>
      <c r="AF2133" s="109"/>
      <c r="AG2133" s="109"/>
      <c r="AH2133" s="109"/>
      <c r="AI2133" s="109"/>
      <c r="AJ2133" s="109"/>
      <c r="AK2133" s="109"/>
      <c r="AL2133" s="109"/>
      <c r="AM2133" s="109"/>
      <c r="AN2133" s="109"/>
      <c r="AO2133" s="109"/>
      <c r="AP2133" s="109"/>
      <c r="AQ2133" s="109"/>
      <c r="AR2133" s="109"/>
      <c r="AS2133" s="109"/>
    </row>
    <row r="2134" spans="1:45" ht="12.6" customHeight="1" x14ac:dyDescent="0.3">
      <c r="A2134" s="78"/>
      <c r="B2134" s="78"/>
      <c r="C2134" s="78"/>
      <c r="D2134" s="78"/>
      <c r="E2134" s="78"/>
      <c r="F2134" s="78"/>
      <c r="Z2134" s="109"/>
      <c r="AA2134" s="109"/>
      <c r="AB2134" s="109"/>
      <c r="AC2134" s="109"/>
      <c r="AD2134" s="109"/>
      <c r="AE2134" s="109"/>
      <c r="AF2134" s="109"/>
      <c r="AG2134" s="109"/>
      <c r="AH2134" s="109"/>
      <c r="AI2134" s="109"/>
      <c r="AJ2134" s="109"/>
      <c r="AK2134" s="109"/>
      <c r="AL2134" s="109"/>
      <c r="AM2134" s="109"/>
      <c r="AN2134" s="109"/>
      <c r="AO2134" s="109"/>
      <c r="AP2134" s="109"/>
      <c r="AQ2134" s="109"/>
      <c r="AR2134" s="109"/>
      <c r="AS2134" s="109"/>
    </row>
    <row r="2135" spans="1:45" ht="12.6" customHeight="1" x14ac:dyDescent="0.3">
      <c r="A2135" s="78"/>
      <c r="B2135" s="78"/>
      <c r="C2135" s="78"/>
      <c r="D2135" s="78"/>
      <c r="E2135" s="78"/>
      <c r="F2135" s="78"/>
      <c r="Z2135" s="109"/>
      <c r="AA2135" s="109"/>
      <c r="AB2135" s="109"/>
      <c r="AC2135" s="109"/>
      <c r="AD2135" s="109"/>
      <c r="AE2135" s="109"/>
      <c r="AF2135" s="109"/>
      <c r="AG2135" s="109"/>
      <c r="AH2135" s="109"/>
      <c r="AI2135" s="109"/>
      <c r="AJ2135" s="109"/>
      <c r="AK2135" s="109"/>
      <c r="AL2135" s="109"/>
      <c r="AM2135" s="109"/>
      <c r="AN2135" s="109"/>
      <c r="AO2135" s="109"/>
      <c r="AP2135" s="109"/>
      <c r="AQ2135" s="109"/>
      <c r="AR2135" s="109"/>
      <c r="AS2135" s="109"/>
    </row>
    <row r="2136" spans="1:45" ht="12.6" customHeight="1" x14ac:dyDescent="0.3">
      <c r="A2136" s="78"/>
      <c r="B2136" s="78"/>
      <c r="C2136" s="78"/>
      <c r="D2136" s="78"/>
      <c r="E2136" s="78"/>
      <c r="F2136" s="78"/>
      <c r="Z2136" s="109"/>
      <c r="AA2136" s="109"/>
      <c r="AB2136" s="109"/>
      <c r="AC2136" s="109"/>
      <c r="AD2136" s="109"/>
      <c r="AE2136" s="109"/>
      <c r="AF2136" s="109"/>
      <c r="AG2136" s="109"/>
      <c r="AH2136" s="109"/>
      <c r="AI2136" s="109"/>
      <c r="AJ2136" s="109"/>
      <c r="AK2136" s="109"/>
      <c r="AL2136" s="109"/>
      <c r="AM2136" s="109"/>
      <c r="AN2136" s="109"/>
      <c r="AO2136" s="109"/>
      <c r="AP2136" s="109"/>
      <c r="AQ2136" s="109"/>
      <c r="AR2136" s="109"/>
      <c r="AS2136" s="109"/>
    </row>
    <row r="2137" spans="1:45" ht="12.6" customHeight="1" x14ac:dyDescent="0.3">
      <c r="A2137" s="78"/>
      <c r="B2137" s="78"/>
      <c r="C2137" s="78"/>
      <c r="D2137" s="78"/>
      <c r="E2137" s="78"/>
      <c r="F2137" s="78"/>
      <c r="Z2137" s="109"/>
      <c r="AA2137" s="109"/>
      <c r="AB2137" s="109"/>
      <c r="AC2137" s="109"/>
      <c r="AD2137" s="109"/>
      <c r="AE2137" s="109"/>
      <c r="AF2137" s="109"/>
      <c r="AG2137" s="109"/>
      <c r="AH2137" s="109"/>
      <c r="AI2137" s="109"/>
      <c r="AJ2137" s="109"/>
      <c r="AK2137" s="109"/>
      <c r="AL2137" s="109"/>
      <c r="AM2137" s="109"/>
      <c r="AN2137" s="109"/>
      <c r="AO2137" s="109"/>
      <c r="AP2137" s="109"/>
      <c r="AQ2137" s="109"/>
      <c r="AR2137" s="109"/>
      <c r="AS2137" s="109"/>
    </row>
    <row r="2138" spans="1:45" ht="12.6" customHeight="1" x14ac:dyDescent="0.3">
      <c r="A2138" s="58"/>
      <c r="B2138" s="58"/>
      <c r="C2138" s="58"/>
      <c r="D2138" s="58"/>
      <c r="E2138" s="58"/>
      <c r="F2138" s="58"/>
      <c r="Z2138" s="109"/>
      <c r="AA2138" s="109"/>
      <c r="AB2138" s="109"/>
      <c r="AC2138" s="109"/>
      <c r="AD2138" s="109"/>
      <c r="AE2138" s="109"/>
      <c r="AF2138" s="109"/>
      <c r="AG2138" s="109"/>
      <c r="AH2138" s="109"/>
      <c r="AI2138" s="109"/>
      <c r="AJ2138" s="109"/>
      <c r="AK2138" s="109"/>
      <c r="AL2138" s="109"/>
      <c r="AM2138" s="109"/>
      <c r="AN2138" s="109"/>
      <c r="AO2138" s="109"/>
      <c r="AP2138" s="109"/>
      <c r="AQ2138" s="109"/>
      <c r="AR2138" s="109"/>
      <c r="AS2138" s="109"/>
    </row>
    <row r="2139" spans="1:45" ht="12.6" customHeight="1" x14ac:dyDescent="0.3">
      <c r="A2139" s="159" t="s">
        <v>1401</v>
      </c>
      <c r="B2139" s="152"/>
      <c r="C2139" s="55">
        <f>E2139+D2139+F2139</f>
        <v>5621</v>
      </c>
      <c r="D2139" s="54">
        <f>ROUNDDOWN(SUMIF(N2107:N2117,M2139,D2107:D2117),0)</f>
        <v>5458</v>
      </c>
      <c r="E2139" s="63">
        <f>ROUNDDOWN(SUMIF(N2107:N2117,M2139,E2107:E2117),0)</f>
        <v>0</v>
      </c>
      <c r="F2139" s="55">
        <f>ROUNDDOWN(SUMIF(N2107:N2117,M2139,F2107:F2117),0)</f>
        <v>163</v>
      </c>
      <c r="M2139" s="20" t="s">
        <v>1128</v>
      </c>
      <c r="Z2139" s="109"/>
      <c r="AA2139" s="109"/>
      <c r="AB2139" s="109"/>
      <c r="AC2139" s="109"/>
      <c r="AD2139" s="109"/>
      <c r="AE2139" s="109"/>
      <c r="AF2139" s="109"/>
      <c r="AG2139" s="109"/>
      <c r="AH2139" s="109"/>
      <c r="AI2139" s="109"/>
      <c r="AJ2139" s="109"/>
      <c r="AK2139" s="109"/>
      <c r="AL2139" s="109"/>
      <c r="AM2139" s="109"/>
      <c r="AN2139" s="109"/>
      <c r="AO2139" s="109"/>
      <c r="AP2139" s="109"/>
      <c r="AQ2139" s="109"/>
      <c r="AR2139" s="109"/>
      <c r="AS2139" s="109"/>
    </row>
    <row r="2140" spans="1:45" ht="12.6" customHeight="1" x14ac:dyDescent="0.3">
      <c r="A2140" s="95" t="s">
        <v>162</v>
      </c>
      <c r="B2140" s="96" t="s">
        <v>162</v>
      </c>
      <c r="C2140" s="158">
        <f>C2209</f>
        <v>970987</v>
      </c>
      <c r="D2140" s="158">
        <f>D2209</f>
        <v>922307</v>
      </c>
      <c r="E2140" s="158">
        <f>E2209</f>
        <v>13680</v>
      </c>
      <c r="F2140" s="158">
        <f>F2209</f>
        <v>35000</v>
      </c>
      <c r="G2140" s="36" t="str">
        <f>HYPERLINK("#G"&amp;ROW(G2176),"_x0005_`BDCOD|D02251_x0007_`POSS|"&amp;ROW(G2142)&amp;"_x0007_`POSE|"&amp;ROW(G2176)&amp;"_x0007_`")</f>
        <v>_x0005_`BDCOD|D02251_x0007_`POSS|2142_x0007_`POSE|2176_x0007_`</v>
      </c>
      <c r="Z2140" s="109"/>
      <c r="AA2140" s="109"/>
      <c r="AB2140" s="109"/>
      <c r="AC2140" s="109"/>
      <c r="AD2140" s="109"/>
      <c r="AE2140" s="109"/>
      <c r="AF2140" s="109"/>
      <c r="AG2140" s="109"/>
      <c r="AH2140" s="109"/>
      <c r="AI2140" s="109"/>
      <c r="AJ2140" s="109"/>
      <c r="AK2140" s="109"/>
      <c r="AL2140" s="109"/>
      <c r="AM2140" s="109"/>
      <c r="AN2140" s="109"/>
      <c r="AO2140" s="109"/>
      <c r="AP2140" s="109"/>
      <c r="AQ2140" s="109"/>
      <c r="AR2140" s="109"/>
      <c r="AS2140" s="109"/>
    </row>
    <row r="2141" spans="1:45" ht="12.6" customHeight="1" x14ac:dyDescent="0.3">
      <c r="A2141" s="84"/>
      <c r="B2141" s="96" t="s">
        <v>287</v>
      </c>
      <c r="C2141" s="141"/>
      <c r="D2141" s="141"/>
      <c r="E2141" s="141"/>
      <c r="F2141" s="141"/>
      <c r="M2141" s="20" t="s">
        <v>286</v>
      </c>
      <c r="Z2141" s="109"/>
      <c r="AA2141" s="109"/>
      <c r="AB2141" s="109"/>
      <c r="AC2141" s="109"/>
      <c r="AD2141" s="109"/>
      <c r="AE2141" s="109"/>
      <c r="AF2141" s="109"/>
      <c r="AG2141" s="109"/>
      <c r="AH2141" s="109"/>
      <c r="AI2141" s="109"/>
      <c r="AJ2141" s="109"/>
      <c r="AK2141" s="109"/>
      <c r="AL2141" s="109"/>
      <c r="AM2141" s="109"/>
      <c r="AN2141" s="109"/>
      <c r="AO2141" s="109"/>
      <c r="AP2141" s="109"/>
      <c r="AQ2141" s="109"/>
      <c r="AR2141" s="109"/>
      <c r="AS2141" s="109"/>
    </row>
    <row r="2142" spans="1:45" ht="12.6" customHeight="1" x14ac:dyDescent="0.3">
      <c r="A2142" s="68"/>
      <c r="B2142" s="77" t="s">
        <v>2051</v>
      </c>
      <c r="C2142" s="98"/>
      <c r="D2142" s="98"/>
      <c r="E2142" s="98"/>
      <c r="F2142" s="98"/>
      <c r="G2142" s="16" t="s">
        <v>2050</v>
      </c>
      <c r="Z2142" s="109"/>
      <c r="AA2142" s="109"/>
      <c r="AB2142" s="109"/>
      <c r="AC2142" s="109"/>
      <c r="AD2142" s="109"/>
      <c r="AE2142" s="109"/>
      <c r="AF2142" s="109"/>
      <c r="AG2142" s="109"/>
      <c r="AH2142" s="109"/>
      <c r="AI2142" s="109"/>
      <c r="AJ2142" s="109"/>
      <c r="AK2142" s="109"/>
      <c r="AL2142" s="109"/>
      <c r="AM2142" s="109"/>
      <c r="AN2142" s="109"/>
      <c r="AO2142" s="109"/>
      <c r="AP2142" s="109"/>
      <c r="AQ2142" s="109"/>
      <c r="AR2142" s="109"/>
      <c r="AS2142" s="109"/>
    </row>
    <row r="2143" spans="1:45" ht="12.6" customHeight="1" x14ac:dyDescent="0.3">
      <c r="A2143" s="78"/>
      <c r="B2143" s="78"/>
      <c r="C2143" s="78"/>
      <c r="D2143" s="78"/>
      <c r="E2143" s="78"/>
      <c r="F2143" s="78"/>
      <c r="G2143" s="16" t="s">
        <v>1317</v>
      </c>
      <c r="Z2143" s="109"/>
      <c r="AA2143" s="109"/>
      <c r="AB2143" s="109"/>
      <c r="AC2143" s="109"/>
      <c r="AD2143" s="109"/>
      <c r="AE2143" s="109"/>
      <c r="AF2143" s="109"/>
      <c r="AG2143" s="109"/>
      <c r="AH2143" s="109"/>
      <c r="AI2143" s="109"/>
      <c r="AJ2143" s="109"/>
      <c r="AK2143" s="109"/>
      <c r="AL2143" s="109"/>
      <c r="AM2143" s="109"/>
      <c r="AN2143" s="109"/>
      <c r="AO2143" s="109"/>
      <c r="AP2143" s="109"/>
      <c r="AQ2143" s="109"/>
      <c r="AR2143" s="109"/>
      <c r="AS2143" s="109"/>
    </row>
    <row r="2144" spans="1:45" ht="12.6" customHeight="1" x14ac:dyDescent="0.3">
      <c r="A2144" s="68"/>
      <c r="B2144" s="77" t="s">
        <v>2053</v>
      </c>
      <c r="C2144" s="78"/>
      <c r="D2144" s="78"/>
      <c r="E2144" s="78"/>
      <c r="F2144" s="78"/>
      <c r="G2144" s="16" t="s">
        <v>2052</v>
      </c>
      <c r="Z2144" s="109"/>
      <c r="AA2144" s="109"/>
      <c r="AB2144" s="109"/>
      <c r="AC2144" s="109"/>
      <c r="AD2144" s="109"/>
      <c r="AE2144" s="109"/>
      <c r="AF2144" s="109"/>
      <c r="AG2144" s="109"/>
      <c r="AH2144" s="109"/>
      <c r="AI2144" s="109"/>
      <c r="AJ2144" s="109"/>
      <c r="AK2144" s="109"/>
      <c r="AL2144" s="109"/>
      <c r="AM2144" s="109"/>
      <c r="AN2144" s="109"/>
      <c r="AO2144" s="109"/>
      <c r="AP2144" s="109"/>
      <c r="AQ2144" s="109"/>
      <c r="AR2144" s="109"/>
      <c r="AS2144" s="109"/>
    </row>
    <row r="2145" spans="1:45" ht="12.6" customHeight="1" x14ac:dyDescent="0.3">
      <c r="A2145" s="78"/>
      <c r="B2145" s="78"/>
      <c r="C2145" s="78"/>
      <c r="D2145" s="78"/>
      <c r="E2145" s="78"/>
      <c r="F2145" s="78"/>
      <c r="G2145" s="16" t="s">
        <v>1317</v>
      </c>
      <c r="Z2145" s="109"/>
      <c r="AA2145" s="109"/>
      <c r="AB2145" s="109"/>
      <c r="AC2145" s="109"/>
      <c r="AD2145" s="109"/>
      <c r="AE2145" s="109"/>
      <c r="AF2145" s="109"/>
      <c r="AG2145" s="109"/>
      <c r="AH2145" s="109"/>
      <c r="AI2145" s="109"/>
      <c r="AJ2145" s="109"/>
      <c r="AK2145" s="109"/>
      <c r="AL2145" s="109"/>
      <c r="AM2145" s="109"/>
      <c r="AN2145" s="109"/>
      <c r="AO2145" s="109"/>
      <c r="AP2145" s="109"/>
      <c r="AQ2145" s="109"/>
      <c r="AR2145" s="109"/>
      <c r="AS2145" s="109"/>
    </row>
    <row r="2146" spans="1:45" ht="12.6" customHeight="1" x14ac:dyDescent="0.3">
      <c r="A2146" s="68"/>
      <c r="B2146" s="77" t="s">
        <v>2055</v>
      </c>
      <c r="C2146" s="78"/>
      <c r="D2146" s="78"/>
      <c r="E2146" s="78"/>
      <c r="F2146" s="78"/>
      <c r="G2146" s="16" t="s">
        <v>2054</v>
      </c>
      <c r="Z2146" s="109"/>
      <c r="AA2146" s="109"/>
      <c r="AB2146" s="109"/>
      <c r="AC2146" s="109"/>
      <c r="AD2146" s="109"/>
      <c r="AE2146" s="109"/>
      <c r="AF2146" s="109"/>
      <c r="AG2146" s="109"/>
      <c r="AH2146" s="109"/>
      <c r="AI2146" s="109"/>
      <c r="AJ2146" s="109"/>
      <c r="AK2146" s="109"/>
      <c r="AL2146" s="109"/>
      <c r="AM2146" s="109"/>
      <c r="AN2146" s="109"/>
      <c r="AO2146" s="109"/>
      <c r="AP2146" s="109"/>
      <c r="AQ2146" s="109"/>
      <c r="AR2146" s="109"/>
      <c r="AS2146" s="109"/>
    </row>
    <row r="2147" spans="1:45" ht="12.6" customHeight="1" x14ac:dyDescent="0.3">
      <c r="A2147" s="78"/>
      <c r="B2147" s="78"/>
      <c r="C2147" s="78"/>
      <c r="D2147" s="78"/>
      <c r="E2147" s="78"/>
      <c r="F2147" s="78"/>
      <c r="G2147" s="16" t="s">
        <v>1317</v>
      </c>
      <c r="Z2147" s="109"/>
      <c r="AA2147" s="109"/>
      <c r="AB2147" s="109"/>
      <c r="AC2147" s="109"/>
      <c r="AD2147" s="109"/>
      <c r="AE2147" s="109"/>
      <c r="AF2147" s="109"/>
      <c r="AG2147" s="109"/>
      <c r="AH2147" s="109"/>
      <c r="AI2147" s="109"/>
      <c r="AJ2147" s="109"/>
      <c r="AK2147" s="109"/>
      <c r="AL2147" s="109"/>
      <c r="AM2147" s="109"/>
      <c r="AN2147" s="109"/>
      <c r="AO2147" s="109"/>
      <c r="AP2147" s="109"/>
      <c r="AQ2147" s="109"/>
      <c r="AR2147" s="109"/>
      <c r="AS2147" s="109"/>
    </row>
    <row r="2148" spans="1:45" ht="12.6" customHeight="1" x14ac:dyDescent="0.3">
      <c r="A2148" s="68"/>
      <c r="B2148" s="77" t="s">
        <v>2057</v>
      </c>
      <c r="C2148" s="78"/>
      <c r="D2148" s="78"/>
      <c r="E2148" s="78"/>
      <c r="F2148" s="78"/>
      <c r="G2148" s="16" t="s">
        <v>2056</v>
      </c>
      <c r="Z2148" s="109"/>
      <c r="AA2148" s="109"/>
      <c r="AB2148" s="109"/>
      <c r="AC2148" s="109"/>
      <c r="AD2148" s="109"/>
      <c r="AE2148" s="109"/>
      <c r="AF2148" s="109"/>
      <c r="AG2148" s="109"/>
      <c r="AH2148" s="109"/>
      <c r="AI2148" s="109"/>
      <c r="AJ2148" s="109"/>
      <c r="AK2148" s="109"/>
      <c r="AL2148" s="109"/>
      <c r="AM2148" s="109"/>
      <c r="AN2148" s="109"/>
      <c r="AO2148" s="109"/>
      <c r="AP2148" s="109"/>
      <c r="AQ2148" s="109"/>
      <c r="AR2148" s="109"/>
      <c r="AS2148" s="109"/>
    </row>
    <row r="2149" spans="1:45" ht="12.6" customHeight="1" x14ac:dyDescent="0.3">
      <c r="A2149" s="78"/>
      <c r="B2149" s="78"/>
      <c r="C2149" s="78"/>
      <c r="D2149" s="78"/>
      <c r="E2149" s="78"/>
      <c r="F2149" s="78"/>
      <c r="G2149" s="16" t="s">
        <v>1317</v>
      </c>
      <c r="Z2149" s="109"/>
      <c r="AA2149" s="109"/>
      <c r="AB2149" s="109"/>
      <c r="AC2149" s="109"/>
      <c r="AD2149" s="109"/>
      <c r="AE2149" s="109"/>
      <c r="AF2149" s="109"/>
      <c r="AG2149" s="109"/>
      <c r="AH2149" s="109"/>
      <c r="AI2149" s="109"/>
      <c r="AJ2149" s="109"/>
      <c r="AK2149" s="109"/>
      <c r="AL2149" s="109"/>
      <c r="AM2149" s="109"/>
      <c r="AN2149" s="109"/>
      <c r="AO2149" s="109"/>
      <c r="AP2149" s="109"/>
      <c r="AQ2149" s="109"/>
      <c r="AR2149" s="109"/>
      <c r="AS2149" s="109"/>
    </row>
    <row r="2150" spans="1:45" ht="12.6" customHeight="1" x14ac:dyDescent="0.3">
      <c r="A2150" s="68" t="s">
        <v>678</v>
      </c>
      <c r="B2150" s="97" t="str">
        <f>" 철근공 : "&amp;TEXT(I2150,"#,##0"&amp;IF(I2150&lt;&gt;INT(I2150),".###",""))&amp;" * "&amp;AA2150&amp;" / "&amp;AC2150&amp;" = "&amp;TEXT(C2150,"#,##0.0")&amp;""</f>
        <v xml:space="preserve"> 철근공 : 260,137 * 3 / 4 = 195,102.7</v>
      </c>
      <c r="C2150" s="99">
        <f>E2150+D2150+F2150</f>
        <v>195102.7</v>
      </c>
      <c r="D2150" s="99">
        <f>IF(H2150=0,0,ROUNDDOWN(J2150*H2150,1))</f>
        <v>195102.7</v>
      </c>
      <c r="E2150" s="99">
        <f>IF(H2150=0,0,ROUNDDOWN(K2150*H2150,1))</f>
        <v>0</v>
      </c>
      <c r="F2150" s="99">
        <f>IF(H2150=0,0,ROUNDDOWN(L2150*H2150,1))</f>
        <v>0</v>
      </c>
      <c r="G2150" s="16" t="s">
        <v>2058</v>
      </c>
      <c r="H2150" s="105">
        <f>AE2150</f>
        <v>0.75</v>
      </c>
      <c r="I2150" s="106">
        <f>K2150+J2150+L2150</f>
        <v>260137</v>
      </c>
      <c r="J2150" s="39">
        <f>노무비목록표!E14</f>
        <v>260137</v>
      </c>
      <c r="M2150" s="20" t="s">
        <v>2059</v>
      </c>
      <c r="N2150" s="20" t="s">
        <v>1332</v>
      </c>
      <c r="O2150" s="20" t="s">
        <v>1247</v>
      </c>
      <c r="X2150" s="108" t="str">
        <f>노무비목록표!B14&amp;" / "&amp;노무비목록표!C14</f>
        <v xml:space="preserve">철근공 / </v>
      </c>
      <c r="Y2150" s="19" t="str">
        <f ca="1">HYPERLINK("#"&amp;노무비목록표!G2&amp;"!A"&amp;ROW(노무비목록표!A14),"노무   11 →")</f>
        <v>노무   11 →</v>
      </c>
      <c r="Z2150" s="20" t="s">
        <v>1338</v>
      </c>
      <c r="AA2150" s="111">
        <v>3</v>
      </c>
      <c r="AB2150" s="20" t="s">
        <v>1387</v>
      </c>
      <c r="AC2150" s="111">
        <v>4</v>
      </c>
      <c r="AD2150" s="20" t="s">
        <v>1326</v>
      </c>
      <c r="AE2150" s="113">
        <f>1*AA2150/AC2150</f>
        <v>0.75</v>
      </c>
      <c r="AF2150" s="109"/>
      <c r="AG2150" s="109"/>
      <c r="AH2150" s="109"/>
      <c r="AI2150" s="109"/>
      <c r="AJ2150" s="109"/>
      <c r="AK2150" s="109"/>
      <c r="AL2150" s="109"/>
      <c r="AM2150" s="109"/>
      <c r="AN2150" s="109"/>
      <c r="AO2150" s="109"/>
      <c r="AP2150" s="109"/>
      <c r="AQ2150" s="109"/>
      <c r="AR2150" s="109"/>
      <c r="AS2150" s="109"/>
    </row>
    <row r="2151" spans="1:45" ht="12.6" customHeight="1" x14ac:dyDescent="0.3">
      <c r="A2151" s="78"/>
      <c r="B2151" s="78"/>
      <c r="C2151" s="78"/>
      <c r="D2151" s="78"/>
      <c r="E2151" s="78"/>
      <c r="F2151" s="78"/>
      <c r="G2151" s="16" t="s">
        <v>1317</v>
      </c>
      <c r="Z2151" s="109"/>
      <c r="AA2151" s="109"/>
      <c r="AB2151" s="109"/>
      <c r="AC2151" s="109"/>
      <c r="AD2151" s="109"/>
      <c r="AE2151" s="109"/>
      <c r="AF2151" s="109"/>
      <c r="AG2151" s="109"/>
      <c r="AH2151" s="109"/>
      <c r="AI2151" s="109"/>
      <c r="AJ2151" s="109"/>
      <c r="AK2151" s="109"/>
      <c r="AL2151" s="109"/>
      <c r="AM2151" s="109"/>
      <c r="AN2151" s="109"/>
      <c r="AO2151" s="109"/>
      <c r="AP2151" s="109"/>
      <c r="AQ2151" s="109"/>
      <c r="AR2151" s="109"/>
      <c r="AS2151" s="109"/>
    </row>
    <row r="2152" spans="1:45" ht="12.6" customHeight="1" x14ac:dyDescent="0.3">
      <c r="A2152" s="68" t="s">
        <v>663</v>
      </c>
      <c r="B2152" s="97" t="str">
        <f>" 보통인부 : "&amp;TEXT(I2152,"#,##0"&amp;IF(I2152&lt;&gt;INT(I2152),".###",""))&amp;" * "&amp;AA2152&amp;" / "&amp;AC2152&amp;" = "&amp;TEXT(C2152,"#,##0.0")&amp;""</f>
        <v xml:space="preserve"> 보통인부 : 165,545 * 1 / 4 = 41,386.2</v>
      </c>
      <c r="C2152" s="99">
        <f>E2152+D2152+F2152</f>
        <v>41386.199999999997</v>
      </c>
      <c r="D2152" s="99">
        <f>IF(H2152=0,0,ROUNDDOWN(J2152*H2152,1))</f>
        <v>41386.199999999997</v>
      </c>
      <c r="E2152" s="99">
        <f>IF(H2152=0,0,ROUNDDOWN(K2152*H2152,1))</f>
        <v>0</v>
      </c>
      <c r="F2152" s="99">
        <f>IF(H2152=0,0,ROUNDDOWN(L2152*H2152,1))</f>
        <v>0</v>
      </c>
      <c r="G2152" s="16" t="s">
        <v>2060</v>
      </c>
      <c r="H2152" s="105">
        <f>AE2152</f>
        <v>0.25</v>
      </c>
      <c r="I2152" s="106">
        <f>K2152+J2152+L2152</f>
        <v>165545</v>
      </c>
      <c r="J2152" s="39">
        <f>노무비목록표!E9</f>
        <v>165545</v>
      </c>
      <c r="M2152" s="20" t="s">
        <v>1126</v>
      </c>
      <c r="N2152" s="20" t="s">
        <v>1332</v>
      </c>
      <c r="O2152" s="20" t="s">
        <v>1247</v>
      </c>
      <c r="X2152" s="108" t="str">
        <f>노무비목록표!B9&amp;" / "&amp;노무비목록표!C9</f>
        <v xml:space="preserve">보통인부 / </v>
      </c>
      <c r="Y2152" s="19" t="str">
        <f ca="1">HYPERLINK("#"&amp;노무비목록표!G2&amp;"!A"&amp;ROW(노무비목록표!A9),"노무    6 →")</f>
        <v>노무    6 →</v>
      </c>
      <c r="Z2152" s="20" t="s">
        <v>1338</v>
      </c>
      <c r="AA2152" s="111">
        <v>1</v>
      </c>
      <c r="AB2152" s="20" t="s">
        <v>1387</v>
      </c>
      <c r="AC2152" s="111">
        <v>4</v>
      </c>
      <c r="AD2152" s="20" t="s">
        <v>1326</v>
      </c>
      <c r="AE2152" s="113">
        <f>1*AA2152/AC2152</f>
        <v>0.25</v>
      </c>
      <c r="AF2152" s="109"/>
      <c r="AG2152" s="109"/>
      <c r="AH2152" s="109"/>
      <c r="AI2152" s="109"/>
      <c r="AJ2152" s="109"/>
      <c r="AK2152" s="109"/>
      <c r="AL2152" s="109"/>
      <c r="AM2152" s="109"/>
      <c r="AN2152" s="109"/>
      <c r="AO2152" s="109"/>
      <c r="AP2152" s="109"/>
      <c r="AQ2152" s="109"/>
      <c r="AR2152" s="109"/>
      <c r="AS2152" s="109"/>
    </row>
    <row r="2153" spans="1:45" ht="12.6" customHeight="1" x14ac:dyDescent="0.3">
      <c r="A2153" s="78"/>
      <c r="B2153" s="78"/>
      <c r="C2153" s="78"/>
      <c r="D2153" s="78"/>
      <c r="E2153" s="78"/>
      <c r="F2153" s="78"/>
      <c r="G2153" s="16" t="s">
        <v>1317</v>
      </c>
      <c r="Z2153" s="109"/>
      <c r="AA2153" s="109"/>
      <c r="AB2153" s="109"/>
      <c r="AC2153" s="109"/>
      <c r="AD2153" s="109"/>
      <c r="AE2153" s="109"/>
      <c r="AF2153" s="109"/>
      <c r="AG2153" s="109"/>
      <c r="AH2153" s="109"/>
      <c r="AI2153" s="109"/>
      <c r="AJ2153" s="109"/>
      <c r="AK2153" s="109"/>
      <c r="AL2153" s="109"/>
      <c r="AM2153" s="109"/>
      <c r="AN2153" s="109"/>
      <c r="AO2153" s="109"/>
      <c r="AP2153" s="109"/>
      <c r="AQ2153" s="109"/>
      <c r="AR2153" s="109"/>
      <c r="AS2153" s="109"/>
    </row>
    <row r="2154" spans="1:45" ht="12.6" customHeight="1" x14ac:dyDescent="0.3">
      <c r="A2154" s="68"/>
      <c r="B2154" s="97" t="str">
        <f>" 공구손료 및 경장비(철근가공기 등) : "&amp;TEXT(I2154,"#,##0.0")&amp;" * "&amp;AA2154&amp;" %  = "&amp;TEXT(C2154,"#,##0.0")&amp;""</f>
        <v xml:space="preserve"> 공구손료 및 경장비(철근가공기 등) : 236,488.9 * 9 %  = 21,284.0</v>
      </c>
      <c r="C2154" s="99">
        <f>E2154+D2154+F2154</f>
        <v>21284</v>
      </c>
      <c r="D2154" s="99">
        <f>IF(H2154=0,0,ROUNDDOWN(J2154*H2154/100,1))</f>
        <v>0</v>
      </c>
      <c r="E2154" s="99">
        <f>IF(H2154=0,0,ROUNDDOWN(K2154*H2154/100,1))</f>
        <v>0</v>
      </c>
      <c r="F2154" s="99">
        <f>IF(H2154=0,0,ROUNDDOWN(L2154*H2154/100,1))</f>
        <v>21284</v>
      </c>
      <c r="G2154" s="16" t="s">
        <v>2061</v>
      </c>
      <c r="H2154" s="105">
        <f>AC2154</f>
        <v>9</v>
      </c>
      <c r="I2154" s="106">
        <f>K2154+J2154+L2154</f>
        <v>236488.90000000002</v>
      </c>
      <c r="J2154" s="37">
        <v>0</v>
      </c>
      <c r="K2154" s="37">
        <v>0</v>
      </c>
      <c r="L2154" s="39">
        <f>SUMIF(O2142:O2153,"1_01",D2142:D2153)</f>
        <v>236488.90000000002</v>
      </c>
      <c r="M2154" s="20" t="s">
        <v>1367</v>
      </c>
      <c r="N2154" s="20" t="s">
        <v>1332</v>
      </c>
      <c r="Z2154" s="20" t="s">
        <v>1338</v>
      </c>
      <c r="AA2154" s="111">
        <v>9</v>
      </c>
      <c r="AB2154" s="20" t="s">
        <v>1326</v>
      </c>
      <c r="AC2154" s="113">
        <f>1*AA2154</f>
        <v>9</v>
      </c>
      <c r="AD2154" s="109"/>
      <c r="AE2154" s="109"/>
      <c r="AF2154" s="109"/>
      <c r="AG2154" s="109"/>
      <c r="AH2154" s="109"/>
      <c r="AI2154" s="109"/>
      <c r="AJ2154" s="109"/>
      <c r="AK2154" s="109"/>
      <c r="AL2154" s="109"/>
      <c r="AM2154" s="109"/>
      <c r="AN2154" s="109"/>
      <c r="AO2154" s="109"/>
      <c r="AP2154" s="109"/>
      <c r="AQ2154" s="109"/>
      <c r="AR2154" s="109"/>
      <c r="AS2154" s="109"/>
    </row>
    <row r="2155" spans="1:45" ht="12.6" customHeight="1" x14ac:dyDescent="0.3">
      <c r="A2155" s="78"/>
      <c r="B2155" s="78"/>
      <c r="C2155" s="78"/>
      <c r="D2155" s="78"/>
      <c r="E2155" s="78"/>
      <c r="F2155" s="78"/>
      <c r="G2155" s="16" t="s">
        <v>1317</v>
      </c>
      <c r="Z2155" s="109"/>
      <c r="AA2155" s="109"/>
      <c r="AB2155" s="109"/>
      <c r="AC2155" s="109"/>
      <c r="AD2155" s="109"/>
      <c r="AE2155" s="109"/>
      <c r="AF2155" s="109"/>
      <c r="AG2155" s="109"/>
      <c r="AH2155" s="109"/>
      <c r="AI2155" s="109"/>
      <c r="AJ2155" s="109"/>
      <c r="AK2155" s="109"/>
      <c r="AL2155" s="109"/>
      <c r="AM2155" s="109"/>
      <c r="AN2155" s="109"/>
      <c r="AO2155" s="109"/>
      <c r="AP2155" s="109"/>
      <c r="AQ2155" s="109"/>
      <c r="AR2155" s="109"/>
      <c r="AS2155" s="109"/>
    </row>
    <row r="2156" spans="1:45" ht="12.6" customHeight="1" x14ac:dyDescent="0.3">
      <c r="A2156" s="68"/>
      <c r="B2156" s="77" t="s">
        <v>1331</v>
      </c>
      <c r="C2156" s="100">
        <f>E2156+D2156+F2156</f>
        <v>257772.90000000002</v>
      </c>
      <c r="D2156" s="100">
        <f>SUMIF(N2142:N2155,M2156,D2142:D2155)</f>
        <v>236488.90000000002</v>
      </c>
      <c r="E2156" s="100">
        <f>SUMIF(N2142:N2155,M2156,E2142:E2155)</f>
        <v>0</v>
      </c>
      <c r="F2156" s="100">
        <f>SUMIF(N2142:N2155,M2156,F2142:F2155)</f>
        <v>21284</v>
      </c>
      <c r="G2156" s="16" t="s">
        <v>1415</v>
      </c>
      <c r="M2156" s="20" t="s">
        <v>1332</v>
      </c>
      <c r="N2156" s="20" t="s">
        <v>1341</v>
      </c>
      <c r="Z2156" s="109"/>
      <c r="AA2156" s="109"/>
      <c r="AB2156" s="109"/>
      <c r="AC2156" s="109"/>
      <c r="AD2156" s="109"/>
      <c r="AE2156" s="109"/>
      <c r="AF2156" s="109"/>
      <c r="AG2156" s="109"/>
      <c r="AH2156" s="109"/>
      <c r="AI2156" s="109"/>
      <c r="AJ2156" s="109"/>
      <c r="AK2156" s="109"/>
      <c r="AL2156" s="109"/>
      <c r="AM2156" s="109"/>
      <c r="AN2156" s="109"/>
      <c r="AO2156" s="109"/>
      <c r="AP2156" s="109"/>
      <c r="AQ2156" s="109"/>
      <c r="AR2156" s="109"/>
      <c r="AS2156" s="109"/>
    </row>
    <row r="2157" spans="1:45" ht="12.6" customHeight="1" x14ac:dyDescent="0.3">
      <c r="A2157" s="78"/>
      <c r="B2157" s="78"/>
      <c r="C2157" s="98"/>
      <c r="D2157" s="98"/>
      <c r="E2157" s="98"/>
      <c r="F2157" s="98"/>
      <c r="G2157" s="16" t="s">
        <v>1317</v>
      </c>
      <c r="Z2157" s="109"/>
      <c r="AA2157" s="109"/>
      <c r="AB2157" s="109"/>
      <c r="AC2157" s="109"/>
      <c r="AD2157" s="109"/>
      <c r="AE2157" s="109"/>
      <c r="AF2157" s="109"/>
      <c r="AG2157" s="109"/>
      <c r="AH2157" s="109"/>
      <c r="AI2157" s="109"/>
      <c r="AJ2157" s="109"/>
      <c r="AK2157" s="109"/>
      <c r="AL2157" s="109"/>
      <c r="AM2157" s="109"/>
      <c r="AN2157" s="109"/>
      <c r="AO2157" s="109"/>
      <c r="AP2157" s="109"/>
      <c r="AQ2157" s="109"/>
      <c r="AR2157" s="109"/>
      <c r="AS2157" s="109"/>
    </row>
    <row r="2158" spans="1:45" ht="12.6" customHeight="1" x14ac:dyDescent="0.3">
      <c r="A2158" s="78"/>
      <c r="B2158" s="78"/>
      <c r="C2158" s="78"/>
      <c r="D2158" s="78"/>
      <c r="E2158" s="78"/>
      <c r="F2158" s="78"/>
      <c r="G2158" s="16" t="s">
        <v>1317</v>
      </c>
      <c r="Z2158" s="109"/>
      <c r="AA2158" s="109"/>
      <c r="AB2158" s="109"/>
      <c r="AC2158" s="109"/>
      <c r="AD2158" s="109"/>
      <c r="AE2158" s="109"/>
      <c r="AF2158" s="109"/>
      <c r="AG2158" s="109"/>
      <c r="AH2158" s="109"/>
      <c r="AI2158" s="109"/>
      <c r="AJ2158" s="109"/>
      <c r="AK2158" s="109"/>
      <c r="AL2158" s="109"/>
      <c r="AM2158" s="109"/>
      <c r="AN2158" s="109"/>
      <c r="AO2158" s="109"/>
      <c r="AP2158" s="109"/>
      <c r="AQ2158" s="109"/>
      <c r="AR2158" s="109"/>
      <c r="AS2158" s="109"/>
    </row>
    <row r="2159" spans="1:45" ht="12.6" customHeight="1" x14ac:dyDescent="0.3">
      <c r="A2159" s="68"/>
      <c r="B2159" s="77" t="s">
        <v>2063</v>
      </c>
      <c r="C2159" s="78"/>
      <c r="D2159" s="78"/>
      <c r="E2159" s="78"/>
      <c r="F2159" s="78"/>
      <c r="G2159" s="16" t="s">
        <v>2062</v>
      </c>
      <c r="Z2159" s="109"/>
      <c r="AA2159" s="109"/>
      <c r="AB2159" s="109"/>
      <c r="AC2159" s="109"/>
      <c r="AD2159" s="109"/>
      <c r="AE2159" s="109"/>
      <c r="AF2159" s="109"/>
      <c r="AG2159" s="109"/>
      <c r="AH2159" s="109"/>
      <c r="AI2159" s="109"/>
      <c r="AJ2159" s="109"/>
      <c r="AK2159" s="109"/>
      <c r="AL2159" s="109"/>
      <c r="AM2159" s="109"/>
      <c r="AN2159" s="109"/>
      <c r="AO2159" s="109"/>
      <c r="AP2159" s="109"/>
      <c r="AQ2159" s="109"/>
      <c r="AR2159" s="109"/>
      <c r="AS2159" s="109"/>
    </row>
    <row r="2160" spans="1:45" ht="12.6" customHeight="1" x14ac:dyDescent="0.3">
      <c r="A2160" s="78"/>
      <c r="B2160" s="78"/>
      <c r="C2160" s="78"/>
      <c r="D2160" s="78"/>
      <c r="E2160" s="78"/>
      <c r="F2160" s="78"/>
      <c r="G2160" s="16" t="s">
        <v>1317</v>
      </c>
      <c r="Z2160" s="109"/>
      <c r="AA2160" s="109"/>
      <c r="AB2160" s="109"/>
      <c r="AC2160" s="109"/>
      <c r="AD2160" s="109"/>
      <c r="AE2160" s="109"/>
      <c r="AF2160" s="109"/>
      <c r="AG2160" s="109"/>
      <c r="AH2160" s="109"/>
      <c r="AI2160" s="109"/>
      <c r="AJ2160" s="109"/>
      <c r="AK2160" s="109"/>
      <c r="AL2160" s="109"/>
      <c r="AM2160" s="109"/>
      <c r="AN2160" s="109"/>
      <c r="AO2160" s="109"/>
      <c r="AP2160" s="109"/>
      <c r="AQ2160" s="109"/>
      <c r="AR2160" s="109"/>
      <c r="AS2160" s="109"/>
    </row>
    <row r="2161" spans="1:45" ht="12.6" customHeight="1" x14ac:dyDescent="0.3">
      <c r="A2161" s="68" t="s">
        <v>678</v>
      </c>
      <c r="B2161" s="97" t="str">
        <f>" 철근공 : "&amp;TEXT(I2161,"#,##0"&amp;IF(I2161&lt;&gt;INT(I2161),".###",""))&amp;" * "&amp;AA2161&amp;" / "&amp;AC2161&amp;" = "&amp;TEXT(C2161,"#,##0.0")&amp;""</f>
        <v xml:space="preserve"> 철근공 : 260,137 * 2 / 1 = 520,274.0</v>
      </c>
      <c r="C2161" s="99">
        <f>E2161+D2161+F2161</f>
        <v>520274</v>
      </c>
      <c r="D2161" s="99">
        <f>IF(H2161=0,0,ROUNDDOWN(J2161*H2161,1))</f>
        <v>520274</v>
      </c>
      <c r="E2161" s="99">
        <f>IF(H2161=0,0,ROUNDDOWN(K2161*H2161,1))</f>
        <v>0</v>
      </c>
      <c r="F2161" s="99">
        <f>IF(H2161=0,0,ROUNDDOWN(L2161*H2161,1))</f>
        <v>0</v>
      </c>
      <c r="G2161" s="16" t="s">
        <v>2064</v>
      </c>
      <c r="H2161" s="105">
        <f>AE2161</f>
        <v>2</v>
      </c>
      <c r="I2161" s="106">
        <f>K2161+J2161+L2161</f>
        <v>260137</v>
      </c>
      <c r="J2161" s="39">
        <f>노무비목록표!E14</f>
        <v>260137</v>
      </c>
      <c r="M2161" s="20" t="s">
        <v>2059</v>
      </c>
      <c r="N2161" s="20" t="s">
        <v>1332</v>
      </c>
      <c r="O2161" s="20" t="s">
        <v>1359</v>
      </c>
      <c r="X2161" s="108" t="str">
        <f>노무비목록표!B14&amp;" / "&amp;노무비목록표!C14</f>
        <v xml:space="preserve">철근공 / </v>
      </c>
      <c r="Y2161" s="19" t="str">
        <f ca="1">HYPERLINK("#"&amp;노무비목록표!G2&amp;"!A"&amp;ROW(노무비목록표!A14),"노무   11 →")</f>
        <v>노무   11 →</v>
      </c>
      <c r="Z2161" s="20" t="s">
        <v>1338</v>
      </c>
      <c r="AA2161" s="111">
        <v>2</v>
      </c>
      <c r="AB2161" s="20" t="s">
        <v>1387</v>
      </c>
      <c r="AC2161" s="111">
        <v>1</v>
      </c>
      <c r="AD2161" s="20" t="s">
        <v>1326</v>
      </c>
      <c r="AE2161" s="113">
        <f>1*AA2161/AC2161</f>
        <v>2</v>
      </c>
      <c r="AF2161" s="109"/>
      <c r="AG2161" s="109"/>
      <c r="AH2161" s="109"/>
      <c r="AI2161" s="109"/>
      <c r="AJ2161" s="109"/>
      <c r="AK2161" s="109"/>
      <c r="AL2161" s="109"/>
      <c r="AM2161" s="109"/>
      <c r="AN2161" s="109"/>
      <c r="AO2161" s="109"/>
      <c r="AP2161" s="109"/>
      <c r="AQ2161" s="109"/>
      <c r="AR2161" s="109"/>
      <c r="AS2161" s="109"/>
    </row>
    <row r="2162" spans="1:45" ht="12.6" customHeight="1" x14ac:dyDescent="0.3">
      <c r="A2162" s="78"/>
      <c r="B2162" s="78"/>
      <c r="C2162" s="78"/>
      <c r="D2162" s="78"/>
      <c r="E2162" s="78"/>
      <c r="F2162" s="78"/>
      <c r="G2162" s="16" t="s">
        <v>1317</v>
      </c>
      <c r="Z2162" s="109"/>
      <c r="AA2162" s="109"/>
      <c r="AB2162" s="109"/>
      <c r="AC2162" s="109"/>
      <c r="AD2162" s="109"/>
      <c r="AE2162" s="109"/>
      <c r="AF2162" s="109"/>
      <c r="AG2162" s="109"/>
      <c r="AH2162" s="109"/>
      <c r="AI2162" s="109"/>
      <c r="AJ2162" s="109"/>
      <c r="AK2162" s="109"/>
      <c r="AL2162" s="109"/>
      <c r="AM2162" s="109"/>
      <c r="AN2162" s="109"/>
      <c r="AO2162" s="109"/>
      <c r="AP2162" s="109"/>
      <c r="AQ2162" s="109"/>
      <c r="AR2162" s="109"/>
      <c r="AS2162" s="109"/>
    </row>
    <row r="2163" spans="1:45" ht="12.6" customHeight="1" x14ac:dyDescent="0.3">
      <c r="A2163" s="68" t="s">
        <v>663</v>
      </c>
      <c r="B2163" s="97" t="str">
        <f>" 보통인부 : "&amp;TEXT(I2163,"#,##0"&amp;IF(I2163&lt;&gt;INT(I2163),".###",""))&amp;" * "&amp;AA2163&amp;" / "&amp;AC2163&amp;" = "&amp;TEXT(C2163,"#,##0.0")&amp;""</f>
        <v xml:space="preserve"> 보통인부 : 165,545 * 1 / 1 = 165,545.0</v>
      </c>
      <c r="C2163" s="99">
        <f>E2163+D2163+F2163</f>
        <v>165545</v>
      </c>
      <c r="D2163" s="99">
        <f>IF(H2163=0,0,ROUNDDOWN(J2163*H2163,1))</f>
        <v>165545</v>
      </c>
      <c r="E2163" s="99">
        <f>IF(H2163=0,0,ROUNDDOWN(K2163*H2163,1))</f>
        <v>0</v>
      </c>
      <c r="F2163" s="99">
        <f>IF(H2163=0,0,ROUNDDOWN(L2163*H2163,1))</f>
        <v>0</v>
      </c>
      <c r="G2163" s="16" t="s">
        <v>2065</v>
      </c>
      <c r="H2163" s="105">
        <f>AE2163</f>
        <v>1</v>
      </c>
      <c r="I2163" s="106">
        <f>K2163+J2163+L2163</f>
        <v>165545</v>
      </c>
      <c r="J2163" s="39">
        <f>노무비목록표!E9</f>
        <v>165545</v>
      </c>
      <c r="M2163" s="20" t="s">
        <v>1126</v>
      </c>
      <c r="N2163" s="20" t="s">
        <v>1332</v>
      </c>
      <c r="O2163" s="20" t="s">
        <v>1359</v>
      </c>
      <c r="X2163" s="108" t="str">
        <f>노무비목록표!B9&amp;" / "&amp;노무비목록표!C9</f>
        <v xml:space="preserve">보통인부 / </v>
      </c>
      <c r="Y2163" s="19" t="str">
        <f ca="1">HYPERLINK("#"&amp;노무비목록표!G2&amp;"!A"&amp;ROW(노무비목록표!A9),"노무    6 →")</f>
        <v>노무    6 →</v>
      </c>
      <c r="Z2163" s="20" t="s">
        <v>1338</v>
      </c>
      <c r="AA2163" s="111">
        <v>1</v>
      </c>
      <c r="AB2163" s="20" t="s">
        <v>1387</v>
      </c>
      <c r="AC2163" s="111">
        <v>1</v>
      </c>
      <c r="AD2163" s="20" t="s">
        <v>1326</v>
      </c>
      <c r="AE2163" s="113">
        <f>1*AA2163/AC2163</f>
        <v>1</v>
      </c>
      <c r="AF2163" s="109"/>
      <c r="AG2163" s="109"/>
      <c r="AH2163" s="109"/>
      <c r="AI2163" s="109"/>
      <c r="AJ2163" s="109"/>
      <c r="AK2163" s="109"/>
      <c r="AL2163" s="109"/>
      <c r="AM2163" s="109"/>
      <c r="AN2163" s="109"/>
      <c r="AO2163" s="109"/>
      <c r="AP2163" s="109"/>
      <c r="AQ2163" s="109"/>
      <c r="AR2163" s="109"/>
      <c r="AS2163" s="109"/>
    </row>
    <row r="2164" spans="1:45" ht="12.6" customHeight="1" x14ac:dyDescent="0.3">
      <c r="A2164" s="78"/>
      <c r="B2164" s="78"/>
      <c r="C2164" s="78"/>
      <c r="D2164" s="78"/>
      <c r="E2164" s="78"/>
      <c r="F2164" s="78"/>
      <c r="G2164" s="16" t="s">
        <v>1317</v>
      </c>
      <c r="Z2164" s="109"/>
      <c r="AA2164" s="109"/>
      <c r="AB2164" s="109"/>
      <c r="AC2164" s="109"/>
      <c r="AD2164" s="109"/>
      <c r="AE2164" s="109"/>
      <c r="AF2164" s="109"/>
      <c r="AG2164" s="109"/>
      <c r="AH2164" s="109"/>
      <c r="AI2164" s="109"/>
      <c r="AJ2164" s="109"/>
      <c r="AK2164" s="109"/>
      <c r="AL2164" s="109"/>
      <c r="AM2164" s="109"/>
      <c r="AN2164" s="109"/>
      <c r="AO2164" s="109"/>
      <c r="AP2164" s="109"/>
      <c r="AQ2164" s="109"/>
      <c r="AR2164" s="109"/>
      <c r="AS2164" s="109"/>
    </row>
    <row r="2165" spans="1:45" ht="12.6" customHeight="1" x14ac:dyDescent="0.3">
      <c r="A2165" s="68"/>
      <c r="B2165" s="97" t="str">
        <f>" 공구손료 및 경장비 : "&amp;TEXT(I2165,"#,##0.0")&amp;" * "&amp;AA2165&amp;" %  = "&amp;TEXT(C2165,"#,##0.0")&amp;""</f>
        <v xml:space="preserve"> 공구손료 및 경장비 : 685,819.0 * 2 %  = 13,716.3</v>
      </c>
      <c r="C2165" s="99">
        <f>E2165+D2165+F2165</f>
        <v>13716.3</v>
      </c>
      <c r="D2165" s="99">
        <f>IF(H2165=0,0,ROUNDDOWN(J2165*H2165/100,1))</f>
        <v>0</v>
      </c>
      <c r="E2165" s="99">
        <f>IF(H2165=0,0,ROUNDDOWN(K2165*H2165/100,1))</f>
        <v>0</v>
      </c>
      <c r="F2165" s="99">
        <f>IF(H2165=0,0,ROUNDDOWN(L2165*H2165/100,1))</f>
        <v>13716.3</v>
      </c>
      <c r="G2165" s="16" t="s">
        <v>2066</v>
      </c>
      <c r="H2165" s="105">
        <f>AC2165</f>
        <v>2</v>
      </c>
      <c r="I2165" s="106">
        <f>K2165+J2165+L2165</f>
        <v>685819</v>
      </c>
      <c r="J2165" s="37">
        <v>0</v>
      </c>
      <c r="K2165" s="37">
        <v>0</v>
      </c>
      <c r="L2165" s="39">
        <f>SUMIF(O2142:O2164,"1_02",D2142:D2164)</f>
        <v>685819</v>
      </c>
      <c r="M2165" s="20" t="s">
        <v>1367</v>
      </c>
      <c r="N2165" s="20" t="s">
        <v>1332</v>
      </c>
      <c r="Z2165" s="20" t="s">
        <v>1338</v>
      </c>
      <c r="AA2165" s="111">
        <v>2</v>
      </c>
      <c r="AB2165" s="20" t="s">
        <v>1326</v>
      </c>
      <c r="AC2165" s="113">
        <f>1*AA2165</f>
        <v>2</v>
      </c>
      <c r="AD2165" s="109"/>
      <c r="AE2165" s="109"/>
      <c r="AF2165" s="109"/>
      <c r="AG2165" s="109"/>
      <c r="AH2165" s="109"/>
      <c r="AI2165" s="109"/>
      <c r="AJ2165" s="109"/>
      <c r="AK2165" s="109"/>
      <c r="AL2165" s="109"/>
      <c r="AM2165" s="109"/>
      <c r="AN2165" s="109"/>
      <c r="AO2165" s="109"/>
      <c r="AP2165" s="109"/>
      <c r="AQ2165" s="109"/>
      <c r="AR2165" s="109"/>
      <c r="AS2165" s="109"/>
    </row>
    <row r="2166" spans="1:45" ht="12.6" customHeight="1" x14ac:dyDescent="0.3">
      <c r="A2166" s="78"/>
      <c r="B2166" s="78"/>
      <c r="C2166" s="78"/>
      <c r="D2166" s="78"/>
      <c r="E2166" s="78"/>
      <c r="F2166" s="78"/>
      <c r="G2166" s="16" t="s">
        <v>1317</v>
      </c>
      <c r="Z2166" s="109"/>
      <c r="AA2166" s="109"/>
      <c r="AB2166" s="109"/>
      <c r="AC2166" s="109"/>
      <c r="AD2166" s="109"/>
      <c r="AE2166" s="109"/>
      <c r="AF2166" s="109"/>
      <c r="AG2166" s="109"/>
      <c r="AH2166" s="109"/>
      <c r="AI2166" s="109"/>
      <c r="AJ2166" s="109"/>
      <c r="AK2166" s="109"/>
      <c r="AL2166" s="109"/>
      <c r="AM2166" s="109"/>
      <c r="AN2166" s="109"/>
      <c r="AO2166" s="109"/>
      <c r="AP2166" s="109"/>
      <c r="AQ2166" s="109"/>
      <c r="AR2166" s="109"/>
      <c r="AS2166" s="109"/>
    </row>
    <row r="2167" spans="1:45" ht="12.6" customHeight="1" x14ac:dyDescent="0.3">
      <c r="A2167" s="68"/>
      <c r="B2167" s="77" t="s">
        <v>1331</v>
      </c>
      <c r="C2167" s="100">
        <f>E2167+D2167+F2167</f>
        <v>699535.3</v>
      </c>
      <c r="D2167" s="100">
        <f>SUMIF(N2157:N2166,M2167,D2157:D2166)</f>
        <v>685819</v>
      </c>
      <c r="E2167" s="100">
        <f>SUMIF(N2157:N2166,M2167,E2157:E2166)</f>
        <v>0</v>
      </c>
      <c r="F2167" s="100">
        <f>SUMIF(N2157:N2166,M2167,F2157:F2166)</f>
        <v>13716.3</v>
      </c>
      <c r="G2167" s="16" t="s">
        <v>1415</v>
      </c>
      <c r="M2167" s="20" t="s">
        <v>1332</v>
      </c>
      <c r="N2167" s="20" t="s">
        <v>1341</v>
      </c>
      <c r="Z2167" s="109"/>
      <c r="AA2167" s="109"/>
      <c r="AB2167" s="109"/>
      <c r="AC2167" s="109"/>
      <c r="AD2167" s="109"/>
      <c r="AE2167" s="109"/>
      <c r="AF2167" s="109"/>
      <c r="AG2167" s="109"/>
      <c r="AH2167" s="109"/>
      <c r="AI2167" s="109"/>
      <c r="AJ2167" s="109"/>
      <c r="AK2167" s="109"/>
      <c r="AL2167" s="109"/>
      <c r="AM2167" s="109"/>
      <c r="AN2167" s="109"/>
      <c r="AO2167" s="109"/>
      <c r="AP2167" s="109"/>
      <c r="AQ2167" s="109"/>
      <c r="AR2167" s="109"/>
      <c r="AS2167" s="109"/>
    </row>
    <row r="2168" spans="1:45" ht="12.6" customHeight="1" x14ac:dyDescent="0.3">
      <c r="A2168" s="78"/>
      <c r="B2168" s="78"/>
      <c r="C2168" s="98"/>
      <c r="D2168" s="98"/>
      <c r="E2168" s="98"/>
      <c r="F2168" s="98"/>
      <c r="G2168" s="16" t="s">
        <v>1317</v>
      </c>
      <c r="Z2168" s="109"/>
      <c r="AA2168" s="109"/>
      <c r="AB2168" s="109"/>
      <c r="AC2168" s="109"/>
      <c r="AD2168" s="109"/>
      <c r="AE2168" s="109"/>
      <c r="AF2168" s="109"/>
      <c r="AG2168" s="109"/>
      <c r="AH2168" s="109"/>
      <c r="AI2168" s="109"/>
      <c r="AJ2168" s="109"/>
      <c r="AK2168" s="109"/>
      <c r="AL2168" s="109"/>
      <c r="AM2168" s="109"/>
      <c r="AN2168" s="109"/>
      <c r="AO2168" s="109"/>
      <c r="AP2168" s="109"/>
      <c r="AQ2168" s="109"/>
      <c r="AR2168" s="109"/>
      <c r="AS2168" s="109"/>
    </row>
    <row r="2169" spans="1:45" ht="12.6" customHeight="1" x14ac:dyDescent="0.3">
      <c r="A2169" s="78"/>
      <c r="B2169" s="78"/>
      <c r="C2169" s="78"/>
      <c r="D2169" s="78"/>
      <c r="E2169" s="78"/>
      <c r="F2169" s="78"/>
      <c r="G2169" s="16" t="s">
        <v>1317</v>
      </c>
      <c r="Z2169" s="109"/>
      <c r="AA2169" s="109"/>
      <c r="AB2169" s="109"/>
      <c r="AC2169" s="109"/>
      <c r="AD2169" s="109"/>
      <c r="AE2169" s="109"/>
      <c r="AF2169" s="109"/>
      <c r="AG2169" s="109"/>
      <c r="AH2169" s="109"/>
      <c r="AI2169" s="109"/>
      <c r="AJ2169" s="109"/>
      <c r="AK2169" s="109"/>
      <c r="AL2169" s="109"/>
      <c r="AM2169" s="109"/>
      <c r="AN2169" s="109"/>
      <c r="AO2169" s="109"/>
      <c r="AP2169" s="109"/>
      <c r="AQ2169" s="109"/>
      <c r="AR2169" s="109"/>
      <c r="AS2169" s="109"/>
    </row>
    <row r="2170" spans="1:45" ht="12.6" customHeight="1" x14ac:dyDescent="0.3">
      <c r="A2170" s="68"/>
      <c r="B2170" s="77" t="s">
        <v>2068</v>
      </c>
      <c r="C2170" s="78"/>
      <c r="D2170" s="78"/>
      <c r="E2170" s="78"/>
      <c r="F2170" s="78"/>
      <c r="G2170" s="16" t="s">
        <v>2067</v>
      </c>
      <c r="Z2170" s="109"/>
      <c r="AA2170" s="109"/>
      <c r="AB2170" s="109"/>
      <c r="AC2170" s="109"/>
      <c r="AD2170" s="109"/>
      <c r="AE2170" s="109"/>
      <c r="AF2170" s="109"/>
      <c r="AG2170" s="109"/>
      <c r="AH2170" s="109"/>
      <c r="AI2170" s="109"/>
      <c r="AJ2170" s="109"/>
      <c r="AK2170" s="109"/>
      <c r="AL2170" s="109"/>
      <c r="AM2170" s="109"/>
      <c r="AN2170" s="109"/>
      <c r="AO2170" s="109"/>
      <c r="AP2170" s="109"/>
      <c r="AQ2170" s="109"/>
      <c r="AR2170" s="109"/>
      <c r="AS2170" s="109"/>
    </row>
    <row r="2171" spans="1:45" ht="12.6" customHeight="1" x14ac:dyDescent="0.3">
      <c r="A2171" s="78"/>
      <c r="B2171" s="78"/>
      <c r="C2171" s="78"/>
      <c r="D2171" s="78"/>
      <c r="E2171" s="78"/>
      <c r="F2171" s="78"/>
      <c r="G2171" s="16" t="s">
        <v>1317</v>
      </c>
      <c r="Z2171" s="109"/>
      <c r="AA2171" s="109"/>
      <c r="AB2171" s="109"/>
      <c r="AC2171" s="109"/>
      <c r="AD2171" s="109"/>
      <c r="AE2171" s="109"/>
      <c r="AF2171" s="109"/>
      <c r="AG2171" s="109"/>
      <c r="AH2171" s="109"/>
      <c r="AI2171" s="109"/>
      <c r="AJ2171" s="109"/>
      <c r="AK2171" s="109"/>
      <c r="AL2171" s="109"/>
      <c r="AM2171" s="109"/>
      <c r="AN2171" s="109"/>
      <c r="AO2171" s="109"/>
      <c r="AP2171" s="109"/>
      <c r="AQ2171" s="109"/>
      <c r="AR2171" s="109"/>
      <c r="AS2171" s="109"/>
    </row>
    <row r="2172" spans="1:45" ht="12.6" customHeight="1" x14ac:dyDescent="0.3">
      <c r="A2172" s="68" t="s">
        <v>2070</v>
      </c>
      <c r="B2172" s="97" t="str">
        <f>" 결속선(철선) : "&amp;TEXT(I2172,"#,##0"&amp;IF(I2172&lt;&gt;INT(I2172),".###",""))&amp;" * "&amp;AA2172&amp;" = "&amp;TEXT(C2172,"#,##0.0")&amp;""</f>
        <v xml:space="preserve"> 결속선(철선) : 1,710 * 8 = 13,680.0</v>
      </c>
      <c r="C2172" s="99">
        <f>E2172+D2172+F2172</f>
        <v>13680</v>
      </c>
      <c r="D2172" s="99">
        <f>IF(H2172=0,0,ROUNDDOWN(J2172*H2172,1))</f>
        <v>0</v>
      </c>
      <c r="E2172" s="99">
        <f>IF(H2172=0,0,ROUNDDOWN(K2172*H2172,1))</f>
        <v>13680</v>
      </c>
      <c r="F2172" s="99">
        <f>IF(H2172=0,0,ROUNDDOWN(L2172*H2172,1))</f>
        <v>0</v>
      </c>
      <c r="G2172" s="16" t="s">
        <v>2069</v>
      </c>
      <c r="H2172" s="105">
        <f>AC2172</f>
        <v>8</v>
      </c>
      <c r="I2172" s="106">
        <f>K2172+J2172+L2172</f>
        <v>1710</v>
      </c>
      <c r="K2172" s="39">
        <f>재료비목록표!E38</f>
        <v>1710</v>
      </c>
      <c r="M2172" s="20" t="s">
        <v>2071</v>
      </c>
      <c r="N2172" s="20" t="s">
        <v>1332</v>
      </c>
      <c r="X2172" s="108" t="str">
        <f>재료비목록표!B38&amp;" / "&amp;재료비목록표!C38</f>
        <v>결속선(철선) / #20 , 0.9M/M</v>
      </c>
      <c r="Y2172" s="19" t="str">
        <f ca="1">HYPERLINK("#"&amp;재료비목록표!G2&amp;"!A"&amp;ROW(재료비목록표!A38),"자재   35 →")</f>
        <v>자재   35 →</v>
      </c>
      <c r="Z2172" s="20" t="s">
        <v>1338</v>
      </c>
      <c r="AA2172" s="111">
        <v>8</v>
      </c>
      <c r="AB2172" s="20" t="s">
        <v>1326</v>
      </c>
      <c r="AC2172" s="113">
        <f>1*AA2172</f>
        <v>8</v>
      </c>
      <c r="AD2172" s="109"/>
      <c r="AE2172" s="109"/>
      <c r="AF2172" s="109"/>
      <c r="AG2172" s="109"/>
      <c r="AH2172" s="109"/>
      <c r="AI2172" s="109"/>
      <c r="AJ2172" s="109"/>
      <c r="AK2172" s="109"/>
      <c r="AL2172" s="109"/>
      <c r="AM2172" s="109"/>
      <c r="AN2172" s="109"/>
      <c r="AO2172" s="109"/>
      <c r="AP2172" s="109"/>
      <c r="AQ2172" s="109"/>
      <c r="AR2172" s="109"/>
      <c r="AS2172" s="109"/>
    </row>
    <row r="2173" spans="1:45" ht="12.6" customHeight="1" x14ac:dyDescent="0.3">
      <c r="A2173" s="78"/>
      <c r="B2173" s="78"/>
      <c r="C2173" s="78"/>
      <c r="D2173" s="78"/>
      <c r="E2173" s="78"/>
      <c r="F2173" s="78"/>
      <c r="G2173" s="16" t="s">
        <v>1317</v>
      </c>
      <c r="Z2173" s="109"/>
      <c r="AA2173" s="109"/>
      <c r="AB2173" s="109"/>
      <c r="AC2173" s="109"/>
      <c r="AD2173" s="109"/>
      <c r="AE2173" s="109"/>
      <c r="AF2173" s="109"/>
      <c r="AG2173" s="109"/>
      <c r="AH2173" s="109"/>
      <c r="AI2173" s="109"/>
      <c r="AJ2173" s="109"/>
      <c r="AK2173" s="109"/>
      <c r="AL2173" s="109"/>
      <c r="AM2173" s="109"/>
      <c r="AN2173" s="109"/>
      <c r="AO2173" s="109"/>
      <c r="AP2173" s="109"/>
      <c r="AQ2173" s="109"/>
      <c r="AR2173" s="109"/>
      <c r="AS2173" s="109"/>
    </row>
    <row r="2174" spans="1:45" ht="12.6" customHeight="1" x14ac:dyDescent="0.3">
      <c r="A2174" s="68"/>
      <c r="B2174" s="77" t="s">
        <v>1331</v>
      </c>
      <c r="C2174" s="100">
        <f>E2174+D2174+F2174</f>
        <v>13680</v>
      </c>
      <c r="D2174" s="100">
        <f>SUMIF(N2168:N2173,M2174,D2168:D2173)</f>
        <v>0</v>
      </c>
      <c r="E2174" s="100">
        <f>SUMIF(N2168:N2173,M2174,E2168:E2173)</f>
        <v>13680</v>
      </c>
      <c r="F2174" s="100">
        <f>SUMIF(N2168:N2173,M2174,F2168:F2173)</f>
        <v>0</v>
      </c>
      <c r="G2174" s="16" t="s">
        <v>1415</v>
      </c>
      <c r="M2174" s="20" t="s">
        <v>1332</v>
      </c>
      <c r="N2174" s="20" t="s">
        <v>1341</v>
      </c>
      <c r="Z2174" s="109"/>
      <c r="AA2174" s="109"/>
      <c r="AB2174" s="109"/>
      <c r="AC2174" s="109"/>
      <c r="AD2174" s="109"/>
      <c r="AE2174" s="109"/>
      <c r="AF2174" s="109"/>
      <c r="AG2174" s="109"/>
      <c r="AH2174" s="109"/>
      <c r="AI2174" s="109"/>
      <c r="AJ2174" s="109"/>
      <c r="AK2174" s="109"/>
      <c r="AL2174" s="109"/>
      <c r="AM2174" s="109"/>
      <c r="AN2174" s="109"/>
      <c r="AO2174" s="109"/>
      <c r="AP2174" s="109"/>
      <c r="AQ2174" s="109"/>
      <c r="AR2174" s="109"/>
      <c r="AS2174" s="109"/>
    </row>
    <row r="2175" spans="1:45" ht="12.6" customHeight="1" x14ac:dyDescent="0.3">
      <c r="A2175" s="78"/>
      <c r="B2175" s="78"/>
      <c r="C2175" s="98"/>
      <c r="D2175" s="98"/>
      <c r="E2175" s="98"/>
      <c r="F2175" s="98"/>
      <c r="G2175" s="16" t="s">
        <v>1317</v>
      </c>
      <c r="Z2175" s="109"/>
      <c r="AA2175" s="109"/>
      <c r="AB2175" s="109"/>
      <c r="AC2175" s="109"/>
      <c r="AD2175" s="109"/>
      <c r="AE2175" s="109"/>
      <c r="AF2175" s="109"/>
      <c r="AG2175" s="109"/>
      <c r="AH2175" s="109"/>
      <c r="AI2175" s="109"/>
      <c r="AJ2175" s="109"/>
      <c r="AK2175" s="109"/>
      <c r="AL2175" s="109"/>
      <c r="AM2175" s="109"/>
      <c r="AN2175" s="109"/>
      <c r="AO2175" s="109"/>
      <c r="AP2175" s="109"/>
      <c r="AQ2175" s="109"/>
      <c r="AR2175" s="109"/>
      <c r="AS2175" s="109"/>
    </row>
    <row r="2176" spans="1:45" ht="12.6" customHeight="1" x14ac:dyDescent="0.3">
      <c r="A2176" s="68"/>
      <c r="B2176" s="77" t="s">
        <v>1340</v>
      </c>
      <c r="C2176" s="100">
        <f>E2176+D2176+F2176</f>
        <v>970988.20000000007</v>
      </c>
      <c r="D2176" s="100">
        <f>SUMIF(N2142:N2175,M2176,D2142:D2175)</f>
        <v>922307.9</v>
      </c>
      <c r="E2176" s="100">
        <f>SUMIF(N2142:N2175,M2176,E2142:E2175)</f>
        <v>13680</v>
      </c>
      <c r="F2176" s="100">
        <f>SUMIF(N2142:N2175,M2176,F2142:F2175)</f>
        <v>35000.300000000003</v>
      </c>
      <c r="G2176" s="16" t="s">
        <v>1380</v>
      </c>
      <c r="M2176" s="20" t="s">
        <v>1341</v>
      </c>
      <c r="N2176" s="20" t="s">
        <v>1128</v>
      </c>
      <c r="Z2176" s="109"/>
      <c r="AA2176" s="109"/>
      <c r="AB2176" s="109"/>
      <c r="AC2176" s="109"/>
      <c r="AD2176" s="109"/>
      <c r="AE2176" s="109"/>
      <c r="AF2176" s="109"/>
      <c r="AG2176" s="109"/>
      <c r="AH2176" s="109"/>
      <c r="AI2176" s="109"/>
      <c r="AJ2176" s="109"/>
      <c r="AK2176" s="109"/>
      <c r="AL2176" s="109"/>
      <c r="AM2176" s="109"/>
      <c r="AN2176" s="109"/>
      <c r="AO2176" s="109"/>
      <c r="AP2176" s="109"/>
      <c r="AQ2176" s="109"/>
      <c r="AR2176" s="109"/>
      <c r="AS2176" s="109"/>
    </row>
    <row r="2177" spans="1:45" ht="12.6" customHeight="1" x14ac:dyDescent="0.3">
      <c r="A2177" s="78"/>
      <c r="B2177" s="78"/>
      <c r="C2177" s="98"/>
      <c r="D2177" s="98"/>
      <c r="E2177" s="98"/>
      <c r="F2177" s="98"/>
      <c r="Z2177" s="109"/>
      <c r="AA2177" s="109"/>
      <c r="AB2177" s="109"/>
      <c r="AC2177" s="109"/>
      <c r="AD2177" s="109"/>
      <c r="AE2177" s="109"/>
      <c r="AF2177" s="109"/>
      <c r="AG2177" s="109"/>
      <c r="AH2177" s="109"/>
      <c r="AI2177" s="109"/>
      <c r="AJ2177" s="109"/>
      <c r="AK2177" s="109"/>
      <c r="AL2177" s="109"/>
      <c r="AM2177" s="109"/>
      <c r="AN2177" s="109"/>
      <c r="AO2177" s="109"/>
      <c r="AP2177" s="109"/>
      <c r="AQ2177" s="109"/>
      <c r="AR2177" s="109"/>
      <c r="AS2177" s="109"/>
    </row>
    <row r="2178" spans="1:45" ht="12.6" customHeight="1" x14ac:dyDescent="0.3">
      <c r="A2178" s="78"/>
      <c r="B2178" s="78"/>
      <c r="C2178" s="78"/>
      <c r="D2178" s="78"/>
      <c r="E2178" s="78"/>
      <c r="F2178" s="78"/>
      <c r="Z2178" s="109"/>
      <c r="AA2178" s="109"/>
      <c r="AB2178" s="109"/>
      <c r="AC2178" s="109"/>
      <c r="AD2178" s="109"/>
      <c r="AE2178" s="109"/>
      <c r="AF2178" s="109"/>
      <c r="AG2178" s="109"/>
      <c r="AH2178" s="109"/>
      <c r="AI2178" s="109"/>
      <c r="AJ2178" s="109"/>
      <c r="AK2178" s="109"/>
      <c r="AL2178" s="109"/>
      <c r="AM2178" s="109"/>
      <c r="AN2178" s="109"/>
      <c r="AO2178" s="109"/>
      <c r="AP2178" s="109"/>
      <c r="AQ2178" s="109"/>
      <c r="AR2178" s="109"/>
      <c r="AS2178" s="109"/>
    </row>
    <row r="2179" spans="1:45" ht="12.6" customHeight="1" x14ac:dyDescent="0.3">
      <c r="A2179" s="78"/>
      <c r="B2179" s="78"/>
      <c r="C2179" s="78"/>
      <c r="D2179" s="78"/>
      <c r="E2179" s="78"/>
      <c r="F2179" s="78"/>
      <c r="Z2179" s="109"/>
      <c r="AA2179" s="109"/>
      <c r="AB2179" s="109"/>
      <c r="AC2179" s="109"/>
      <c r="AD2179" s="109"/>
      <c r="AE2179" s="109"/>
      <c r="AF2179" s="109"/>
      <c r="AG2179" s="109"/>
      <c r="AH2179" s="109"/>
      <c r="AI2179" s="109"/>
      <c r="AJ2179" s="109"/>
      <c r="AK2179" s="109"/>
      <c r="AL2179" s="109"/>
      <c r="AM2179" s="109"/>
      <c r="AN2179" s="109"/>
      <c r="AO2179" s="109"/>
      <c r="AP2179" s="109"/>
      <c r="AQ2179" s="109"/>
      <c r="AR2179" s="109"/>
      <c r="AS2179" s="109"/>
    </row>
    <row r="2180" spans="1:45" ht="12.6" customHeight="1" x14ac:dyDescent="0.3">
      <c r="A2180" s="78"/>
      <c r="B2180" s="78"/>
      <c r="C2180" s="78"/>
      <c r="D2180" s="78"/>
      <c r="E2180" s="78"/>
      <c r="F2180" s="78"/>
      <c r="Z2180" s="109"/>
      <c r="AA2180" s="109"/>
      <c r="AB2180" s="109"/>
      <c r="AC2180" s="109"/>
      <c r="AD2180" s="109"/>
      <c r="AE2180" s="109"/>
      <c r="AF2180" s="109"/>
      <c r="AG2180" s="109"/>
      <c r="AH2180" s="109"/>
      <c r="AI2180" s="109"/>
      <c r="AJ2180" s="109"/>
      <c r="AK2180" s="109"/>
      <c r="AL2180" s="109"/>
      <c r="AM2180" s="109"/>
      <c r="AN2180" s="109"/>
      <c r="AO2180" s="109"/>
      <c r="AP2180" s="109"/>
      <c r="AQ2180" s="109"/>
      <c r="AR2180" s="109"/>
      <c r="AS2180" s="109"/>
    </row>
    <row r="2181" spans="1:45" ht="12.6" customHeight="1" x14ac:dyDescent="0.3">
      <c r="A2181" s="78"/>
      <c r="B2181" s="78"/>
      <c r="C2181" s="78"/>
      <c r="D2181" s="78"/>
      <c r="E2181" s="78"/>
      <c r="F2181" s="78"/>
      <c r="Z2181" s="109"/>
      <c r="AA2181" s="109"/>
      <c r="AB2181" s="109"/>
      <c r="AC2181" s="109"/>
      <c r="AD2181" s="109"/>
      <c r="AE2181" s="109"/>
      <c r="AF2181" s="109"/>
      <c r="AG2181" s="109"/>
      <c r="AH2181" s="109"/>
      <c r="AI2181" s="109"/>
      <c r="AJ2181" s="109"/>
      <c r="AK2181" s="109"/>
      <c r="AL2181" s="109"/>
      <c r="AM2181" s="109"/>
      <c r="AN2181" s="109"/>
      <c r="AO2181" s="109"/>
      <c r="AP2181" s="109"/>
      <c r="AQ2181" s="109"/>
      <c r="AR2181" s="109"/>
      <c r="AS2181" s="109"/>
    </row>
    <row r="2182" spans="1:45" ht="12.6" customHeight="1" x14ac:dyDescent="0.3">
      <c r="A2182" s="78"/>
      <c r="B2182" s="78"/>
      <c r="C2182" s="78"/>
      <c r="D2182" s="78"/>
      <c r="E2182" s="78"/>
      <c r="F2182" s="78"/>
      <c r="Z2182" s="109"/>
      <c r="AA2182" s="109"/>
      <c r="AB2182" s="109"/>
      <c r="AC2182" s="109"/>
      <c r="AD2182" s="109"/>
      <c r="AE2182" s="109"/>
      <c r="AF2182" s="109"/>
      <c r="AG2182" s="109"/>
      <c r="AH2182" s="109"/>
      <c r="AI2182" s="109"/>
      <c r="AJ2182" s="109"/>
      <c r="AK2182" s="109"/>
      <c r="AL2182" s="109"/>
      <c r="AM2182" s="109"/>
      <c r="AN2182" s="109"/>
      <c r="AO2182" s="109"/>
      <c r="AP2182" s="109"/>
      <c r="AQ2182" s="109"/>
      <c r="AR2182" s="109"/>
      <c r="AS2182" s="109"/>
    </row>
    <row r="2183" spans="1:45" ht="12.6" customHeight="1" x14ac:dyDescent="0.3">
      <c r="A2183" s="78"/>
      <c r="B2183" s="78"/>
      <c r="C2183" s="78"/>
      <c r="D2183" s="78"/>
      <c r="E2183" s="78"/>
      <c r="F2183" s="78"/>
      <c r="Z2183" s="109"/>
      <c r="AA2183" s="109"/>
      <c r="AB2183" s="109"/>
      <c r="AC2183" s="109"/>
      <c r="AD2183" s="109"/>
      <c r="AE2183" s="109"/>
      <c r="AF2183" s="109"/>
      <c r="AG2183" s="109"/>
      <c r="AH2183" s="109"/>
      <c r="AI2183" s="109"/>
      <c r="AJ2183" s="109"/>
      <c r="AK2183" s="109"/>
      <c r="AL2183" s="109"/>
      <c r="AM2183" s="109"/>
      <c r="AN2183" s="109"/>
      <c r="AO2183" s="109"/>
      <c r="AP2183" s="109"/>
      <c r="AQ2183" s="109"/>
      <c r="AR2183" s="109"/>
      <c r="AS2183" s="109"/>
    </row>
    <row r="2184" spans="1:45" ht="12.6" customHeight="1" x14ac:dyDescent="0.3">
      <c r="A2184" s="78"/>
      <c r="B2184" s="78"/>
      <c r="C2184" s="78"/>
      <c r="D2184" s="78"/>
      <c r="E2184" s="78"/>
      <c r="F2184" s="78"/>
      <c r="Z2184" s="109"/>
      <c r="AA2184" s="109"/>
      <c r="AB2184" s="109"/>
      <c r="AC2184" s="109"/>
      <c r="AD2184" s="109"/>
      <c r="AE2184" s="109"/>
      <c r="AF2184" s="109"/>
      <c r="AG2184" s="109"/>
      <c r="AH2184" s="109"/>
      <c r="AI2184" s="109"/>
      <c r="AJ2184" s="109"/>
      <c r="AK2184" s="109"/>
      <c r="AL2184" s="109"/>
      <c r="AM2184" s="109"/>
      <c r="AN2184" s="109"/>
      <c r="AO2184" s="109"/>
      <c r="AP2184" s="109"/>
      <c r="AQ2184" s="109"/>
      <c r="AR2184" s="109"/>
      <c r="AS2184" s="109"/>
    </row>
    <row r="2185" spans="1:45" ht="12.6" customHeight="1" x14ac:dyDescent="0.3">
      <c r="A2185" s="78"/>
      <c r="B2185" s="78"/>
      <c r="C2185" s="78"/>
      <c r="D2185" s="78"/>
      <c r="E2185" s="78"/>
      <c r="F2185" s="78"/>
      <c r="Z2185" s="109"/>
      <c r="AA2185" s="109"/>
      <c r="AB2185" s="109"/>
      <c r="AC2185" s="109"/>
      <c r="AD2185" s="109"/>
      <c r="AE2185" s="109"/>
      <c r="AF2185" s="109"/>
      <c r="AG2185" s="109"/>
      <c r="AH2185" s="109"/>
      <c r="AI2185" s="109"/>
      <c r="AJ2185" s="109"/>
      <c r="AK2185" s="109"/>
      <c r="AL2185" s="109"/>
      <c r="AM2185" s="109"/>
      <c r="AN2185" s="109"/>
      <c r="AO2185" s="109"/>
      <c r="AP2185" s="109"/>
      <c r="AQ2185" s="109"/>
      <c r="AR2185" s="109"/>
      <c r="AS2185" s="109"/>
    </row>
    <row r="2186" spans="1:45" ht="12.6" customHeight="1" x14ac:dyDescent="0.3">
      <c r="A2186" s="78"/>
      <c r="B2186" s="78"/>
      <c r="C2186" s="78"/>
      <c r="D2186" s="78"/>
      <c r="E2186" s="78"/>
      <c r="F2186" s="78"/>
      <c r="Z2186" s="109"/>
      <c r="AA2186" s="109"/>
      <c r="AB2186" s="109"/>
      <c r="AC2186" s="109"/>
      <c r="AD2186" s="109"/>
      <c r="AE2186" s="109"/>
      <c r="AF2186" s="109"/>
      <c r="AG2186" s="109"/>
      <c r="AH2186" s="109"/>
      <c r="AI2186" s="109"/>
      <c r="AJ2186" s="109"/>
      <c r="AK2186" s="109"/>
      <c r="AL2186" s="109"/>
      <c r="AM2186" s="109"/>
      <c r="AN2186" s="109"/>
      <c r="AO2186" s="109"/>
      <c r="AP2186" s="109"/>
      <c r="AQ2186" s="109"/>
      <c r="AR2186" s="109"/>
      <c r="AS2186" s="109"/>
    </row>
    <row r="2187" spans="1:45" ht="12.6" customHeight="1" x14ac:dyDescent="0.3">
      <c r="A2187" s="78"/>
      <c r="B2187" s="78"/>
      <c r="C2187" s="78"/>
      <c r="D2187" s="78"/>
      <c r="E2187" s="78"/>
      <c r="F2187" s="78"/>
      <c r="Z2187" s="109"/>
      <c r="AA2187" s="109"/>
      <c r="AB2187" s="109"/>
      <c r="AC2187" s="109"/>
      <c r="AD2187" s="109"/>
      <c r="AE2187" s="109"/>
      <c r="AF2187" s="109"/>
      <c r="AG2187" s="109"/>
      <c r="AH2187" s="109"/>
      <c r="AI2187" s="109"/>
      <c r="AJ2187" s="109"/>
      <c r="AK2187" s="109"/>
      <c r="AL2187" s="109"/>
      <c r="AM2187" s="109"/>
      <c r="AN2187" s="109"/>
      <c r="AO2187" s="109"/>
      <c r="AP2187" s="109"/>
      <c r="AQ2187" s="109"/>
      <c r="AR2187" s="109"/>
      <c r="AS2187" s="109"/>
    </row>
    <row r="2188" spans="1:45" ht="12.6" customHeight="1" x14ac:dyDescent="0.3">
      <c r="A2188" s="78"/>
      <c r="B2188" s="78"/>
      <c r="C2188" s="78"/>
      <c r="D2188" s="78"/>
      <c r="E2188" s="78"/>
      <c r="F2188" s="78"/>
      <c r="Z2188" s="109"/>
      <c r="AA2188" s="109"/>
      <c r="AB2188" s="109"/>
      <c r="AC2188" s="109"/>
      <c r="AD2188" s="109"/>
      <c r="AE2188" s="109"/>
      <c r="AF2188" s="109"/>
      <c r="AG2188" s="109"/>
      <c r="AH2188" s="109"/>
      <c r="AI2188" s="109"/>
      <c r="AJ2188" s="109"/>
      <c r="AK2188" s="109"/>
      <c r="AL2188" s="109"/>
      <c r="AM2188" s="109"/>
      <c r="AN2188" s="109"/>
      <c r="AO2188" s="109"/>
      <c r="AP2188" s="109"/>
      <c r="AQ2188" s="109"/>
      <c r="AR2188" s="109"/>
      <c r="AS2188" s="109"/>
    </row>
    <row r="2189" spans="1:45" ht="12.6" customHeight="1" x14ac:dyDescent="0.3">
      <c r="A2189" s="78"/>
      <c r="B2189" s="78"/>
      <c r="C2189" s="78"/>
      <c r="D2189" s="78"/>
      <c r="E2189" s="78"/>
      <c r="F2189" s="78"/>
      <c r="Z2189" s="109"/>
      <c r="AA2189" s="109"/>
      <c r="AB2189" s="109"/>
      <c r="AC2189" s="109"/>
      <c r="AD2189" s="109"/>
      <c r="AE2189" s="109"/>
      <c r="AF2189" s="109"/>
      <c r="AG2189" s="109"/>
      <c r="AH2189" s="109"/>
      <c r="AI2189" s="109"/>
      <c r="AJ2189" s="109"/>
      <c r="AK2189" s="109"/>
      <c r="AL2189" s="109"/>
      <c r="AM2189" s="109"/>
      <c r="AN2189" s="109"/>
      <c r="AO2189" s="109"/>
      <c r="AP2189" s="109"/>
      <c r="AQ2189" s="109"/>
      <c r="AR2189" s="109"/>
      <c r="AS2189" s="109"/>
    </row>
    <row r="2190" spans="1:45" ht="12.6" customHeight="1" x14ac:dyDescent="0.3">
      <c r="A2190" s="78"/>
      <c r="B2190" s="78"/>
      <c r="C2190" s="78"/>
      <c r="D2190" s="78"/>
      <c r="E2190" s="78"/>
      <c r="F2190" s="78"/>
      <c r="Z2190" s="109"/>
      <c r="AA2190" s="109"/>
      <c r="AB2190" s="109"/>
      <c r="AC2190" s="109"/>
      <c r="AD2190" s="109"/>
      <c r="AE2190" s="109"/>
      <c r="AF2190" s="109"/>
      <c r="AG2190" s="109"/>
      <c r="AH2190" s="109"/>
      <c r="AI2190" s="109"/>
      <c r="AJ2190" s="109"/>
      <c r="AK2190" s="109"/>
      <c r="AL2190" s="109"/>
      <c r="AM2190" s="109"/>
      <c r="AN2190" s="109"/>
      <c r="AO2190" s="109"/>
      <c r="AP2190" s="109"/>
      <c r="AQ2190" s="109"/>
      <c r="AR2190" s="109"/>
      <c r="AS2190" s="109"/>
    </row>
    <row r="2191" spans="1:45" ht="12.6" customHeight="1" x14ac:dyDescent="0.3">
      <c r="A2191" s="78"/>
      <c r="B2191" s="78"/>
      <c r="C2191" s="78"/>
      <c r="D2191" s="78"/>
      <c r="E2191" s="78"/>
      <c r="F2191" s="78"/>
      <c r="Z2191" s="109"/>
      <c r="AA2191" s="109"/>
      <c r="AB2191" s="109"/>
      <c r="AC2191" s="109"/>
      <c r="AD2191" s="109"/>
      <c r="AE2191" s="109"/>
      <c r="AF2191" s="109"/>
      <c r="AG2191" s="109"/>
      <c r="AH2191" s="109"/>
      <c r="AI2191" s="109"/>
      <c r="AJ2191" s="109"/>
      <c r="AK2191" s="109"/>
      <c r="AL2191" s="109"/>
      <c r="AM2191" s="109"/>
      <c r="AN2191" s="109"/>
      <c r="AO2191" s="109"/>
      <c r="AP2191" s="109"/>
      <c r="AQ2191" s="109"/>
      <c r="AR2191" s="109"/>
      <c r="AS2191" s="109"/>
    </row>
    <row r="2192" spans="1:45" ht="12.6" customHeight="1" x14ac:dyDescent="0.3">
      <c r="A2192" s="78"/>
      <c r="B2192" s="78"/>
      <c r="C2192" s="78"/>
      <c r="D2192" s="78"/>
      <c r="E2192" s="78"/>
      <c r="F2192" s="78"/>
      <c r="Z2192" s="109"/>
      <c r="AA2192" s="109"/>
      <c r="AB2192" s="109"/>
      <c r="AC2192" s="109"/>
      <c r="AD2192" s="109"/>
      <c r="AE2192" s="109"/>
      <c r="AF2192" s="109"/>
      <c r="AG2192" s="109"/>
      <c r="AH2192" s="109"/>
      <c r="AI2192" s="109"/>
      <c r="AJ2192" s="109"/>
      <c r="AK2192" s="109"/>
      <c r="AL2192" s="109"/>
      <c r="AM2192" s="109"/>
      <c r="AN2192" s="109"/>
      <c r="AO2192" s="109"/>
      <c r="AP2192" s="109"/>
      <c r="AQ2192" s="109"/>
      <c r="AR2192" s="109"/>
      <c r="AS2192" s="109"/>
    </row>
    <row r="2193" spans="1:45" ht="12.6" customHeight="1" x14ac:dyDescent="0.3">
      <c r="A2193" s="78"/>
      <c r="B2193" s="78"/>
      <c r="C2193" s="78"/>
      <c r="D2193" s="78"/>
      <c r="E2193" s="78"/>
      <c r="F2193" s="78"/>
      <c r="Z2193" s="109"/>
      <c r="AA2193" s="109"/>
      <c r="AB2193" s="109"/>
      <c r="AC2193" s="109"/>
      <c r="AD2193" s="109"/>
      <c r="AE2193" s="109"/>
      <c r="AF2193" s="109"/>
      <c r="AG2193" s="109"/>
      <c r="AH2193" s="109"/>
      <c r="AI2193" s="109"/>
      <c r="AJ2193" s="109"/>
      <c r="AK2193" s="109"/>
      <c r="AL2193" s="109"/>
      <c r="AM2193" s="109"/>
      <c r="AN2193" s="109"/>
      <c r="AO2193" s="109"/>
      <c r="AP2193" s="109"/>
      <c r="AQ2193" s="109"/>
      <c r="AR2193" s="109"/>
      <c r="AS2193" s="109"/>
    </row>
    <row r="2194" spans="1:45" ht="12.6" customHeight="1" x14ac:dyDescent="0.3">
      <c r="A2194" s="78"/>
      <c r="B2194" s="78"/>
      <c r="C2194" s="78"/>
      <c r="D2194" s="78"/>
      <c r="E2194" s="78"/>
      <c r="F2194" s="78"/>
      <c r="Z2194" s="109"/>
      <c r="AA2194" s="109"/>
      <c r="AB2194" s="109"/>
      <c r="AC2194" s="109"/>
      <c r="AD2194" s="109"/>
      <c r="AE2194" s="109"/>
      <c r="AF2194" s="109"/>
      <c r="AG2194" s="109"/>
      <c r="AH2194" s="109"/>
      <c r="AI2194" s="109"/>
      <c r="AJ2194" s="109"/>
      <c r="AK2194" s="109"/>
      <c r="AL2194" s="109"/>
      <c r="AM2194" s="109"/>
      <c r="AN2194" s="109"/>
      <c r="AO2194" s="109"/>
      <c r="AP2194" s="109"/>
      <c r="AQ2194" s="109"/>
      <c r="AR2194" s="109"/>
      <c r="AS2194" s="109"/>
    </row>
    <row r="2195" spans="1:45" ht="12.6" customHeight="1" x14ac:dyDescent="0.3">
      <c r="A2195" s="78"/>
      <c r="B2195" s="78"/>
      <c r="C2195" s="78"/>
      <c r="D2195" s="78"/>
      <c r="E2195" s="78"/>
      <c r="F2195" s="78"/>
      <c r="Z2195" s="109"/>
      <c r="AA2195" s="109"/>
      <c r="AB2195" s="109"/>
      <c r="AC2195" s="109"/>
      <c r="AD2195" s="109"/>
      <c r="AE2195" s="109"/>
      <c r="AF2195" s="109"/>
      <c r="AG2195" s="109"/>
      <c r="AH2195" s="109"/>
      <c r="AI2195" s="109"/>
      <c r="AJ2195" s="109"/>
      <c r="AK2195" s="109"/>
      <c r="AL2195" s="109"/>
      <c r="AM2195" s="109"/>
      <c r="AN2195" s="109"/>
      <c r="AO2195" s="109"/>
      <c r="AP2195" s="109"/>
      <c r="AQ2195" s="109"/>
      <c r="AR2195" s="109"/>
      <c r="AS2195" s="109"/>
    </row>
    <row r="2196" spans="1:45" ht="12.6" customHeight="1" x14ac:dyDescent="0.3">
      <c r="A2196" s="78"/>
      <c r="B2196" s="78"/>
      <c r="C2196" s="78"/>
      <c r="D2196" s="78"/>
      <c r="E2196" s="78"/>
      <c r="F2196" s="78"/>
      <c r="Z2196" s="109"/>
      <c r="AA2196" s="109"/>
      <c r="AB2196" s="109"/>
      <c r="AC2196" s="109"/>
      <c r="AD2196" s="109"/>
      <c r="AE2196" s="109"/>
      <c r="AF2196" s="109"/>
      <c r="AG2196" s="109"/>
      <c r="AH2196" s="109"/>
      <c r="AI2196" s="109"/>
      <c r="AJ2196" s="109"/>
      <c r="AK2196" s="109"/>
      <c r="AL2196" s="109"/>
      <c r="AM2196" s="109"/>
      <c r="AN2196" s="109"/>
      <c r="AO2196" s="109"/>
      <c r="AP2196" s="109"/>
      <c r="AQ2196" s="109"/>
      <c r="AR2196" s="109"/>
      <c r="AS2196" s="109"/>
    </row>
    <row r="2197" spans="1:45" ht="12.6" customHeight="1" x14ac:dyDescent="0.3">
      <c r="A2197" s="78"/>
      <c r="B2197" s="78"/>
      <c r="C2197" s="78"/>
      <c r="D2197" s="78"/>
      <c r="E2197" s="78"/>
      <c r="F2197" s="78"/>
      <c r="Z2197" s="109"/>
      <c r="AA2197" s="109"/>
      <c r="AB2197" s="109"/>
      <c r="AC2197" s="109"/>
      <c r="AD2197" s="109"/>
      <c r="AE2197" s="109"/>
      <c r="AF2197" s="109"/>
      <c r="AG2197" s="109"/>
      <c r="AH2197" s="109"/>
      <c r="AI2197" s="109"/>
      <c r="AJ2197" s="109"/>
      <c r="AK2197" s="109"/>
      <c r="AL2197" s="109"/>
      <c r="AM2197" s="109"/>
      <c r="AN2197" s="109"/>
      <c r="AO2197" s="109"/>
      <c r="AP2197" s="109"/>
      <c r="AQ2197" s="109"/>
      <c r="AR2197" s="109"/>
      <c r="AS2197" s="109"/>
    </row>
    <row r="2198" spans="1:45" ht="12.6" customHeight="1" x14ac:dyDescent="0.3">
      <c r="A2198" s="78"/>
      <c r="B2198" s="78"/>
      <c r="C2198" s="78"/>
      <c r="D2198" s="78"/>
      <c r="E2198" s="78"/>
      <c r="F2198" s="78"/>
      <c r="Z2198" s="109"/>
      <c r="AA2198" s="109"/>
      <c r="AB2198" s="109"/>
      <c r="AC2198" s="109"/>
      <c r="AD2198" s="109"/>
      <c r="AE2198" s="109"/>
      <c r="AF2198" s="109"/>
      <c r="AG2198" s="109"/>
      <c r="AH2198" s="109"/>
      <c r="AI2198" s="109"/>
      <c r="AJ2198" s="109"/>
      <c r="AK2198" s="109"/>
      <c r="AL2198" s="109"/>
      <c r="AM2198" s="109"/>
      <c r="AN2198" s="109"/>
      <c r="AO2198" s="109"/>
      <c r="AP2198" s="109"/>
      <c r="AQ2198" s="109"/>
      <c r="AR2198" s="109"/>
      <c r="AS2198" s="109"/>
    </row>
    <row r="2199" spans="1:45" ht="12.6" customHeight="1" x14ac:dyDescent="0.3">
      <c r="A2199" s="78"/>
      <c r="B2199" s="78"/>
      <c r="C2199" s="78"/>
      <c r="D2199" s="78"/>
      <c r="E2199" s="78"/>
      <c r="F2199" s="78"/>
      <c r="Z2199" s="109"/>
      <c r="AA2199" s="109"/>
      <c r="AB2199" s="109"/>
      <c r="AC2199" s="109"/>
      <c r="AD2199" s="109"/>
      <c r="AE2199" s="109"/>
      <c r="AF2199" s="109"/>
      <c r="AG2199" s="109"/>
      <c r="AH2199" s="109"/>
      <c r="AI2199" s="109"/>
      <c r="AJ2199" s="109"/>
      <c r="AK2199" s="109"/>
      <c r="AL2199" s="109"/>
      <c r="AM2199" s="109"/>
      <c r="AN2199" s="109"/>
      <c r="AO2199" s="109"/>
      <c r="AP2199" s="109"/>
      <c r="AQ2199" s="109"/>
      <c r="AR2199" s="109"/>
      <c r="AS2199" s="109"/>
    </row>
    <row r="2200" spans="1:45" ht="12.6" customHeight="1" x14ac:dyDescent="0.3">
      <c r="A2200" s="78"/>
      <c r="B2200" s="78"/>
      <c r="C2200" s="78"/>
      <c r="D2200" s="78"/>
      <c r="E2200" s="78"/>
      <c r="F2200" s="78"/>
      <c r="Z2200" s="109"/>
      <c r="AA2200" s="109"/>
      <c r="AB2200" s="109"/>
      <c r="AC2200" s="109"/>
      <c r="AD2200" s="109"/>
      <c r="AE2200" s="109"/>
      <c r="AF2200" s="109"/>
      <c r="AG2200" s="109"/>
      <c r="AH2200" s="109"/>
      <c r="AI2200" s="109"/>
      <c r="AJ2200" s="109"/>
      <c r="AK2200" s="109"/>
      <c r="AL2200" s="109"/>
      <c r="AM2200" s="109"/>
      <c r="AN2200" s="109"/>
      <c r="AO2200" s="109"/>
      <c r="AP2200" s="109"/>
      <c r="AQ2200" s="109"/>
      <c r="AR2200" s="109"/>
      <c r="AS2200" s="109"/>
    </row>
    <row r="2201" spans="1:45" ht="12.6" customHeight="1" x14ac:dyDescent="0.3">
      <c r="A2201" s="78"/>
      <c r="B2201" s="78"/>
      <c r="C2201" s="78"/>
      <c r="D2201" s="78"/>
      <c r="E2201" s="78"/>
      <c r="F2201" s="78"/>
      <c r="Z2201" s="109"/>
      <c r="AA2201" s="109"/>
      <c r="AB2201" s="109"/>
      <c r="AC2201" s="109"/>
      <c r="AD2201" s="109"/>
      <c r="AE2201" s="109"/>
      <c r="AF2201" s="109"/>
      <c r="AG2201" s="109"/>
      <c r="AH2201" s="109"/>
      <c r="AI2201" s="109"/>
      <c r="AJ2201" s="109"/>
      <c r="AK2201" s="109"/>
      <c r="AL2201" s="109"/>
      <c r="AM2201" s="109"/>
      <c r="AN2201" s="109"/>
      <c r="AO2201" s="109"/>
      <c r="AP2201" s="109"/>
      <c r="AQ2201" s="109"/>
      <c r="AR2201" s="109"/>
      <c r="AS2201" s="109"/>
    </row>
    <row r="2202" spans="1:45" ht="12.6" customHeight="1" x14ac:dyDescent="0.3">
      <c r="A2202" s="78"/>
      <c r="B2202" s="78"/>
      <c r="C2202" s="78"/>
      <c r="D2202" s="78"/>
      <c r="E2202" s="78"/>
      <c r="F2202" s="78"/>
      <c r="Z2202" s="109"/>
      <c r="AA2202" s="109"/>
      <c r="AB2202" s="109"/>
      <c r="AC2202" s="109"/>
      <c r="AD2202" s="109"/>
      <c r="AE2202" s="109"/>
      <c r="AF2202" s="109"/>
      <c r="AG2202" s="109"/>
      <c r="AH2202" s="109"/>
      <c r="AI2202" s="109"/>
      <c r="AJ2202" s="109"/>
      <c r="AK2202" s="109"/>
      <c r="AL2202" s="109"/>
      <c r="AM2202" s="109"/>
      <c r="AN2202" s="109"/>
      <c r="AO2202" s="109"/>
      <c r="AP2202" s="109"/>
      <c r="AQ2202" s="109"/>
      <c r="AR2202" s="109"/>
      <c r="AS2202" s="109"/>
    </row>
    <row r="2203" spans="1:45" ht="12.6" customHeight="1" x14ac:dyDescent="0.3">
      <c r="A2203" s="78"/>
      <c r="B2203" s="78"/>
      <c r="C2203" s="78"/>
      <c r="D2203" s="78"/>
      <c r="E2203" s="78"/>
      <c r="F2203" s="78"/>
      <c r="Z2203" s="109"/>
      <c r="AA2203" s="109"/>
      <c r="AB2203" s="109"/>
      <c r="AC2203" s="109"/>
      <c r="AD2203" s="109"/>
      <c r="AE2203" s="109"/>
      <c r="AF2203" s="109"/>
      <c r="AG2203" s="109"/>
      <c r="AH2203" s="109"/>
      <c r="AI2203" s="109"/>
      <c r="AJ2203" s="109"/>
      <c r="AK2203" s="109"/>
      <c r="AL2203" s="109"/>
      <c r="AM2203" s="109"/>
      <c r="AN2203" s="109"/>
      <c r="AO2203" s="109"/>
      <c r="AP2203" s="109"/>
      <c r="AQ2203" s="109"/>
      <c r="AR2203" s="109"/>
      <c r="AS2203" s="109"/>
    </row>
    <row r="2204" spans="1:45" ht="12.6" customHeight="1" x14ac:dyDescent="0.3">
      <c r="A2204" s="78"/>
      <c r="B2204" s="78"/>
      <c r="C2204" s="78"/>
      <c r="D2204" s="78"/>
      <c r="E2204" s="78"/>
      <c r="F2204" s="78"/>
      <c r="Z2204" s="109"/>
      <c r="AA2204" s="109"/>
      <c r="AB2204" s="109"/>
      <c r="AC2204" s="109"/>
      <c r="AD2204" s="109"/>
      <c r="AE2204" s="109"/>
      <c r="AF2204" s="109"/>
      <c r="AG2204" s="109"/>
      <c r="AH2204" s="109"/>
      <c r="AI2204" s="109"/>
      <c r="AJ2204" s="109"/>
      <c r="AK2204" s="109"/>
      <c r="AL2204" s="109"/>
      <c r="AM2204" s="109"/>
      <c r="AN2204" s="109"/>
      <c r="AO2204" s="109"/>
      <c r="AP2204" s="109"/>
      <c r="AQ2204" s="109"/>
      <c r="AR2204" s="109"/>
      <c r="AS2204" s="109"/>
    </row>
    <row r="2205" spans="1:45" ht="12.6" customHeight="1" x14ac:dyDescent="0.3">
      <c r="A2205" s="78"/>
      <c r="B2205" s="78"/>
      <c r="C2205" s="78"/>
      <c r="D2205" s="78"/>
      <c r="E2205" s="78"/>
      <c r="F2205" s="78"/>
      <c r="Z2205" s="109"/>
      <c r="AA2205" s="109"/>
      <c r="AB2205" s="109"/>
      <c r="AC2205" s="109"/>
      <c r="AD2205" s="109"/>
      <c r="AE2205" s="109"/>
      <c r="AF2205" s="109"/>
      <c r="AG2205" s="109"/>
      <c r="AH2205" s="109"/>
      <c r="AI2205" s="109"/>
      <c r="AJ2205" s="109"/>
      <c r="AK2205" s="109"/>
      <c r="AL2205" s="109"/>
      <c r="AM2205" s="109"/>
      <c r="AN2205" s="109"/>
      <c r="AO2205" s="109"/>
      <c r="AP2205" s="109"/>
      <c r="AQ2205" s="109"/>
      <c r="AR2205" s="109"/>
      <c r="AS2205" s="109"/>
    </row>
    <row r="2206" spans="1:45" ht="12.6" customHeight="1" x14ac:dyDescent="0.3">
      <c r="A2206" s="78"/>
      <c r="B2206" s="78"/>
      <c r="C2206" s="78"/>
      <c r="D2206" s="78"/>
      <c r="E2206" s="78"/>
      <c r="F2206" s="78"/>
      <c r="Z2206" s="109"/>
      <c r="AA2206" s="109"/>
      <c r="AB2206" s="109"/>
      <c r="AC2206" s="109"/>
      <c r="AD2206" s="109"/>
      <c r="AE2206" s="109"/>
      <c r="AF2206" s="109"/>
      <c r="AG2206" s="109"/>
      <c r="AH2206" s="109"/>
      <c r="AI2206" s="109"/>
      <c r="AJ2206" s="109"/>
      <c r="AK2206" s="109"/>
      <c r="AL2206" s="109"/>
      <c r="AM2206" s="109"/>
      <c r="AN2206" s="109"/>
      <c r="AO2206" s="109"/>
      <c r="AP2206" s="109"/>
      <c r="AQ2206" s="109"/>
      <c r="AR2206" s="109"/>
      <c r="AS2206" s="109"/>
    </row>
    <row r="2207" spans="1:45" ht="12.6" customHeight="1" x14ac:dyDescent="0.3">
      <c r="A2207" s="78"/>
      <c r="B2207" s="78"/>
      <c r="C2207" s="78"/>
      <c r="D2207" s="78"/>
      <c r="E2207" s="78"/>
      <c r="F2207" s="78"/>
      <c r="Z2207" s="109"/>
      <c r="AA2207" s="109"/>
      <c r="AB2207" s="109"/>
      <c r="AC2207" s="109"/>
      <c r="AD2207" s="109"/>
      <c r="AE2207" s="109"/>
      <c r="AF2207" s="109"/>
      <c r="AG2207" s="109"/>
      <c r="AH2207" s="109"/>
      <c r="AI2207" s="109"/>
      <c r="AJ2207" s="109"/>
      <c r="AK2207" s="109"/>
      <c r="AL2207" s="109"/>
      <c r="AM2207" s="109"/>
      <c r="AN2207" s="109"/>
      <c r="AO2207" s="109"/>
      <c r="AP2207" s="109"/>
      <c r="AQ2207" s="109"/>
      <c r="AR2207" s="109"/>
      <c r="AS2207" s="109"/>
    </row>
    <row r="2208" spans="1:45" ht="12.6" customHeight="1" x14ac:dyDescent="0.3">
      <c r="A2208" s="58"/>
      <c r="B2208" s="58"/>
      <c r="C2208" s="58"/>
      <c r="D2208" s="58"/>
      <c r="E2208" s="58"/>
      <c r="F2208" s="58"/>
      <c r="Z2208" s="109"/>
      <c r="AA2208" s="109"/>
      <c r="AB2208" s="109"/>
      <c r="AC2208" s="109"/>
      <c r="AD2208" s="109"/>
      <c r="AE2208" s="109"/>
      <c r="AF2208" s="109"/>
      <c r="AG2208" s="109"/>
      <c r="AH2208" s="109"/>
      <c r="AI2208" s="109"/>
      <c r="AJ2208" s="109"/>
      <c r="AK2208" s="109"/>
      <c r="AL2208" s="109"/>
      <c r="AM2208" s="109"/>
      <c r="AN2208" s="109"/>
      <c r="AO2208" s="109"/>
      <c r="AP2208" s="109"/>
      <c r="AQ2208" s="109"/>
      <c r="AR2208" s="109"/>
      <c r="AS2208" s="109"/>
    </row>
    <row r="2209" spans="1:45" ht="12.6" customHeight="1" x14ac:dyDescent="0.3">
      <c r="A2209" s="159" t="s">
        <v>1401</v>
      </c>
      <c r="B2209" s="152"/>
      <c r="C2209" s="55">
        <f>E2209+D2209+F2209</f>
        <v>970987</v>
      </c>
      <c r="D2209" s="54">
        <f>ROUNDDOWN(SUMIF(N2142:N2176,M2209,D2142:D2176),0)</f>
        <v>922307</v>
      </c>
      <c r="E2209" s="63">
        <f>ROUNDDOWN(SUMIF(N2142:N2176,M2209,E2142:E2176),0)</f>
        <v>13680</v>
      </c>
      <c r="F2209" s="55">
        <f>ROUNDDOWN(SUMIF(N2142:N2176,M2209,F2142:F2176),0)</f>
        <v>35000</v>
      </c>
      <c r="M2209" s="20" t="s">
        <v>1128</v>
      </c>
      <c r="Z2209" s="109"/>
      <c r="AA2209" s="109"/>
      <c r="AB2209" s="109"/>
      <c r="AC2209" s="109"/>
      <c r="AD2209" s="109"/>
      <c r="AE2209" s="109"/>
      <c r="AF2209" s="109"/>
      <c r="AG2209" s="109"/>
      <c r="AH2209" s="109"/>
      <c r="AI2209" s="109"/>
      <c r="AJ2209" s="109"/>
      <c r="AK2209" s="109"/>
      <c r="AL2209" s="109"/>
      <c r="AM2209" s="109"/>
      <c r="AN2209" s="109"/>
      <c r="AO2209" s="109"/>
      <c r="AP2209" s="109"/>
      <c r="AQ2209" s="109"/>
      <c r="AR2209" s="109"/>
      <c r="AS2209" s="109"/>
    </row>
    <row r="2210" spans="1:45" ht="12.6" customHeight="1" x14ac:dyDescent="0.3">
      <c r="A2210" s="95" t="s">
        <v>292</v>
      </c>
      <c r="B2210" s="96" t="s">
        <v>292</v>
      </c>
      <c r="C2210" s="158">
        <f>C2244</f>
        <v>15227</v>
      </c>
      <c r="D2210" s="158">
        <f>D2244</f>
        <v>0</v>
      </c>
      <c r="E2210" s="158">
        <f>E2244</f>
        <v>0</v>
      </c>
      <c r="F2210" s="158">
        <f>F2244</f>
        <v>15227</v>
      </c>
      <c r="G2210" s="36" t="str">
        <f>HYPERLINK("#G"&amp;ROW(G2236),"_x0005_`BDCOD|D02252_x0007_`POSS|"&amp;ROW(G2212)&amp;"_x0007_`POSE|"&amp;ROW(G2236)&amp;"_x0007_`")</f>
        <v>_x0005_`BDCOD|D02252_x0007_`POSS|2212_x0007_`POSE|2236_x0007_`</v>
      </c>
      <c r="Z2210" s="109"/>
      <c r="AA2210" s="109"/>
      <c r="AB2210" s="109"/>
      <c r="AC2210" s="109"/>
      <c r="AD2210" s="109"/>
      <c r="AE2210" s="109"/>
      <c r="AF2210" s="109"/>
      <c r="AG2210" s="109"/>
      <c r="AH2210" s="109"/>
      <c r="AI2210" s="109"/>
      <c r="AJ2210" s="109"/>
      <c r="AK2210" s="109"/>
      <c r="AL2210" s="109"/>
      <c r="AM2210" s="109"/>
      <c r="AN2210" s="109"/>
      <c r="AO2210" s="109"/>
      <c r="AP2210" s="109"/>
      <c r="AQ2210" s="109"/>
      <c r="AR2210" s="109"/>
      <c r="AS2210" s="109"/>
    </row>
    <row r="2211" spans="1:45" ht="12.6" customHeight="1" x14ac:dyDescent="0.3">
      <c r="A2211" s="84"/>
      <c r="B2211" s="96" t="s">
        <v>291</v>
      </c>
      <c r="C2211" s="141"/>
      <c r="D2211" s="141"/>
      <c r="E2211" s="141"/>
      <c r="F2211" s="141"/>
      <c r="M2211" s="20" t="s">
        <v>290</v>
      </c>
      <c r="Z2211" s="109"/>
      <c r="AA2211" s="109"/>
      <c r="AB2211" s="109"/>
      <c r="AC2211" s="109"/>
      <c r="AD2211" s="109"/>
      <c r="AE2211" s="109"/>
      <c r="AF2211" s="109"/>
      <c r="AG2211" s="109"/>
      <c r="AH2211" s="109"/>
      <c r="AI2211" s="109"/>
      <c r="AJ2211" s="109"/>
      <c r="AK2211" s="109"/>
      <c r="AL2211" s="109"/>
      <c r="AM2211" s="109"/>
      <c r="AN2211" s="109"/>
      <c r="AO2211" s="109"/>
      <c r="AP2211" s="109"/>
      <c r="AQ2211" s="109"/>
      <c r="AR2211" s="109"/>
      <c r="AS2211" s="109"/>
    </row>
    <row r="2212" spans="1:45" ht="12.6" customHeight="1" x14ac:dyDescent="0.3">
      <c r="A2212" s="78"/>
      <c r="B2212" s="78"/>
      <c r="C2212" s="98"/>
      <c r="D2212" s="98"/>
      <c r="E2212" s="98"/>
      <c r="F2212" s="98"/>
      <c r="G2212" s="16" t="s">
        <v>1317</v>
      </c>
      <c r="Z2212" s="109"/>
      <c r="AA2212" s="109"/>
      <c r="AB2212" s="109"/>
      <c r="AC2212" s="109"/>
      <c r="AD2212" s="109"/>
      <c r="AE2212" s="109"/>
      <c r="AF2212" s="109"/>
      <c r="AG2212" s="109"/>
      <c r="AH2212" s="109"/>
      <c r="AI2212" s="109"/>
      <c r="AJ2212" s="109"/>
      <c r="AK2212" s="109"/>
      <c r="AL2212" s="109"/>
      <c r="AM2212" s="109"/>
      <c r="AN2212" s="109"/>
      <c r="AO2212" s="109"/>
      <c r="AP2212" s="109"/>
      <c r="AQ2212" s="109"/>
      <c r="AR2212" s="109"/>
      <c r="AS2212" s="109"/>
    </row>
    <row r="2213" spans="1:45" ht="12.6" customHeight="1" x14ac:dyDescent="0.3">
      <c r="A2213" s="68"/>
      <c r="B2213" s="97" t="str">
        <f>" 철근 운반  ( L = "&amp;Z2213&amp;" km) "</f>
        <v xml:space="preserve"> 철근 운반  ( L = 19 km) </v>
      </c>
      <c r="C2213" s="78"/>
      <c r="D2213" s="78"/>
      <c r="E2213" s="78"/>
      <c r="F2213" s="78"/>
      <c r="G2213" s="16" t="s">
        <v>2072</v>
      </c>
      <c r="Z2213" s="111">
        <v>19</v>
      </c>
      <c r="AA2213" s="20" t="s">
        <v>1326</v>
      </c>
      <c r="AB2213" s="112">
        <f>Z2213</f>
        <v>19</v>
      </c>
      <c r="AC2213" s="109"/>
      <c r="AD2213" s="109"/>
      <c r="AE2213" s="109"/>
      <c r="AF2213" s="109"/>
      <c r="AG2213" s="109"/>
      <c r="AH2213" s="109"/>
      <c r="AI2213" s="109"/>
      <c r="AJ2213" s="109"/>
      <c r="AK2213" s="109"/>
      <c r="AL2213" s="109"/>
      <c r="AM2213" s="109"/>
      <c r="AN2213" s="109"/>
      <c r="AO2213" s="109"/>
      <c r="AP2213" s="109"/>
      <c r="AQ2213" s="109"/>
      <c r="AR2213" s="109"/>
      <c r="AS2213" s="109"/>
    </row>
    <row r="2214" spans="1:45" ht="12.6" customHeight="1" x14ac:dyDescent="0.3">
      <c r="A2214" s="78"/>
      <c r="B2214" s="78"/>
      <c r="C2214" s="78"/>
      <c r="D2214" s="78"/>
      <c r="E2214" s="78"/>
      <c r="F2214" s="78"/>
      <c r="G2214" s="16" t="s">
        <v>1317</v>
      </c>
      <c r="Z2214" s="109"/>
      <c r="AA2214" s="109"/>
      <c r="AB2214" s="109"/>
      <c r="AC2214" s="109"/>
      <c r="AD2214" s="109"/>
      <c r="AE2214" s="109"/>
      <c r="AF2214" s="109"/>
      <c r="AG2214" s="109"/>
      <c r="AH2214" s="109"/>
      <c r="AI2214" s="109"/>
      <c r="AJ2214" s="109"/>
      <c r="AK2214" s="109"/>
      <c r="AL2214" s="109"/>
      <c r="AM2214" s="109"/>
      <c r="AN2214" s="109"/>
      <c r="AO2214" s="109"/>
      <c r="AP2214" s="109"/>
      <c r="AQ2214" s="109"/>
      <c r="AR2214" s="109"/>
      <c r="AS2214" s="109"/>
    </row>
    <row r="2215" spans="1:45" ht="12.6" customHeight="1" x14ac:dyDescent="0.3">
      <c r="A2215" s="78"/>
      <c r="B2215" s="78"/>
      <c r="C2215" s="78"/>
      <c r="D2215" s="78"/>
      <c r="E2215" s="78"/>
      <c r="F2215" s="78"/>
      <c r="G2215" s="16" t="s">
        <v>1317</v>
      </c>
      <c r="Z2215" s="109"/>
      <c r="AA2215" s="109"/>
      <c r="AB2215" s="109"/>
      <c r="AC2215" s="109"/>
      <c r="AD2215" s="109"/>
      <c r="AE2215" s="109"/>
      <c r="AF2215" s="109"/>
      <c r="AG2215" s="109"/>
      <c r="AH2215" s="109"/>
      <c r="AI2215" s="109"/>
      <c r="AJ2215" s="109"/>
      <c r="AK2215" s="109"/>
      <c r="AL2215" s="109"/>
      <c r="AM2215" s="109"/>
      <c r="AN2215" s="109"/>
      <c r="AO2215" s="109"/>
      <c r="AP2215" s="109"/>
      <c r="AQ2215" s="109"/>
      <c r="AR2215" s="109"/>
      <c r="AS2215" s="109"/>
    </row>
    <row r="2216" spans="1:45" ht="12.6" customHeight="1" x14ac:dyDescent="0.3">
      <c r="A2216" s="68"/>
      <c r="B2216" s="77" t="s">
        <v>2074</v>
      </c>
      <c r="C2216" s="78"/>
      <c r="D2216" s="78"/>
      <c r="E2216" s="78"/>
      <c r="F2216" s="78"/>
      <c r="G2216" s="16" t="s">
        <v>2073</v>
      </c>
      <c r="Z2216" s="109"/>
      <c r="AA2216" s="109"/>
      <c r="AB2216" s="109"/>
      <c r="AC2216" s="109"/>
      <c r="AD2216" s="109"/>
      <c r="AE2216" s="109"/>
      <c r="AF2216" s="109"/>
      <c r="AG2216" s="109"/>
      <c r="AH2216" s="109"/>
      <c r="AI2216" s="109"/>
      <c r="AJ2216" s="109"/>
      <c r="AK2216" s="109"/>
      <c r="AL2216" s="109"/>
      <c r="AM2216" s="109"/>
      <c r="AN2216" s="109"/>
      <c r="AO2216" s="109"/>
      <c r="AP2216" s="109"/>
      <c r="AQ2216" s="109"/>
      <c r="AR2216" s="109"/>
      <c r="AS2216" s="109"/>
    </row>
    <row r="2217" spans="1:45" ht="12.6" customHeight="1" x14ac:dyDescent="0.3">
      <c r="A2217" s="68"/>
      <c r="B2217" s="77" t="s">
        <v>2076</v>
      </c>
      <c r="C2217" s="78"/>
      <c r="D2217" s="78"/>
      <c r="E2217" s="78"/>
      <c r="F2217" s="78"/>
      <c r="G2217" s="16" t="s">
        <v>2075</v>
      </c>
      <c r="Z2217" s="109"/>
      <c r="AA2217" s="109"/>
      <c r="AB2217" s="109"/>
      <c r="AC2217" s="109"/>
      <c r="AD2217" s="109"/>
      <c r="AE2217" s="109"/>
      <c r="AF2217" s="109"/>
      <c r="AG2217" s="109"/>
      <c r="AH2217" s="109"/>
      <c r="AI2217" s="109"/>
      <c r="AJ2217" s="109"/>
      <c r="AK2217" s="109"/>
      <c r="AL2217" s="109"/>
      <c r="AM2217" s="109"/>
      <c r="AN2217" s="109"/>
      <c r="AO2217" s="109"/>
      <c r="AP2217" s="109"/>
      <c r="AQ2217" s="109"/>
      <c r="AR2217" s="109"/>
      <c r="AS2217" s="109"/>
    </row>
    <row r="2218" spans="1:45" ht="12.6" customHeight="1" x14ac:dyDescent="0.3">
      <c r="A2218" s="68"/>
      <c r="B2218" s="77" t="s">
        <v>2078</v>
      </c>
      <c r="C2218" s="78"/>
      <c r="D2218" s="78"/>
      <c r="E2218" s="78"/>
      <c r="F2218" s="78"/>
      <c r="G2218" s="16" t="s">
        <v>2077</v>
      </c>
      <c r="Z2218" s="109"/>
      <c r="AA2218" s="109"/>
      <c r="AB2218" s="109"/>
      <c r="AC2218" s="109"/>
      <c r="AD2218" s="109"/>
      <c r="AE2218" s="109"/>
      <c r="AF2218" s="109"/>
      <c r="AG2218" s="109"/>
      <c r="AH2218" s="109"/>
      <c r="AI2218" s="109"/>
      <c r="AJ2218" s="109"/>
      <c r="AK2218" s="109"/>
      <c r="AL2218" s="109"/>
      <c r="AM2218" s="109"/>
      <c r="AN2218" s="109"/>
      <c r="AO2218" s="109"/>
      <c r="AP2218" s="109"/>
      <c r="AQ2218" s="109"/>
      <c r="AR2218" s="109"/>
      <c r="AS2218" s="109"/>
    </row>
    <row r="2219" spans="1:45" ht="12.6" customHeight="1" x14ac:dyDescent="0.3">
      <c r="A2219" s="78"/>
      <c r="B2219" s="78"/>
      <c r="C2219" s="78"/>
      <c r="D2219" s="78"/>
      <c r="E2219" s="78"/>
      <c r="F2219" s="78"/>
      <c r="G2219" s="16" t="s">
        <v>1317</v>
      </c>
      <c r="Z2219" s="109"/>
      <c r="AA2219" s="109"/>
      <c r="AB2219" s="109"/>
      <c r="AC2219" s="109"/>
      <c r="AD2219" s="109"/>
      <c r="AE2219" s="109"/>
      <c r="AF2219" s="109"/>
      <c r="AG2219" s="109"/>
      <c r="AH2219" s="109"/>
      <c r="AI2219" s="109"/>
      <c r="AJ2219" s="109"/>
      <c r="AK2219" s="109"/>
      <c r="AL2219" s="109"/>
      <c r="AM2219" s="109"/>
      <c r="AN2219" s="109"/>
      <c r="AO2219" s="109"/>
      <c r="AP2219" s="109"/>
      <c r="AQ2219" s="109"/>
      <c r="AR2219" s="109"/>
      <c r="AS2219" s="109"/>
    </row>
    <row r="2220" spans="1:45" ht="12.6" customHeight="1" x14ac:dyDescent="0.3">
      <c r="A2220" s="78"/>
      <c r="B2220" s="78"/>
      <c r="C2220" s="78"/>
      <c r="D2220" s="78"/>
      <c r="E2220" s="78"/>
      <c r="F2220" s="78"/>
      <c r="G2220" s="16" t="s">
        <v>1317</v>
      </c>
      <c r="Z2220" s="109"/>
      <c r="AA2220" s="109"/>
      <c r="AB2220" s="109"/>
      <c r="AC2220" s="109"/>
      <c r="AD2220" s="109"/>
      <c r="AE2220" s="109"/>
      <c r="AF2220" s="109"/>
      <c r="AG2220" s="109"/>
      <c r="AH2220" s="109"/>
      <c r="AI2220" s="109"/>
      <c r="AJ2220" s="109"/>
      <c r="AK2220" s="109"/>
      <c r="AL2220" s="109"/>
      <c r="AM2220" s="109"/>
      <c r="AN2220" s="109"/>
      <c r="AO2220" s="109"/>
      <c r="AP2220" s="109"/>
      <c r="AQ2220" s="109"/>
      <c r="AR2220" s="109"/>
      <c r="AS2220" s="109"/>
    </row>
    <row r="2221" spans="1:45" ht="12.6" customHeight="1" x14ac:dyDescent="0.3">
      <c r="A2221" s="78"/>
      <c r="B2221" s="78"/>
      <c r="C2221" s="78"/>
      <c r="D2221" s="78"/>
      <c r="E2221" s="78"/>
      <c r="F2221" s="78"/>
      <c r="G2221" s="16" t="s">
        <v>1317</v>
      </c>
      <c r="Z2221" s="109"/>
      <c r="AA2221" s="109"/>
      <c r="AB2221" s="109"/>
      <c r="AC2221" s="109"/>
      <c r="AD2221" s="109"/>
      <c r="AE2221" s="109"/>
      <c r="AF2221" s="109"/>
      <c r="AG2221" s="109"/>
      <c r="AH2221" s="109"/>
      <c r="AI2221" s="109"/>
      <c r="AJ2221" s="109"/>
      <c r="AK2221" s="109"/>
      <c r="AL2221" s="109"/>
      <c r="AM2221" s="109"/>
      <c r="AN2221" s="109"/>
      <c r="AO2221" s="109"/>
      <c r="AP2221" s="109"/>
      <c r="AQ2221" s="109"/>
      <c r="AR2221" s="109"/>
      <c r="AS2221" s="109"/>
    </row>
    <row r="2222" spans="1:45" ht="12.6" customHeight="1" x14ac:dyDescent="0.3">
      <c r="A2222" s="68"/>
      <c r="B2222" s="77" t="s">
        <v>2080</v>
      </c>
      <c r="C2222" s="78"/>
      <c r="D2222" s="78"/>
      <c r="E2222" s="78"/>
      <c r="F2222" s="78"/>
      <c r="G2222" s="16" t="s">
        <v>2079</v>
      </c>
      <c r="Z2222" s="109"/>
      <c r="AA2222" s="109"/>
      <c r="AB2222" s="109"/>
      <c r="AC2222" s="109"/>
      <c r="AD2222" s="109"/>
      <c r="AE2222" s="109"/>
      <c r="AF2222" s="109"/>
      <c r="AG2222" s="109"/>
      <c r="AH2222" s="109"/>
      <c r="AI2222" s="109"/>
      <c r="AJ2222" s="109"/>
      <c r="AK2222" s="109"/>
      <c r="AL2222" s="109"/>
      <c r="AM2222" s="109"/>
      <c r="AN2222" s="109"/>
      <c r="AO2222" s="109"/>
      <c r="AP2222" s="109"/>
      <c r="AQ2222" s="109"/>
      <c r="AR2222" s="109"/>
      <c r="AS2222" s="109"/>
    </row>
    <row r="2223" spans="1:45" ht="12.6" customHeight="1" x14ac:dyDescent="0.3">
      <c r="A2223" s="78"/>
      <c r="B2223" s="78"/>
      <c r="C2223" s="78"/>
      <c r="D2223" s="78"/>
      <c r="E2223" s="78"/>
      <c r="F2223" s="78"/>
      <c r="G2223" s="16" t="s">
        <v>1317</v>
      </c>
      <c r="Z2223" s="109"/>
      <c r="AA2223" s="109"/>
      <c r="AB2223" s="109"/>
      <c r="AC2223" s="109"/>
      <c r="AD2223" s="109"/>
      <c r="AE2223" s="109"/>
      <c r="AF2223" s="109"/>
      <c r="AG2223" s="109"/>
      <c r="AH2223" s="109"/>
      <c r="AI2223" s="109"/>
      <c r="AJ2223" s="109"/>
      <c r="AK2223" s="109"/>
      <c r="AL2223" s="109"/>
      <c r="AM2223" s="109"/>
      <c r="AN2223" s="109"/>
      <c r="AO2223" s="109"/>
      <c r="AP2223" s="109"/>
      <c r="AQ2223" s="109"/>
      <c r="AR2223" s="109"/>
      <c r="AS2223" s="109"/>
    </row>
    <row r="2224" spans="1:45" ht="12.6" customHeight="1" x14ac:dyDescent="0.3">
      <c r="A2224" s="68" t="s">
        <v>728</v>
      </c>
      <c r="B2224" s="97" t="str">
        <f>"    "&amp;TEXT(I2224,"#,##0"&amp;IF(I2224&lt;&gt;INT(I2224),".###",""))&amp;" / "&amp;AA2224&amp;" / "&amp;AC2224&amp;" = "&amp;TEXT(C2224,"#,##0.0")&amp;""</f>
        <v xml:space="preserve">    61,500 / 1.1 / 5 = 11,181.8</v>
      </c>
      <c r="C2224" s="99">
        <f>E2224+D2224+F2224</f>
        <v>11181.8</v>
      </c>
      <c r="D2224" s="99">
        <f>IF(H2224=0,0,ROUNDDOWN(J2224*H2224,1))</f>
        <v>0</v>
      </c>
      <c r="E2224" s="99">
        <f>IF(H2224=0,0,ROUNDDOWN(K2224*H2224,1))</f>
        <v>0</v>
      </c>
      <c r="F2224" s="99">
        <f>IF(H2224=0,0,ROUNDDOWN(L2224*H2224,1))</f>
        <v>11181.8</v>
      </c>
      <c r="G2224" s="16" t="s">
        <v>2081</v>
      </c>
      <c r="H2224" s="105">
        <f>AE2224</f>
        <v>0.18181818181818182</v>
      </c>
      <c r="I2224" s="106">
        <f>K2224+J2224+L2224</f>
        <v>61500</v>
      </c>
      <c r="L2224" s="39">
        <f>경비목록표!E19</f>
        <v>61500</v>
      </c>
      <c r="M2224" s="20" t="s">
        <v>1857</v>
      </c>
      <c r="N2224" s="20" t="s">
        <v>1332</v>
      </c>
      <c r="X2224" s="108" t="str">
        <f>경비목록표!B19&amp;" / "&amp;경비목록표!C19</f>
        <v>구역화물자동차 / 5톤(20km 이내)</v>
      </c>
      <c r="Y2224" s="19" t="str">
        <f ca="1">HYPERLINK("#"&amp;경비목록표!G2&amp;"!A"&amp;ROW(경비목록표!A19),"경비   16 →")</f>
        <v>경비   16 →</v>
      </c>
      <c r="Z2224" s="20" t="s">
        <v>1393</v>
      </c>
      <c r="AA2224" s="110">
        <v>1.1000000000000001</v>
      </c>
      <c r="AB2224" s="20" t="s">
        <v>1387</v>
      </c>
      <c r="AC2224" s="111">
        <v>5</v>
      </c>
      <c r="AD2224" s="20" t="s">
        <v>1326</v>
      </c>
      <c r="AE2224" s="113">
        <f>1/AA2224/AC2224</f>
        <v>0.18181818181818182</v>
      </c>
      <c r="AF2224" s="109"/>
      <c r="AG2224" s="109"/>
      <c r="AH2224" s="109"/>
      <c r="AI2224" s="109"/>
      <c r="AJ2224" s="109"/>
      <c r="AK2224" s="109"/>
      <c r="AL2224" s="109"/>
      <c r="AM2224" s="109"/>
      <c r="AN2224" s="109"/>
      <c r="AO2224" s="109"/>
      <c r="AP2224" s="109"/>
      <c r="AQ2224" s="109"/>
      <c r="AR2224" s="109"/>
      <c r="AS2224" s="109"/>
    </row>
    <row r="2225" spans="1:45" ht="12.6" customHeight="1" x14ac:dyDescent="0.3">
      <c r="A2225" s="78"/>
      <c r="B2225" s="78"/>
      <c r="C2225" s="78"/>
      <c r="D2225" s="78"/>
      <c r="E2225" s="78"/>
      <c r="F2225" s="78"/>
      <c r="G2225" s="16" t="s">
        <v>1317</v>
      </c>
      <c r="Z2225" s="109"/>
      <c r="AA2225" s="109"/>
      <c r="AB2225" s="109"/>
      <c r="AC2225" s="109"/>
      <c r="AD2225" s="109"/>
      <c r="AE2225" s="109"/>
      <c r="AF2225" s="109"/>
      <c r="AG2225" s="109"/>
      <c r="AH2225" s="109"/>
      <c r="AI2225" s="109"/>
      <c r="AJ2225" s="109"/>
      <c r="AK2225" s="109"/>
      <c r="AL2225" s="109"/>
      <c r="AM2225" s="109"/>
      <c r="AN2225" s="109"/>
      <c r="AO2225" s="109"/>
      <c r="AP2225" s="109"/>
      <c r="AQ2225" s="109"/>
      <c r="AR2225" s="109"/>
      <c r="AS2225" s="109"/>
    </row>
    <row r="2226" spans="1:45" ht="12.6" customHeight="1" x14ac:dyDescent="0.3">
      <c r="A2226" s="68"/>
      <c r="B2226" s="77" t="s">
        <v>1331</v>
      </c>
      <c r="C2226" s="100">
        <f>E2226+D2226+F2226</f>
        <v>11181.8</v>
      </c>
      <c r="D2226" s="100">
        <f>SUMIF(N2212:N2225,M2226,D2212:D2225)</f>
        <v>0</v>
      </c>
      <c r="E2226" s="100">
        <f>SUMIF(N2212:N2225,M2226,E2212:E2225)</f>
        <v>0</v>
      </c>
      <c r="F2226" s="100">
        <f>SUMIF(N2212:N2225,M2226,F2212:F2225)</f>
        <v>11181.8</v>
      </c>
      <c r="G2226" s="16" t="s">
        <v>1415</v>
      </c>
      <c r="M2226" s="20" t="s">
        <v>1332</v>
      </c>
      <c r="N2226" s="20" t="s">
        <v>1341</v>
      </c>
      <c r="Z2226" s="109"/>
      <c r="AA2226" s="109"/>
      <c r="AB2226" s="109"/>
      <c r="AC2226" s="109"/>
      <c r="AD2226" s="109"/>
      <c r="AE2226" s="109"/>
      <c r="AF2226" s="109"/>
      <c r="AG2226" s="109"/>
      <c r="AH2226" s="109"/>
      <c r="AI2226" s="109"/>
      <c r="AJ2226" s="109"/>
      <c r="AK2226" s="109"/>
      <c r="AL2226" s="109"/>
      <c r="AM2226" s="109"/>
      <c r="AN2226" s="109"/>
      <c r="AO2226" s="109"/>
      <c r="AP2226" s="109"/>
      <c r="AQ2226" s="109"/>
      <c r="AR2226" s="109"/>
      <c r="AS2226" s="109"/>
    </row>
    <row r="2227" spans="1:45" ht="12.6" customHeight="1" x14ac:dyDescent="0.3">
      <c r="A2227" s="78"/>
      <c r="B2227" s="78"/>
      <c r="C2227" s="98"/>
      <c r="D2227" s="98"/>
      <c r="E2227" s="98"/>
      <c r="F2227" s="98"/>
      <c r="G2227" s="16" t="s">
        <v>1317</v>
      </c>
      <c r="Z2227" s="109"/>
      <c r="AA2227" s="109"/>
      <c r="AB2227" s="109"/>
      <c r="AC2227" s="109"/>
      <c r="AD2227" s="109"/>
      <c r="AE2227" s="109"/>
      <c r="AF2227" s="109"/>
      <c r="AG2227" s="109"/>
      <c r="AH2227" s="109"/>
      <c r="AI2227" s="109"/>
      <c r="AJ2227" s="109"/>
      <c r="AK2227" s="109"/>
      <c r="AL2227" s="109"/>
      <c r="AM2227" s="109"/>
      <c r="AN2227" s="109"/>
      <c r="AO2227" s="109"/>
      <c r="AP2227" s="109"/>
      <c r="AQ2227" s="109"/>
      <c r="AR2227" s="109"/>
      <c r="AS2227" s="109"/>
    </row>
    <row r="2228" spans="1:45" ht="12.6" customHeight="1" x14ac:dyDescent="0.3">
      <c r="A2228" s="78"/>
      <c r="B2228" s="78"/>
      <c r="C2228" s="78"/>
      <c r="D2228" s="78"/>
      <c r="E2228" s="78"/>
      <c r="F2228" s="78"/>
      <c r="G2228" s="16" t="s">
        <v>1317</v>
      </c>
      <c r="Z2228" s="109"/>
      <c r="AA2228" s="109"/>
      <c r="AB2228" s="109"/>
      <c r="AC2228" s="109"/>
      <c r="AD2228" s="109"/>
      <c r="AE2228" s="109"/>
      <c r="AF2228" s="109"/>
      <c r="AG2228" s="109"/>
      <c r="AH2228" s="109"/>
      <c r="AI2228" s="109"/>
      <c r="AJ2228" s="109"/>
      <c r="AK2228" s="109"/>
      <c r="AL2228" s="109"/>
      <c r="AM2228" s="109"/>
      <c r="AN2228" s="109"/>
      <c r="AO2228" s="109"/>
      <c r="AP2228" s="109"/>
      <c r="AQ2228" s="109"/>
      <c r="AR2228" s="109"/>
      <c r="AS2228" s="109"/>
    </row>
    <row r="2229" spans="1:45" ht="12.6" customHeight="1" x14ac:dyDescent="0.3">
      <c r="A2229" s="78"/>
      <c r="B2229" s="78"/>
      <c r="C2229" s="78"/>
      <c r="D2229" s="78"/>
      <c r="E2229" s="78"/>
      <c r="F2229" s="78"/>
      <c r="G2229" s="16" t="s">
        <v>1317</v>
      </c>
      <c r="Z2229" s="109"/>
      <c r="AA2229" s="109"/>
      <c r="AB2229" s="109"/>
      <c r="AC2229" s="109"/>
      <c r="AD2229" s="109"/>
      <c r="AE2229" s="109"/>
      <c r="AF2229" s="109"/>
      <c r="AG2229" s="109"/>
      <c r="AH2229" s="109"/>
      <c r="AI2229" s="109"/>
      <c r="AJ2229" s="109"/>
      <c r="AK2229" s="109"/>
      <c r="AL2229" s="109"/>
      <c r="AM2229" s="109"/>
      <c r="AN2229" s="109"/>
      <c r="AO2229" s="109"/>
      <c r="AP2229" s="109"/>
      <c r="AQ2229" s="109"/>
      <c r="AR2229" s="109"/>
      <c r="AS2229" s="109"/>
    </row>
    <row r="2230" spans="1:45" ht="12.6" customHeight="1" x14ac:dyDescent="0.3">
      <c r="A2230" s="68"/>
      <c r="B2230" s="77" t="s">
        <v>2083</v>
      </c>
      <c r="C2230" s="78"/>
      <c r="D2230" s="78"/>
      <c r="E2230" s="78"/>
      <c r="F2230" s="78"/>
      <c r="G2230" s="16" t="s">
        <v>2082</v>
      </c>
      <c r="Z2230" s="109"/>
      <c r="AA2230" s="109"/>
      <c r="AB2230" s="109"/>
      <c r="AC2230" s="109"/>
      <c r="AD2230" s="109"/>
      <c r="AE2230" s="109"/>
      <c r="AF2230" s="109"/>
      <c r="AG2230" s="109"/>
      <c r="AH2230" s="109"/>
      <c r="AI2230" s="109"/>
      <c r="AJ2230" s="109"/>
      <c r="AK2230" s="109"/>
      <c r="AL2230" s="109"/>
      <c r="AM2230" s="109"/>
      <c r="AN2230" s="109"/>
      <c r="AO2230" s="109"/>
      <c r="AP2230" s="109"/>
      <c r="AQ2230" s="109"/>
      <c r="AR2230" s="109"/>
      <c r="AS2230" s="109"/>
    </row>
    <row r="2231" spans="1:45" ht="12.6" customHeight="1" x14ac:dyDescent="0.3">
      <c r="A2231" s="78"/>
      <c r="B2231" s="78"/>
      <c r="C2231" s="78"/>
      <c r="D2231" s="78"/>
      <c r="E2231" s="78"/>
      <c r="F2231" s="78"/>
      <c r="G2231" s="16" t="s">
        <v>1317</v>
      </c>
      <c r="Z2231" s="109"/>
      <c r="AA2231" s="109"/>
      <c r="AB2231" s="109"/>
      <c r="AC2231" s="109"/>
      <c r="AD2231" s="109"/>
      <c r="AE2231" s="109"/>
      <c r="AF2231" s="109"/>
      <c r="AG2231" s="109"/>
      <c r="AH2231" s="109"/>
      <c r="AI2231" s="109"/>
      <c r="AJ2231" s="109"/>
      <c r="AK2231" s="109"/>
      <c r="AL2231" s="109"/>
      <c r="AM2231" s="109"/>
      <c r="AN2231" s="109"/>
      <c r="AO2231" s="109"/>
      <c r="AP2231" s="109"/>
      <c r="AQ2231" s="109"/>
      <c r="AR2231" s="109"/>
      <c r="AS2231" s="109"/>
    </row>
    <row r="2232" spans="1:45" ht="12.6" customHeight="1" x14ac:dyDescent="0.3">
      <c r="A2232" s="68" t="s">
        <v>663</v>
      </c>
      <c r="B2232" s="97" t="str">
        <f>"  "&amp;Z2232&amp;" * "&amp;AB2232&amp;" / "&amp;AD2232&amp;" / ("&amp;AF2232&amp;"-"&amp;AH2232&amp;") * "&amp;TEXT(I2232,"#,##0"&amp;IF(I2232&lt;&gt;INT(I2232),".###",""))&amp;"  = "&amp;TEXT(C2232,"#,##0.0")&amp;""</f>
        <v xml:space="preserve">  2 * 11 / 2 / (480-30) * 165,545  = 4,046.6</v>
      </c>
      <c r="C2232" s="99">
        <f>E2232+D2232+F2232</f>
        <v>4046.6</v>
      </c>
      <c r="D2232" s="99">
        <f>IF(H2232=0,0,ROUNDDOWN(J2232*H2232,1))</f>
        <v>4046.6</v>
      </c>
      <c r="E2232" s="99">
        <f>IF(H2232=0,0,ROUNDDOWN(K2232*H2232,1))</f>
        <v>0</v>
      </c>
      <c r="F2232" s="99">
        <f>IF(H2232=0,0,ROUNDDOWN(L2232*H2232,1))</f>
        <v>0</v>
      </c>
      <c r="G2232" s="16" t="s">
        <v>2084</v>
      </c>
      <c r="H2232" s="105">
        <f>AK2232</f>
        <v>2.4444444444444446E-2</v>
      </c>
      <c r="I2232" s="106">
        <f>K2232+J2232+L2232</f>
        <v>165545</v>
      </c>
      <c r="J2232" s="39">
        <f>노무비목록표!E9</f>
        <v>165545</v>
      </c>
      <c r="M2232" s="20" t="s">
        <v>1126</v>
      </c>
      <c r="N2232" s="20" t="s">
        <v>1332</v>
      </c>
      <c r="X2232" s="108" t="str">
        <f>노무비목록표!B9&amp;" / "&amp;노무비목록표!C9</f>
        <v xml:space="preserve">보통인부 / </v>
      </c>
      <c r="Y2232" s="19" t="str">
        <f ca="1">HYPERLINK("#"&amp;노무비목록표!G2&amp;"!A"&amp;ROW(노무비목록표!A9),"노무    6 →")</f>
        <v>노무    6 →</v>
      </c>
      <c r="Z2232" s="111">
        <v>2</v>
      </c>
      <c r="AA2232" s="20" t="s">
        <v>1390</v>
      </c>
      <c r="AB2232" s="111">
        <v>11</v>
      </c>
      <c r="AC2232" s="20" t="s">
        <v>1387</v>
      </c>
      <c r="AD2232" s="111">
        <v>2</v>
      </c>
      <c r="AE2232" s="20" t="s">
        <v>1531</v>
      </c>
      <c r="AF2232" s="111">
        <v>480</v>
      </c>
      <c r="AG2232" s="20" t="s">
        <v>1407</v>
      </c>
      <c r="AH2232" s="111">
        <v>30</v>
      </c>
      <c r="AI2232" s="20" t="s">
        <v>2085</v>
      </c>
      <c r="AJ2232" s="20" t="s">
        <v>1326</v>
      </c>
      <c r="AK2232" s="113">
        <f>Z2232*AB2232/AD2232/(AF2232-AH2232)*1</f>
        <v>2.4444444444444446E-2</v>
      </c>
      <c r="AL2232" s="109"/>
      <c r="AM2232" s="109"/>
      <c r="AN2232" s="109"/>
      <c r="AO2232" s="109"/>
      <c r="AP2232" s="109"/>
      <c r="AQ2232" s="109"/>
      <c r="AR2232" s="109"/>
      <c r="AS2232" s="109"/>
    </row>
    <row r="2233" spans="1:45" ht="12.6" customHeight="1" x14ac:dyDescent="0.3">
      <c r="A2233" s="78"/>
      <c r="B2233" s="78"/>
      <c r="C2233" s="78"/>
      <c r="D2233" s="78"/>
      <c r="E2233" s="78"/>
      <c r="F2233" s="78"/>
      <c r="G2233" s="16" t="s">
        <v>1317</v>
      </c>
      <c r="Z2233" s="109"/>
      <c r="AA2233" s="109"/>
      <c r="AB2233" s="109"/>
      <c r="AC2233" s="109"/>
      <c r="AD2233" s="109"/>
      <c r="AE2233" s="109"/>
      <c r="AF2233" s="109"/>
      <c r="AG2233" s="109"/>
      <c r="AH2233" s="109"/>
      <c r="AI2233" s="109"/>
      <c r="AJ2233" s="109"/>
      <c r="AK2233" s="109"/>
      <c r="AL2233" s="109"/>
      <c r="AM2233" s="109"/>
      <c r="AN2233" s="109"/>
      <c r="AO2233" s="109"/>
      <c r="AP2233" s="109"/>
      <c r="AQ2233" s="109"/>
      <c r="AR2233" s="109"/>
      <c r="AS2233" s="109"/>
    </row>
    <row r="2234" spans="1:45" ht="12.6" customHeight="1" x14ac:dyDescent="0.3">
      <c r="A2234" s="68"/>
      <c r="B2234" s="77" t="s">
        <v>1331</v>
      </c>
      <c r="C2234" s="100">
        <f>E2234+D2234+F2234</f>
        <v>4046.6</v>
      </c>
      <c r="D2234" s="100">
        <f>SUMIF(N2227:N2233,M2234,D2227:D2233)</f>
        <v>4046.6</v>
      </c>
      <c r="E2234" s="100">
        <f>SUMIF(N2227:N2233,M2234,E2227:E2233)</f>
        <v>0</v>
      </c>
      <c r="F2234" s="100">
        <f>SUMIF(N2227:N2233,M2234,F2227:F2233)</f>
        <v>0</v>
      </c>
      <c r="G2234" s="16" t="s">
        <v>1415</v>
      </c>
      <c r="M2234" s="20" t="s">
        <v>1332</v>
      </c>
      <c r="N2234" s="20" t="s">
        <v>1341</v>
      </c>
      <c r="Z2234" s="109"/>
      <c r="AA2234" s="109"/>
      <c r="AB2234" s="109"/>
      <c r="AC2234" s="109"/>
      <c r="AD2234" s="109"/>
      <c r="AE2234" s="109"/>
      <c r="AF2234" s="109"/>
      <c r="AG2234" s="109"/>
      <c r="AH2234" s="109"/>
      <c r="AI2234" s="109"/>
      <c r="AJ2234" s="109"/>
      <c r="AK2234" s="109"/>
      <c r="AL2234" s="109"/>
      <c r="AM2234" s="109"/>
      <c r="AN2234" s="109"/>
      <c r="AO2234" s="109"/>
      <c r="AP2234" s="109"/>
      <c r="AQ2234" s="109"/>
      <c r="AR2234" s="109"/>
      <c r="AS2234" s="109"/>
    </row>
    <row r="2235" spans="1:45" ht="12.6" customHeight="1" x14ac:dyDescent="0.3">
      <c r="A2235" s="78"/>
      <c r="B2235" s="78"/>
      <c r="C2235" s="98"/>
      <c r="D2235" s="98"/>
      <c r="E2235" s="98"/>
      <c r="F2235" s="98"/>
      <c r="G2235" s="16" t="s">
        <v>1317</v>
      </c>
      <c r="Z2235" s="109"/>
      <c r="AA2235" s="109"/>
      <c r="AB2235" s="109"/>
      <c r="AC2235" s="109"/>
      <c r="AD2235" s="109"/>
      <c r="AE2235" s="109"/>
      <c r="AF2235" s="109"/>
      <c r="AG2235" s="109"/>
      <c r="AH2235" s="109"/>
      <c r="AI2235" s="109"/>
      <c r="AJ2235" s="109"/>
      <c r="AK2235" s="109"/>
      <c r="AL2235" s="109"/>
      <c r="AM2235" s="109"/>
      <c r="AN2235" s="109"/>
      <c r="AO2235" s="109"/>
      <c r="AP2235" s="109"/>
      <c r="AQ2235" s="109"/>
      <c r="AR2235" s="109"/>
      <c r="AS2235" s="109"/>
    </row>
    <row r="2236" spans="1:45" ht="12.6" customHeight="1" x14ac:dyDescent="0.3">
      <c r="A2236" s="68"/>
      <c r="B2236" s="77" t="s">
        <v>1340</v>
      </c>
      <c r="C2236" s="100">
        <f>E2236+D2236+F2236</f>
        <v>15228.4</v>
      </c>
      <c r="D2236" s="100">
        <f>SUMIF(N2212:N2235,M2236,D2212:D2235)</f>
        <v>4046.6</v>
      </c>
      <c r="E2236" s="100">
        <f>SUMIF(N2212:N2235,M2236,E2212:E2235)</f>
        <v>0</v>
      </c>
      <c r="F2236" s="100">
        <f>SUMIF(N2212:N2235,M2236,F2212:F2235)</f>
        <v>11181.8</v>
      </c>
      <c r="G2236" s="16" t="s">
        <v>1380</v>
      </c>
      <c r="M2236" s="20" t="s">
        <v>1341</v>
      </c>
      <c r="N2236" s="20" t="s">
        <v>1128</v>
      </c>
      <c r="Z2236" s="109"/>
      <c r="AA2236" s="109"/>
      <c r="AB2236" s="109"/>
      <c r="AC2236" s="109"/>
      <c r="AD2236" s="109"/>
      <c r="AE2236" s="109"/>
      <c r="AF2236" s="109"/>
      <c r="AG2236" s="109"/>
      <c r="AH2236" s="109"/>
      <c r="AI2236" s="109"/>
      <c r="AJ2236" s="109"/>
      <c r="AK2236" s="109"/>
      <c r="AL2236" s="109"/>
      <c r="AM2236" s="109"/>
      <c r="AN2236" s="109"/>
      <c r="AO2236" s="109"/>
      <c r="AP2236" s="109"/>
      <c r="AQ2236" s="109"/>
      <c r="AR2236" s="109"/>
      <c r="AS2236" s="109"/>
    </row>
    <row r="2237" spans="1:45" ht="12.6" customHeight="1" x14ac:dyDescent="0.3">
      <c r="A2237" s="78"/>
      <c r="B2237" s="78"/>
      <c r="C2237" s="98"/>
      <c r="D2237" s="98"/>
      <c r="E2237" s="98"/>
      <c r="F2237" s="98"/>
      <c r="Z2237" s="109"/>
      <c r="AA2237" s="109"/>
      <c r="AB2237" s="109"/>
      <c r="AC2237" s="109"/>
      <c r="AD2237" s="109"/>
      <c r="AE2237" s="109"/>
      <c r="AF2237" s="109"/>
      <c r="AG2237" s="109"/>
      <c r="AH2237" s="109"/>
      <c r="AI2237" s="109"/>
      <c r="AJ2237" s="109"/>
      <c r="AK2237" s="109"/>
      <c r="AL2237" s="109"/>
      <c r="AM2237" s="109"/>
      <c r="AN2237" s="109"/>
      <c r="AO2237" s="109"/>
      <c r="AP2237" s="109"/>
      <c r="AQ2237" s="109"/>
      <c r="AR2237" s="109"/>
      <c r="AS2237" s="109"/>
    </row>
    <row r="2238" spans="1:45" ht="12.6" customHeight="1" x14ac:dyDescent="0.3">
      <c r="A2238" s="78"/>
      <c r="B2238" s="78"/>
      <c r="C2238" s="78"/>
      <c r="D2238" s="78"/>
      <c r="E2238" s="78"/>
      <c r="F2238" s="78"/>
      <c r="Z2238" s="109"/>
      <c r="AA2238" s="109"/>
      <c r="AB2238" s="109"/>
      <c r="AC2238" s="109"/>
      <c r="AD2238" s="109"/>
      <c r="AE2238" s="109"/>
      <c r="AF2238" s="109"/>
      <c r="AG2238" s="109"/>
      <c r="AH2238" s="109"/>
      <c r="AI2238" s="109"/>
      <c r="AJ2238" s="109"/>
      <c r="AK2238" s="109"/>
      <c r="AL2238" s="109"/>
      <c r="AM2238" s="109"/>
      <c r="AN2238" s="109"/>
      <c r="AO2238" s="109"/>
      <c r="AP2238" s="109"/>
      <c r="AQ2238" s="109"/>
      <c r="AR2238" s="109"/>
      <c r="AS2238" s="109"/>
    </row>
    <row r="2239" spans="1:45" ht="12.6" customHeight="1" x14ac:dyDescent="0.3">
      <c r="A2239" s="78"/>
      <c r="B2239" s="78"/>
      <c r="C2239" s="78"/>
      <c r="D2239" s="78"/>
      <c r="E2239" s="78"/>
      <c r="F2239" s="78"/>
      <c r="Z2239" s="109"/>
      <c r="AA2239" s="109"/>
      <c r="AB2239" s="109"/>
      <c r="AC2239" s="109"/>
      <c r="AD2239" s="109"/>
      <c r="AE2239" s="109"/>
      <c r="AF2239" s="109"/>
      <c r="AG2239" s="109"/>
      <c r="AH2239" s="109"/>
      <c r="AI2239" s="109"/>
      <c r="AJ2239" s="109"/>
      <c r="AK2239" s="109"/>
      <c r="AL2239" s="109"/>
      <c r="AM2239" s="109"/>
      <c r="AN2239" s="109"/>
      <c r="AO2239" s="109"/>
      <c r="AP2239" s="109"/>
      <c r="AQ2239" s="109"/>
      <c r="AR2239" s="109"/>
      <c r="AS2239" s="109"/>
    </row>
    <row r="2240" spans="1:45" ht="12.6" customHeight="1" x14ac:dyDescent="0.3">
      <c r="A2240" s="78"/>
      <c r="B2240" s="78"/>
      <c r="C2240" s="78"/>
      <c r="D2240" s="78"/>
      <c r="E2240" s="78"/>
      <c r="F2240" s="78"/>
      <c r="Z2240" s="109"/>
      <c r="AA2240" s="109"/>
      <c r="AB2240" s="109"/>
      <c r="AC2240" s="109"/>
      <c r="AD2240" s="109"/>
      <c r="AE2240" s="109"/>
      <c r="AF2240" s="109"/>
      <c r="AG2240" s="109"/>
      <c r="AH2240" s="109"/>
      <c r="AI2240" s="109"/>
      <c r="AJ2240" s="109"/>
      <c r="AK2240" s="109"/>
      <c r="AL2240" s="109"/>
      <c r="AM2240" s="109"/>
      <c r="AN2240" s="109"/>
      <c r="AO2240" s="109"/>
      <c r="AP2240" s="109"/>
      <c r="AQ2240" s="109"/>
      <c r="AR2240" s="109"/>
      <c r="AS2240" s="109"/>
    </row>
    <row r="2241" spans="1:45" ht="12.6" customHeight="1" x14ac:dyDescent="0.3">
      <c r="A2241" s="78"/>
      <c r="B2241" s="78"/>
      <c r="C2241" s="78"/>
      <c r="D2241" s="78"/>
      <c r="E2241" s="78"/>
      <c r="F2241" s="78"/>
      <c r="Z2241" s="109"/>
      <c r="AA2241" s="109"/>
      <c r="AB2241" s="109"/>
      <c r="AC2241" s="109"/>
      <c r="AD2241" s="109"/>
      <c r="AE2241" s="109"/>
      <c r="AF2241" s="109"/>
      <c r="AG2241" s="109"/>
      <c r="AH2241" s="109"/>
      <c r="AI2241" s="109"/>
      <c r="AJ2241" s="109"/>
      <c r="AK2241" s="109"/>
      <c r="AL2241" s="109"/>
      <c r="AM2241" s="109"/>
      <c r="AN2241" s="109"/>
      <c r="AO2241" s="109"/>
      <c r="AP2241" s="109"/>
      <c r="AQ2241" s="109"/>
      <c r="AR2241" s="109"/>
      <c r="AS2241" s="109"/>
    </row>
    <row r="2242" spans="1:45" ht="12.6" customHeight="1" x14ac:dyDescent="0.3">
      <c r="A2242" s="78"/>
      <c r="B2242" s="78"/>
      <c r="C2242" s="78"/>
      <c r="D2242" s="78"/>
      <c r="E2242" s="78"/>
      <c r="F2242" s="78"/>
      <c r="Z2242" s="109"/>
      <c r="AA2242" s="109"/>
      <c r="AB2242" s="109"/>
      <c r="AC2242" s="109"/>
      <c r="AD2242" s="109"/>
      <c r="AE2242" s="109"/>
      <c r="AF2242" s="109"/>
      <c r="AG2242" s="109"/>
      <c r="AH2242" s="109"/>
      <c r="AI2242" s="109"/>
      <c r="AJ2242" s="109"/>
      <c r="AK2242" s="109"/>
      <c r="AL2242" s="109"/>
      <c r="AM2242" s="109"/>
      <c r="AN2242" s="109"/>
      <c r="AO2242" s="109"/>
      <c r="AP2242" s="109"/>
      <c r="AQ2242" s="109"/>
      <c r="AR2242" s="109"/>
      <c r="AS2242" s="109"/>
    </row>
    <row r="2243" spans="1:45" ht="12.6" customHeight="1" x14ac:dyDescent="0.3">
      <c r="A2243" s="58"/>
      <c r="B2243" s="58"/>
      <c r="C2243" s="58"/>
      <c r="D2243" s="58"/>
      <c r="E2243" s="58"/>
      <c r="F2243" s="58"/>
      <c r="Z2243" s="109"/>
      <c r="AA2243" s="109"/>
      <c r="AB2243" s="109"/>
      <c r="AC2243" s="109"/>
      <c r="AD2243" s="109"/>
      <c r="AE2243" s="109"/>
      <c r="AF2243" s="109"/>
      <c r="AG2243" s="109"/>
      <c r="AH2243" s="109"/>
      <c r="AI2243" s="109"/>
      <c r="AJ2243" s="109"/>
      <c r="AK2243" s="109"/>
      <c r="AL2243" s="109"/>
      <c r="AM2243" s="109"/>
      <c r="AN2243" s="109"/>
      <c r="AO2243" s="109"/>
      <c r="AP2243" s="109"/>
      <c r="AQ2243" s="109"/>
      <c r="AR2243" s="109"/>
      <c r="AS2243" s="109"/>
    </row>
    <row r="2244" spans="1:45" ht="12.6" customHeight="1" x14ac:dyDescent="0.3">
      <c r="A2244" s="159" t="s">
        <v>1737</v>
      </c>
      <c r="B2244" s="152"/>
      <c r="C2244" s="55">
        <f>E2244+D2244+F2244</f>
        <v>15227</v>
      </c>
      <c r="D2244" s="11">
        <v>0</v>
      </c>
      <c r="E2244" s="12">
        <v>0</v>
      </c>
      <c r="F2244" s="55">
        <f>ROUNDDOWN(SUMIF(N2212:N2236,M2244,E2212:E2236),0)+ROUNDDOWN(SUMIF(N2212:N2236,M2244,D2212:D2236),0)+ROUNDDOWN(SUMIF(N2212:N2236,M2244,F2212:F2236),0)</f>
        <v>15227</v>
      </c>
      <c r="M2244" s="20" t="s">
        <v>1128</v>
      </c>
      <c r="Z2244" s="109"/>
      <c r="AA2244" s="109"/>
      <c r="AB2244" s="109"/>
      <c r="AC2244" s="109"/>
      <c r="AD2244" s="109"/>
      <c r="AE2244" s="109"/>
      <c r="AF2244" s="109"/>
      <c r="AG2244" s="109"/>
      <c r="AH2244" s="109"/>
      <c r="AI2244" s="109"/>
      <c r="AJ2244" s="109"/>
      <c r="AK2244" s="109"/>
      <c r="AL2244" s="109"/>
      <c r="AM2244" s="109"/>
      <c r="AN2244" s="109"/>
      <c r="AO2244" s="109"/>
      <c r="AP2244" s="109"/>
      <c r="AQ2244" s="109"/>
      <c r="AR2244" s="109"/>
      <c r="AS2244" s="109"/>
    </row>
    <row r="2245" spans="1:45" ht="12.6" customHeight="1" x14ac:dyDescent="0.3">
      <c r="A2245" s="95" t="s">
        <v>297</v>
      </c>
      <c r="B2245" s="96" t="s">
        <v>297</v>
      </c>
      <c r="C2245" s="158">
        <f>C2314</f>
        <v>2275</v>
      </c>
      <c r="D2245" s="158">
        <f>D2314</f>
        <v>1309</v>
      </c>
      <c r="E2245" s="158">
        <f>E2314</f>
        <v>423</v>
      </c>
      <c r="F2245" s="158">
        <f>F2314</f>
        <v>543</v>
      </c>
      <c r="G2245" s="36" t="str">
        <f>HYPERLINK("#G"&amp;ROW(G2283),"_x0005_`BDCOD|D02253_x0007_`POSS|"&amp;ROW(G2247)&amp;"_x0007_`POSE|"&amp;ROW(G2283)&amp;"_x0007_`")</f>
        <v>_x0005_`BDCOD|D02253_x0007_`POSS|2247_x0007_`POSE|2283_x0007_`</v>
      </c>
      <c r="Z2245" s="109"/>
      <c r="AA2245" s="109"/>
      <c r="AB2245" s="109"/>
      <c r="AC2245" s="109"/>
      <c r="AD2245" s="109"/>
      <c r="AE2245" s="109"/>
      <c r="AF2245" s="109"/>
      <c r="AG2245" s="109"/>
      <c r="AH2245" s="109"/>
      <c r="AI2245" s="109"/>
      <c r="AJ2245" s="109"/>
      <c r="AK2245" s="109"/>
      <c r="AL2245" s="109"/>
      <c r="AM2245" s="109"/>
      <c r="AN2245" s="109"/>
      <c r="AO2245" s="109"/>
      <c r="AP2245" s="109"/>
      <c r="AQ2245" s="109"/>
      <c r="AR2245" s="109"/>
      <c r="AS2245" s="109"/>
    </row>
    <row r="2246" spans="1:45" ht="12.6" customHeight="1" x14ac:dyDescent="0.3">
      <c r="A2246" s="84"/>
      <c r="B2246" s="96" t="s">
        <v>237</v>
      </c>
      <c r="C2246" s="141"/>
      <c r="D2246" s="141"/>
      <c r="E2246" s="141"/>
      <c r="F2246" s="141"/>
      <c r="M2246" s="20" t="s">
        <v>296</v>
      </c>
      <c r="Z2246" s="109"/>
      <c r="AA2246" s="109"/>
      <c r="AB2246" s="109"/>
      <c r="AC2246" s="109"/>
      <c r="AD2246" s="109"/>
      <c r="AE2246" s="109"/>
      <c r="AF2246" s="109"/>
      <c r="AG2246" s="109"/>
      <c r="AH2246" s="109"/>
      <c r="AI2246" s="109"/>
      <c r="AJ2246" s="109"/>
      <c r="AK2246" s="109"/>
      <c r="AL2246" s="109"/>
      <c r="AM2246" s="109"/>
      <c r="AN2246" s="109"/>
      <c r="AO2246" s="109"/>
      <c r="AP2246" s="109"/>
      <c r="AQ2246" s="109"/>
      <c r="AR2246" s="109"/>
      <c r="AS2246" s="109"/>
    </row>
    <row r="2247" spans="1:45" ht="12.6" customHeight="1" x14ac:dyDescent="0.3">
      <c r="A2247" s="68"/>
      <c r="B2247" s="77" t="s">
        <v>2086</v>
      </c>
      <c r="C2247" s="98"/>
      <c r="D2247" s="98"/>
      <c r="E2247" s="98"/>
      <c r="F2247" s="98"/>
      <c r="G2247" s="16" t="s">
        <v>295</v>
      </c>
      <c r="Z2247" s="109"/>
      <c r="AA2247" s="109"/>
      <c r="AB2247" s="109"/>
      <c r="AC2247" s="109"/>
      <c r="AD2247" s="109"/>
      <c r="AE2247" s="109"/>
      <c r="AF2247" s="109"/>
      <c r="AG2247" s="109"/>
      <c r="AH2247" s="109"/>
      <c r="AI2247" s="109"/>
      <c r="AJ2247" s="109"/>
      <c r="AK2247" s="109"/>
      <c r="AL2247" s="109"/>
      <c r="AM2247" s="109"/>
      <c r="AN2247" s="109"/>
      <c r="AO2247" s="109"/>
      <c r="AP2247" s="109"/>
      <c r="AQ2247" s="109"/>
      <c r="AR2247" s="109"/>
      <c r="AS2247" s="109"/>
    </row>
    <row r="2248" spans="1:45" ht="12.6" customHeight="1" x14ac:dyDescent="0.3">
      <c r="A2248" s="78"/>
      <c r="B2248" s="78"/>
      <c r="C2248" s="78"/>
      <c r="D2248" s="78"/>
      <c r="E2248" s="78"/>
      <c r="F2248" s="78"/>
      <c r="G2248" s="16" t="s">
        <v>1317</v>
      </c>
      <c r="Z2248" s="109"/>
      <c r="AA2248" s="109"/>
      <c r="AB2248" s="109"/>
      <c r="AC2248" s="109"/>
      <c r="AD2248" s="109"/>
      <c r="AE2248" s="109"/>
      <c r="AF2248" s="109"/>
      <c r="AG2248" s="109"/>
      <c r="AH2248" s="109"/>
      <c r="AI2248" s="109"/>
      <c r="AJ2248" s="109"/>
      <c r="AK2248" s="109"/>
      <c r="AL2248" s="109"/>
      <c r="AM2248" s="109"/>
      <c r="AN2248" s="109"/>
      <c r="AO2248" s="109"/>
      <c r="AP2248" s="109"/>
      <c r="AQ2248" s="109"/>
      <c r="AR2248" s="109"/>
      <c r="AS2248" s="109"/>
    </row>
    <row r="2249" spans="1:45" ht="12.6" customHeight="1" x14ac:dyDescent="0.3">
      <c r="A2249" s="78"/>
      <c r="B2249" s="78"/>
      <c r="C2249" s="78"/>
      <c r="D2249" s="78"/>
      <c r="E2249" s="78"/>
      <c r="F2249" s="78"/>
      <c r="G2249" s="16" t="s">
        <v>1317</v>
      </c>
      <c r="Z2249" s="109"/>
      <c r="AA2249" s="109"/>
      <c r="AB2249" s="109"/>
      <c r="AC2249" s="109"/>
      <c r="AD2249" s="109"/>
      <c r="AE2249" s="109"/>
      <c r="AF2249" s="109"/>
      <c r="AG2249" s="109"/>
      <c r="AH2249" s="109"/>
      <c r="AI2249" s="109"/>
      <c r="AJ2249" s="109"/>
      <c r="AK2249" s="109"/>
      <c r="AL2249" s="109"/>
      <c r="AM2249" s="109"/>
      <c r="AN2249" s="109"/>
      <c r="AO2249" s="109"/>
      <c r="AP2249" s="109"/>
      <c r="AQ2249" s="109"/>
      <c r="AR2249" s="109"/>
      <c r="AS2249" s="109"/>
    </row>
    <row r="2250" spans="1:45" ht="12.6" customHeight="1" x14ac:dyDescent="0.3">
      <c r="A2250" s="68"/>
      <c r="B2250" s="77" t="s">
        <v>2088</v>
      </c>
      <c r="C2250" s="78"/>
      <c r="D2250" s="78"/>
      <c r="E2250" s="78"/>
      <c r="F2250" s="78"/>
      <c r="G2250" s="16" t="s">
        <v>2087</v>
      </c>
      <c r="Z2250" s="109"/>
      <c r="AA2250" s="109"/>
      <c r="AB2250" s="109"/>
      <c r="AC2250" s="109"/>
      <c r="AD2250" s="109"/>
      <c r="AE2250" s="109"/>
      <c r="AF2250" s="109"/>
      <c r="AG2250" s="109"/>
      <c r="AH2250" s="109"/>
      <c r="AI2250" s="109"/>
      <c r="AJ2250" s="109"/>
      <c r="AK2250" s="109"/>
      <c r="AL2250" s="109"/>
      <c r="AM2250" s="109"/>
      <c r="AN2250" s="109"/>
      <c r="AO2250" s="109"/>
      <c r="AP2250" s="109"/>
      <c r="AQ2250" s="109"/>
      <c r="AR2250" s="109"/>
      <c r="AS2250" s="109"/>
    </row>
    <row r="2251" spans="1:45" ht="12.6" customHeight="1" x14ac:dyDescent="0.3">
      <c r="A2251" s="78"/>
      <c r="B2251" s="78"/>
      <c r="C2251" s="78"/>
      <c r="D2251" s="78"/>
      <c r="E2251" s="78"/>
      <c r="F2251" s="78"/>
      <c r="G2251" s="16" t="s">
        <v>1317</v>
      </c>
      <c r="Z2251" s="109"/>
      <c r="AA2251" s="109"/>
      <c r="AB2251" s="109"/>
      <c r="AC2251" s="109"/>
      <c r="AD2251" s="109"/>
      <c r="AE2251" s="109"/>
      <c r="AF2251" s="109"/>
      <c r="AG2251" s="109"/>
      <c r="AH2251" s="109"/>
      <c r="AI2251" s="109"/>
      <c r="AJ2251" s="109"/>
      <c r="AK2251" s="109"/>
      <c r="AL2251" s="109"/>
      <c r="AM2251" s="109"/>
      <c r="AN2251" s="109"/>
      <c r="AO2251" s="109"/>
      <c r="AP2251" s="109"/>
      <c r="AQ2251" s="109"/>
      <c r="AR2251" s="109"/>
      <c r="AS2251" s="109"/>
    </row>
    <row r="2252" spans="1:45" ht="12.6" customHeight="1" x14ac:dyDescent="0.3">
      <c r="A2252" s="68"/>
      <c r="B2252" s="97" t="str">
        <f>"q (버킷용량) = "&amp;Z2252&amp;" , k (버킷계수) = "&amp;AD2252&amp;" , f (체적환산계수) = "&amp;AH2252&amp;""</f>
        <v>q (버킷용량) = 0.7 , k (버킷계수) = 0.9 , f (체적환산계수) = 1</v>
      </c>
      <c r="C2252" s="78"/>
      <c r="D2252" s="78"/>
      <c r="E2252" s="78"/>
      <c r="F2252" s="78"/>
      <c r="G2252" s="16" t="s">
        <v>1755</v>
      </c>
      <c r="Z2252" s="110">
        <v>0.7</v>
      </c>
      <c r="AA2252" s="20" t="s">
        <v>1326</v>
      </c>
      <c r="AB2252" s="112">
        <f>Z2252</f>
        <v>0.7</v>
      </c>
      <c r="AC2252" s="20" t="s">
        <v>1385</v>
      </c>
      <c r="AD2252" s="110">
        <v>0.9</v>
      </c>
      <c r="AE2252" s="20" t="s">
        <v>1326</v>
      </c>
      <c r="AF2252" s="112">
        <f>AD2252</f>
        <v>0.9</v>
      </c>
      <c r="AG2252" s="20" t="s">
        <v>1385</v>
      </c>
      <c r="AH2252" s="111">
        <v>1</v>
      </c>
      <c r="AI2252" s="20" t="s">
        <v>1326</v>
      </c>
      <c r="AJ2252" s="112">
        <f>AH2252</f>
        <v>1</v>
      </c>
      <c r="AK2252" s="20" t="s">
        <v>1385</v>
      </c>
      <c r="AL2252" s="109"/>
      <c r="AM2252" s="109"/>
      <c r="AN2252" s="109"/>
      <c r="AO2252" s="109"/>
      <c r="AP2252" s="109"/>
      <c r="AQ2252" s="109"/>
      <c r="AR2252" s="109"/>
      <c r="AS2252" s="109"/>
    </row>
    <row r="2253" spans="1:45" ht="12.6" customHeight="1" x14ac:dyDescent="0.3">
      <c r="A2253" s="78"/>
      <c r="B2253" s="78"/>
      <c r="C2253" s="78"/>
      <c r="D2253" s="78"/>
      <c r="E2253" s="78"/>
      <c r="F2253" s="78"/>
      <c r="G2253" s="16" t="s">
        <v>1317</v>
      </c>
      <c r="Z2253" s="109"/>
      <c r="AA2253" s="109"/>
      <c r="AB2253" s="109"/>
      <c r="AC2253" s="109"/>
      <c r="AD2253" s="109"/>
      <c r="AE2253" s="109"/>
      <c r="AF2253" s="109"/>
      <c r="AG2253" s="109"/>
      <c r="AH2253" s="109"/>
      <c r="AI2253" s="109"/>
      <c r="AJ2253" s="109"/>
      <c r="AK2253" s="109"/>
      <c r="AL2253" s="109"/>
      <c r="AM2253" s="109"/>
      <c r="AN2253" s="109"/>
      <c r="AO2253" s="109"/>
      <c r="AP2253" s="109"/>
      <c r="AQ2253" s="109"/>
      <c r="AR2253" s="109"/>
      <c r="AS2253" s="109"/>
    </row>
    <row r="2254" spans="1:45" ht="12.6" customHeight="1" x14ac:dyDescent="0.3">
      <c r="A2254" s="68"/>
      <c r="B2254" s="97" t="str">
        <f>"E (작업효율) = "&amp;Z2254&amp;" , Cm (1회사이클시간(초)) = "&amp;AD2254&amp;"  sec(135) "</f>
        <v xml:space="preserve">E (작업효율) = 0.75 , Cm (1회사이클시간(초)) = 20  sec(135) </v>
      </c>
      <c r="C2254" s="78"/>
      <c r="D2254" s="78"/>
      <c r="E2254" s="78"/>
      <c r="F2254" s="78"/>
      <c r="G2254" s="16" t="s">
        <v>2089</v>
      </c>
      <c r="Z2254" s="110">
        <v>0.75</v>
      </c>
      <c r="AA2254" s="20" t="s">
        <v>1326</v>
      </c>
      <c r="AB2254" s="112">
        <f>Z2254</f>
        <v>0.75</v>
      </c>
      <c r="AC2254" s="20" t="s">
        <v>1385</v>
      </c>
      <c r="AD2254" s="111">
        <v>20</v>
      </c>
      <c r="AE2254" s="20" t="s">
        <v>1326</v>
      </c>
      <c r="AF2254" s="112">
        <f>AD2254</f>
        <v>20</v>
      </c>
      <c r="AG2254" s="20" t="s">
        <v>1385</v>
      </c>
      <c r="AH2254" s="109"/>
      <c r="AI2254" s="109"/>
      <c r="AJ2254" s="109"/>
      <c r="AK2254" s="109"/>
      <c r="AL2254" s="109"/>
      <c r="AM2254" s="109"/>
      <c r="AN2254" s="109"/>
      <c r="AO2254" s="109"/>
      <c r="AP2254" s="109"/>
      <c r="AQ2254" s="109"/>
      <c r="AR2254" s="109"/>
      <c r="AS2254" s="109"/>
    </row>
    <row r="2255" spans="1:45" ht="12.6" customHeight="1" x14ac:dyDescent="0.3">
      <c r="A2255" s="78"/>
      <c r="B2255" s="78"/>
      <c r="C2255" s="78"/>
      <c r="D2255" s="78"/>
      <c r="E2255" s="78"/>
      <c r="F2255" s="78"/>
      <c r="G2255" s="16" t="s">
        <v>1317</v>
      </c>
      <c r="Z2255" s="109"/>
      <c r="AA2255" s="109"/>
      <c r="AB2255" s="109"/>
      <c r="AC2255" s="109"/>
      <c r="AD2255" s="109"/>
      <c r="AE2255" s="109"/>
      <c r="AF2255" s="109"/>
      <c r="AG2255" s="109"/>
      <c r="AH2255" s="109"/>
      <c r="AI2255" s="109"/>
      <c r="AJ2255" s="109"/>
      <c r="AK2255" s="109"/>
      <c r="AL2255" s="109"/>
      <c r="AM2255" s="109"/>
      <c r="AN2255" s="109"/>
      <c r="AO2255" s="109"/>
      <c r="AP2255" s="109"/>
      <c r="AQ2255" s="109"/>
      <c r="AR2255" s="109"/>
      <c r="AS2255" s="109"/>
    </row>
    <row r="2256" spans="1:45" ht="12.6" customHeight="1" x14ac:dyDescent="0.3">
      <c r="A2256" s="68"/>
      <c r="B2256" s="97" t="str">
        <f>"Q (시간당 작업량)  = "&amp;Z2256&amp;"*q*k*E*f/Cm = "&amp;AL2256&amp;" m3/hr "</f>
        <v xml:space="preserve">Q (시간당 작업량)  = 3600*q*k*E*f/Cm = 85.05 m3/hr </v>
      </c>
      <c r="C2256" s="78"/>
      <c r="D2256" s="78"/>
      <c r="E2256" s="78"/>
      <c r="F2256" s="78"/>
      <c r="G2256" s="16" t="s">
        <v>1757</v>
      </c>
      <c r="Z2256" s="111">
        <v>3600</v>
      </c>
      <c r="AA2256" s="20" t="s">
        <v>1390</v>
      </c>
      <c r="AB2256" s="112">
        <f>AB2252</f>
        <v>0.7</v>
      </c>
      <c r="AC2256" s="20" t="s">
        <v>1390</v>
      </c>
      <c r="AD2256" s="112">
        <f>AF2252</f>
        <v>0.9</v>
      </c>
      <c r="AE2256" s="20" t="s">
        <v>1390</v>
      </c>
      <c r="AF2256" s="112">
        <f>AB2254</f>
        <v>0.75</v>
      </c>
      <c r="AG2256" s="20" t="s">
        <v>1390</v>
      </c>
      <c r="AH2256" s="112">
        <f>AJ2252</f>
        <v>1</v>
      </c>
      <c r="AI2256" s="20" t="s">
        <v>1387</v>
      </c>
      <c r="AJ2256" s="112">
        <f>AF2254</f>
        <v>20</v>
      </c>
      <c r="AK2256" s="20" t="s">
        <v>1326</v>
      </c>
      <c r="AL2256" s="112" t="str">
        <f>TEXT(ROUND(Z2256*AB2252*AF2252*AB2254*AJ2252/AF2254,2),"0.00")</f>
        <v>85.05</v>
      </c>
      <c r="AM2256" s="109"/>
      <c r="AN2256" s="109"/>
      <c r="AO2256" s="109"/>
      <c r="AP2256" s="109"/>
      <c r="AQ2256" s="109"/>
      <c r="AR2256" s="109"/>
      <c r="AS2256" s="109"/>
    </row>
    <row r="2257" spans="1:45" ht="12.6" customHeight="1" x14ac:dyDescent="0.3">
      <c r="A2257" s="78"/>
      <c r="B2257" s="78"/>
      <c r="C2257" s="78"/>
      <c r="D2257" s="78"/>
      <c r="E2257" s="78"/>
      <c r="F2257" s="78"/>
      <c r="G2257" s="16" t="s">
        <v>1317</v>
      </c>
      <c r="Z2257" s="109"/>
      <c r="AA2257" s="109"/>
      <c r="AB2257" s="109"/>
      <c r="AC2257" s="109"/>
      <c r="AD2257" s="109"/>
      <c r="AE2257" s="109"/>
      <c r="AF2257" s="109"/>
      <c r="AG2257" s="109"/>
      <c r="AH2257" s="109"/>
      <c r="AI2257" s="109"/>
      <c r="AJ2257" s="109"/>
      <c r="AK2257" s="109"/>
      <c r="AL2257" s="109"/>
      <c r="AM2257" s="109"/>
      <c r="AN2257" s="109"/>
      <c r="AO2257" s="109"/>
      <c r="AP2257" s="109"/>
      <c r="AQ2257" s="109"/>
      <c r="AR2257" s="109"/>
      <c r="AS2257" s="109"/>
    </row>
    <row r="2258" spans="1:45" ht="12.6" customHeight="1" x14ac:dyDescent="0.3">
      <c r="A2258" s="68" t="s">
        <v>1473</v>
      </c>
      <c r="B2258" s="97" t="str">
        <f>" 노 무 비  :   "&amp;TEXT(I2258,"#,##0"&amp;IF(I2258&lt;&gt;INT(I2258),".###",""))&amp;" / Q  = "&amp;TEXT(C2258,"#,##0.0")&amp;""</f>
        <v xml:space="preserve"> 노 무 비  :   55,700 / Q  = 654.9</v>
      </c>
      <c r="C2258" s="99">
        <f>E2258+D2258+F2258</f>
        <v>654.9</v>
      </c>
      <c r="D2258" s="99">
        <f>IF(H2258=0,0,ROUNDDOWN(J2258*H2258,1))</f>
        <v>654.9</v>
      </c>
      <c r="E2258" s="99">
        <f>IF(H2258=0,0,ROUNDDOWN(K2258*H2258,1))</f>
        <v>0</v>
      </c>
      <c r="F2258" s="99">
        <f>IF(H2258=0,0,ROUNDDOWN(L2258*H2258,1))</f>
        <v>0</v>
      </c>
      <c r="G2258" s="16" t="s">
        <v>1758</v>
      </c>
      <c r="H2258" s="105">
        <f>AC2258</f>
        <v>1.1757789535567314E-2</v>
      </c>
      <c r="I2258" s="106">
        <f>K2258+J2258+L2258</f>
        <v>55700</v>
      </c>
      <c r="J2258" s="39">
        <f>중기목록표!F7</f>
        <v>55700</v>
      </c>
      <c r="M2258" s="20" t="s">
        <v>1193</v>
      </c>
      <c r="N2258" s="20" t="s">
        <v>1332</v>
      </c>
      <c r="X2258" s="108" t="str">
        <f>중기목록표!B7&amp;" / "&amp;중기목록표!C7</f>
        <v xml:space="preserve">굴삭기(0.7m3) / </v>
      </c>
      <c r="Y2258" s="19" t="str">
        <f ca="1">HYPERLINK("#"&amp;중기목록표!J2&amp;"!A"&amp;ROW(중기목록표!A7),"중기    4 →")</f>
        <v>중기    4 →</v>
      </c>
      <c r="Z2258" s="20" t="s">
        <v>1393</v>
      </c>
      <c r="AA2258" s="112" t="str">
        <f>AL2256</f>
        <v>85.05</v>
      </c>
      <c r="AB2258" s="20" t="s">
        <v>1326</v>
      </c>
      <c r="AC2258" s="113">
        <f>1/AL2256</f>
        <v>1.1757789535567314E-2</v>
      </c>
      <c r="AD2258" s="109"/>
      <c r="AE2258" s="109"/>
      <c r="AF2258" s="109"/>
      <c r="AG2258" s="109"/>
      <c r="AH2258" s="109"/>
      <c r="AI2258" s="109"/>
      <c r="AJ2258" s="109"/>
      <c r="AK2258" s="109"/>
      <c r="AL2258" s="109"/>
      <c r="AM2258" s="109"/>
      <c r="AN2258" s="109"/>
      <c r="AO2258" s="109"/>
      <c r="AP2258" s="109"/>
      <c r="AQ2258" s="109"/>
      <c r="AR2258" s="109"/>
      <c r="AS2258" s="109"/>
    </row>
    <row r="2259" spans="1:45" ht="12.6" customHeight="1" x14ac:dyDescent="0.3">
      <c r="A2259" s="78"/>
      <c r="B2259" s="78"/>
      <c r="C2259" s="78"/>
      <c r="D2259" s="78"/>
      <c r="E2259" s="78"/>
      <c r="F2259" s="78"/>
      <c r="G2259" s="16" t="s">
        <v>1317</v>
      </c>
      <c r="Z2259" s="109"/>
      <c r="AA2259" s="109"/>
      <c r="AB2259" s="109"/>
      <c r="AC2259" s="109"/>
      <c r="AD2259" s="109"/>
      <c r="AE2259" s="109"/>
      <c r="AF2259" s="109"/>
      <c r="AG2259" s="109"/>
      <c r="AH2259" s="109"/>
      <c r="AI2259" s="109"/>
      <c r="AJ2259" s="109"/>
      <c r="AK2259" s="109"/>
      <c r="AL2259" s="109"/>
      <c r="AM2259" s="109"/>
      <c r="AN2259" s="109"/>
      <c r="AO2259" s="109"/>
      <c r="AP2259" s="109"/>
      <c r="AQ2259" s="109"/>
      <c r="AR2259" s="109"/>
      <c r="AS2259" s="109"/>
    </row>
    <row r="2260" spans="1:45" ht="12.6" customHeight="1" x14ac:dyDescent="0.3">
      <c r="A2260" s="68" t="s">
        <v>1475</v>
      </c>
      <c r="B2260" s="97" t="str">
        <f>" 재 료 비  :   "&amp;TEXT(I2260,"#,##0"&amp;IF(I2260&lt;&gt;INT(I2260),".###",""))&amp;" / Q  = "&amp;TEXT(C2260,"#,##0.0")&amp;""</f>
        <v xml:space="preserve"> 재 료 비  :   18,001 / Q  = 211.6</v>
      </c>
      <c r="C2260" s="99">
        <f>E2260+D2260+F2260</f>
        <v>211.6</v>
      </c>
      <c r="D2260" s="99">
        <f>IF(H2260=0,0,ROUNDDOWN(J2260*H2260,1))</f>
        <v>0</v>
      </c>
      <c r="E2260" s="99">
        <f>IF(H2260=0,0,ROUNDDOWN(K2260*H2260,1))</f>
        <v>211.6</v>
      </c>
      <c r="F2260" s="99">
        <f>IF(H2260=0,0,ROUNDDOWN(L2260*H2260,1))</f>
        <v>0</v>
      </c>
      <c r="G2260" s="16" t="s">
        <v>1759</v>
      </c>
      <c r="H2260" s="105">
        <f>AC2260</f>
        <v>1.1757789535567314E-2</v>
      </c>
      <c r="I2260" s="106">
        <f>K2260+J2260+L2260</f>
        <v>18001</v>
      </c>
      <c r="K2260" s="39">
        <f>중기목록표!G7</f>
        <v>18001</v>
      </c>
      <c r="M2260" s="20" t="s">
        <v>1193</v>
      </c>
      <c r="N2260" s="20" t="s">
        <v>1332</v>
      </c>
      <c r="X2260" s="108" t="str">
        <f>중기목록표!B7&amp;" / "&amp;중기목록표!C7</f>
        <v xml:space="preserve">굴삭기(0.7m3) / </v>
      </c>
      <c r="Y2260" s="19" t="str">
        <f ca="1">HYPERLINK("#"&amp;중기목록표!J2&amp;"!A"&amp;ROW(중기목록표!A7),"중기    4 →")</f>
        <v>중기    4 →</v>
      </c>
      <c r="Z2260" s="20" t="s">
        <v>1393</v>
      </c>
      <c r="AA2260" s="112" t="str">
        <f>AL2256</f>
        <v>85.05</v>
      </c>
      <c r="AB2260" s="20" t="s">
        <v>1326</v>
      </c>
      <c r="AC2260" s="113">
        <f>1/AL2256</f>
        <v>1.1757789535567314E-2</v>
      </c>
      <c r="AD2260" s="109"/>
      <c r="AE2260" s="109"/>
      <c r="AF2260" s="109"/>
      <c r="AG2260" s="109"/>
      <c r="AH2260" s="109"/>
      <c r="AI2260" s="109"/>
      <c r="AJ2260" s="109"/>
      <c r="AK2260" s="109"/>
      <c r="AL2260" s="109"/>
      <c r="AM2260" s="109"/>
      <c r="AN2260" s="109"/>
      <c r="AO2260" s="109"/>
      <c r="AP2260" s="109"/>
      <c r="AQ2260" s="109"/>
      <c r="AR2260" s="109"/>
      <c r="AS2260" s="109"/>
    </row>
    <row r="2261" spans="1:45" ht="12.6" customHeight="1" x14ac:dyDescent="0.3">
      <c r="A2261" s="78"/>
      <c r="B2261" s="78"/>
      <c r="C2261" s="78"/>
      <c r="D2261" s="78"/>
      <c r="E2261" s="78"/>
      <c r="F2261" s="78"/>
      <c r="G2261" s="16" t="s">
        <v>1317</v>
      </c>
      <c r="Z2261" s="109"/>
      <c r="AA2261" s="109"/>
      <c r="AB2261" s="109"/>
      <c r="AC2261" s="109"/>
      <c r="AD2261" s="109"/>
      <c r="AE2261" s="109"/>
      <c r="AF2261" s="109"/>
      <c r="AG2261" s="109"/>
      <c r="AH2261" s="109"/>
      <c r="AI2261" s="109"/>
      <c r="AJ2261" s="109"/>
      <c r="AK2261" s="109"/>
      <c r="AL2261" s="109"/>
      <c r="AM2261" s="109"/>
      <c r="AN2261" s="109"/>
      <c r="AO2261" s="109"/>
      <c r="AP2261" s="109"/>
      <c r="AQ2261" s="109"/>
      <c r="AR2261" s="109"/>
      <c r="AS2261" s="109"/>
    </row>
    <row r="2262" spans="1:45" ht="12.6" customHeight="1" x14ac:dyDescent="0.3">
      <c r="A2262" s="68" t="s">
        <v>1477</v>
      </c>
      <c r="B2262" s="97" t="str">
        <f>" 경    비  :   "&amp;TEXT(I2262,"#,##0"&amp;IF(I2262&lt;&gt;INT(I2262),".###",""))&amp;" / Q  = "&amp;TEXT(C2262,"#,##0.0")&amp;""</f>
        <v xml:space="preserve"> 경    비  :   23,128 / Q  = 271.9</v>
      </c>
      <c r="C2262" s="99">
        <f>E2262+D2262+F2262</f>
        <v>271.89999999999998</v>
      </c>
      <c r="D2262" s="99">
        <f>IF(H2262=0,0,ROUNDDOWN(J2262*H2262,1))</f>
        <v>0</v>
      </c>
      <c r="E2262" s="99">
        <f>IF(H2262=0,0,ROUNDDOWN(K2262*H2262,1))</f>
        <v>0</v>
      </c>
      <c r="F2262" s="99">
        <f>IF(H2262=0,0,ROUNDDOWN(L2262*H2262,1))</f>
        <v>271.89999999999998</v>
      </c>
      <c r="G2262" s="16" t="s">
        <v>1760</v>
      </c>
      <c r="H2262" s="105">
        <f>AC2262</f>
        <v>1.1757789535567314E-2</v>
      </c>
      <c r="I2262" s="106">
        <f>K2262+J2262+L2262</f>
        <v>23128</v>
      </c>
      <c r="L2262" s="39">
        <f>중기목록표!H7</f>
        <v>23128</v>
      </c>
      <c r="M2262" s="20" t="s">
        <v>1193</v>
      </c>
      <c r="N2262" s="20" t="s">
        <v>1332</v>
      </c>
      <c r="X2262" s="108" t="str">
        <f>중기목록표!B7&amp;" / "&amp;중기목록표!C7</f>
        <v xml:space="preserve">굴삭기(0.7m3) / </v>
      </c>
      <c r="Y2262" s="19" t="str">
        <f ca="1">HYPERLINK("#"&amp;중기목록표!J2&amp;"!A"&amp;ROW(중기목록표!A7),"중기    4 →")</f>
        <v>중기    4 →</v>
      </c>
      <c r="Z2262" s="20" t="s">
        <v>1393</v>
      </c>
      <c r="AA2262" s="112" t="str">
        <f>AL2256</f>
        <v>85.05</v>
      </c>
      <c r="AB2262" s="20" t="s">
        <v>1326</v>
      </c>
      <c r="AC2262" s="113">
        <f>1/AL2256</f>
        <v>1.1757789535567314E-2</v>
      </c>
      <c r="AD2262" s="109"/>
      <c r="AE2262" s="109"/>
      <c r="AF2262" s="109"/>
      <c r="AG2262" s="109"/>
      <c r="AH2262" s="109"/>
      <c r="AI2262" s="109"/>
      <c r="AJ2262" s="109"/>
      <c r="AK2262" s="109"/>
      <c r="AL2262" s="109"/>
      <c r="AM2262" s="109"/>
      <c r="AN2262" s="109"/>
      <c r="AO2262" s="109"/>
      <c r="AP2262" s="109"/>
      <c r="AQ2262" s="109"/>
      <c r="AR2262" s="109"/>
      <c r="AS2262" s="109"/>
    </row>
    <row r="2263" spans="1:45" ht="12.6" customHeight="1" x14ac:dyDescent="0.3">
      <c r="A2263" s="78"/>
      <c r="B2263" s="78"/>
      <c r="C2263" s="78"/>
      <c r="D2263" s="78"/>
      <c r="E2263" s="78"/>
      <c r="F2263" s="78"/>
      <c r="G2263" s="16" t="s">
        <v>1317</v>
      </c>
      <c r="Z2263" s="109"/>
      <c r="AA2263" s="109"/>
      <c r="AB2263" s="109"/>
      <c r="AC2263" s="109"/>
      <c r="AD2263" s="109"/>
      <c r="AE2263" s="109"/>
      <c r="AF2263" s="109"/>
      <c r="AG2263" s="109"/>
      <c r="AH2263" s="109"/>
      <c r="AI2263" s="109"/>
      <c r="AJ2263" s="109"/>
      <c r="AK2263" s="109"/>
      <c r="AL2263" s="109"/>
      <c r="AM2263" s="109"/>
      <c r="AN2263" s="109"/>
      <c r="AO2263" s="109"/>
      <c r="AP2263" s="109"/>
      <c r="AQ2263" s="109"/>
      <c r="AR2263" s="109"/>
      <c r="AS2263" s="109"/>
    </row>
    <row r="2264" spans="1:45" ht="12.6" customHeight="1" x14ac:dyDescent="0.3">
      <c r="A2264" s="68"/>
      <c r="B2264" s="77" t="s">
        <v>1331</v>
      </c>
      <c r="C2264" s="100">
        <f>E2264+D2264+F2264</f>
        <v>1138.4000000000001</v>
      </c>
      <c r="D2264" s="100">
        <f>SUMIF(N2247:N2263,M2264,D2247:D2263)</f>
        <v>654.9</v>
      </c>
      <c r="E2264" s="100">
        <f>SUMIF(N2247:N2263,M2264,E2247:E2263)</f>
        <v>211.6</v>
      </c>
      <c r="F2264" s="100">
        <f>SUMIF(N2247:N2263,M2264,F2247:F2263)</f>
        <v>271.89999999999998</v>
      </c>
      <c r="G2264" s="16" t="s">
        <v>1415</v>
      </c>
      <c r="M2264" s="20" t="s">
        <v>1332</v>
      </c>
      <c r="N2264" s="20" t="s">
        <v>1341</v>
      </c>
      <c r="Z2264" s="109"/>
      <c r="AA2264" s="109"/>
      <c r="AB2264" s="109"/>
      <c r="AC2264" s="109"/>
      <c r="AD2264" s="109"/>
      <c r="AE2264" s="109"/>
      <c r="AF2264" s="109"/>
      <c r="AG2264" s="109"/>
      <c r="AH2264" s="109"/>
      <c r="AI2264" s="109"/>
      <c r="AJ2264" s="109"/>
      <c r="AK2264" s="109"/>
      <c r="AL2264" s="109"/>
      <c r="AM2264" s="109"/>
      <c r="AN2264" s="109"/>
      <c r="AO2264" s="109"/>
      <c r="AP2264" s="109"/>
      <c r="AQ2264" s="109"/>
      <c r="AR2264" s="109"/>
      <c r="AS2264" s="109"/>
    </row>
    <row r="2265" spans="1:45" ht="12.6" customHeight="1" x14ac:dyDescent="0.3">
      <c r="A2265" s="78"/>
      <c r="B2265" s="78"/>
      <c r="C2265" s="98"/>
      <c r="D2265" s="98"/>
      <c r="E2265" s="98"/>
      <c r="F2265" s="98"/>
      <c r="G2265" s="16" t="s">
        <v>1317</v>
      </c>
      <c r="Z2265" s="109"/>
      <c r="AA2265" s="109"/>
      <c r="AB2265" s="109"/>
      <c r="AC2265" s="109"/>
      <c r="AD2265" s="109"/>
      <c r="AE2265" s="109"/>
      <c r="AF2265" s="109"/>
      <c r="AG2265" s="109"/>
      <c r="AH2265" s="109"/>
      <c r="AI2265" s="109"/>
      <c r="AJ2265" s="109"/>
      <c r="AK2265" s="109"/>
      <c r="AL2265" s="109"/>
      <c r="AM2265" s="109"/>
      <c r="AN2265" s="109"/>
      <c r="AO2265" s="109"/>
      <c r="AP2265" s="109"/>
      <c r="AQ2265" s="109"/>
      <c r="AR2265" s="109"/>
      <c r="AS2265" s="109"/>
    </row>
    <row r="2266" spans="1:45" ht="12.6" customHeight="1" x14ac:dyDescent="0.3">
      <c r="A2266" s="78"/>
      <c r="B2266" s="78"/>
      <c r="C2266" s="78"/>
      <c r="D2266" s="78"/>
      <c r="E2266" s="78"/>
      <c r="F2266" s="78"/>
      <c r="G2266" s="16" t="s">
        <v>1317</v>
      </c>
      <c r="Z2266" s="109"/>
      <c r="AA2266" s="109"/>
      <c r="AB2266" s="109"/>
      <c r="AC2266" s="109"/>
      <c r="AD2266" s="109"/>
      <c r="AE2266" s="109"/>
      <c r="AF2266" s="109"/>
      <c r="AG2266" s="109"/>
      <c r="AH2266" s="109"/>
      <c r="AI2266" s="109"/>
      <c r="AJ2266" s="109"/>
      <c r="AK2266" s="109"/>
      <c r="AL2266" s="109"/>
      <c r="AM2266" s="109"/>
      <c r="AN2266" s="109"/>
      <c r="AO2266" s="109"/>
      <c r="AP2266" s="109"/>
      <c r="AQ2266" s="109"/>
      <c r="AR2266" s="109"/>
      <c r="AS2266" s="109"/>
    </row>
    <row r="2267" spans="1:45" ht="12.6" customHeight="1" x14ac:dyDescent="0.3">
      <c r="A2267" s="68"/>
      <c r="B2267" s="77" t="s">
        <v>2091</v>
      </c>
      <c r="C2267" s="78"/>
      <c r="D2267" s="78"/>
      <c r="E2267" s="78"/>
      <c r="F2267" s="78"/>
      <c r="G2267" s="16" t="s">
        <v>2090</v>
      </c>
      <c r="Z2267" s="109"/>
      <c r="AA2267" s="109"/>
      <c r="AB2267" s="109"/>
      <c r="AC2267" s="109"/>
      <c r="AD2267" s="109"/>
      <c r="AE2267" s="109"/>
      <c r="AF2267" s="109"/>
      <c r="AG2267" s="109"/>
      <c r="AH2267" s="109"/>
      <c r="AI2267" s="109"/>
      <c r="AJ2267" s="109"/>
      <c r="AK2267" s="109"/>
      <c r="AL2267" s="109"/>
      <c r="AM2267" s="109"/>
      <c r="AN2267" s="109"/>
      <c r="AO2267" s="109"/>
      <c r="AP2267" s="109"/>
      <c r="AQ2267" s="109"/>
      <c r="AR2267" s="109"/>
      <c r="AS2267" s="109"/>
    </row>
    <row r="2268" spans="1:45" ht="12.6" customHeight="1" x14ac:dyDescent="0.3">
      <c r="A2268" s="78"/>
      <c r="B2268" s="78"/>
      <c r="C2268" s="78"/>
      <c r="D2268" s="78"/>
      <c r="E2268" s="78"/>
      <c r="F2268" s="78"/>
      <c r="G2268" s="16" t="s">
        <v>1317</v>
      </c>
      <c r="Z2268" s="109"/>
      <c r="AA2268" s="109"/>
      <c r="AB2268" s="109"/>
      <c r="AC2268" s="109"/>
      <c r="AD2268" s="109"/>
      <c r="AE2268" s="109"/>
      <c r="AF2268" s="109"/>
      <c r="AG2268" s="109"/>
      <c r="AH2268" s="109"/>
      <c r="AI2268" s="109"/>
      <c r="AJ2268" s="109"/>
      <c r="AK2268" s="109"/>
      <c r="AL2268" s="109"/>
      <c r="AM2268" s="109"/>
      <c r="AN2268" s="109"/>
      <c r="AO2268" s="109"/>
      <c r="AP2268" s="109"/>
      <c r="AQ2268" s="109"/>
      <c r="AR2268" s="109"/>
      <c r="AS2268" s="109"/>
    </row>
    <row r="2269" spans="1:45" ht="12.6" customHeight="1" x14ac:dyDescent="0.3">
      <c r="A2269" s="68"/>
      <c r="B2269" s="97" t="str">
        <f>"q = "&amp;Z2269&amp;" , k = "&amp;AD2269&amp;" , f ="&amp;AH2269&amp;""</f>
        <v>q = 0.7 , k = 0.9 , f =1</v>
      </c>
      <c r="C2269" s="78"/>
      <c r="D2269" s="78"/>
      <c r="E2269" s="78"/>
      <c r="F2269" s="78"/>
      <c r="G2269" s="16" t="s">
        <v>2092</v>
      </c>
      <c r="Z2269" s="110">
        <v>0.7</v>
      </c>
      <c r="AA2269" s="20" t="s">
        <v>1326</v>
      </c>
      <c r="AB2269" s="112">
        <f>Z2269</f>
        <v>0.7</v>
      </c>
      <c r="AC2269" s="20" t="s">
        <v>1385</v>
      </c>
      <c r="AD2269" s="110">
        <v>0.9</v>
      </c>
      <c r="AE2269" s="20" t="s">
        <v>1326</v>
      </c>
      <c r="AF2269" s="112">
        <f>AD2269</f>
        <v>0.9</v>
      </c>
      <c r="AG2269" s="20" t="s">
        <v>1385</v>
      </c>
      <c r="AH2269" s="111">
        <v>1</v>
      </c>
      <c r="AI2269" s="20" t="s">
        <v>1326</v>
      </c>
      <c r="AJ2269" s="112">
        <f>AH2269</f>
        <v>1</v>
      </c>
      <c r="AK2269" s="20" t="s">
        <v>1385</v>
      </c>
      <c r="AL2269" s="109"/>
      <c r="AM2269" s="109"/>
      <c r="AN2269" s="109"/>
      <c r="AO2269" s="109"/>
      <c r="AP2269" s="109"/>
      <c r="AQ2269" s="109"/>
      <c r="AR2269" s="109"/>
      <c r="AS2269" s="109"/>
    </row>
    <row r="2270" spans="1:45" ht="12.6" customHeight="1" x14ac:dyDescent="0.3">
      <c r="A2270" s="78"/>
      <c r="B2270" s="78"/>
      <c r="C2270" s="78"/>
      <c r="D2270" s="78"/>
      <c r="E2270" s="78"/>
      <c r="F2270" s="78"/>
      <c r="G2270" s="16" t="s">
        <v>1317</v>
      </c>
      <c r="Z2270" s="109"/>
      <c r="AA2270" s="109"/>
      <c r="AB2270" s="109"/>
      <c r="AC2270" s="109"/>
      <c r="AD2270" s="109"/>
      <c r="AE2270" s="109"/>
      <c r="AF2270" s="109"/>
      <c r="AG2270" s="109"/>
      <c r="AH2270" s="109"/>
      <c r="AI2270" s="109"/>
      <c r="AJ2270" s="109"/>
      <c r="AK2270" s="109"/>
      <c r="AL2270" s="109"/>
      <c r="AM2270" s="109"/>
      <c r="AN2270" s="109"/>
      <c r="AO2270" s="109"/>
      <c r="AP2270" s="109"/>
      <c r="AQ2270" s="109"/>
      <c r="AR2270" s="109"/>
      <c r="AS2270" s="109"/>
    </row>
    <row r="2271" spans="1:45" ht="12.6" customHeight="1" x14ac:dyDescent="0.3">
      <c r="A2271" s="68"/>
      <c r="B2271" s="97" t="str">
        <f>"E = "&amp;Z2271&amp;" , Cm = "&amp;AD2271&amp;"  sec(135) "</f>
        <v xml:space="preserve">E = 0.75 , Cm = 20  sec(135) </v>
      </c>
      <c r="C2271" s="78"/>
      <c r="D2271" s="78"/>
      <c r="E2271" s="78"/>
      <c r="F2271" s="78"/>
      <c r="G2271" s="16" t="s">
        <v>2093</v>
      </c>
      <c r="Z2271" s="110">
        <v>0.75</v>
      </c>
      <c r="AA2271" s="20" t="s">
        <v>1326</v>
      </c>
      <c r="AB2271" s="112">
        <f>Z2271</f>
        <v>0.75</v>
      </c>
      <c r="AC2271" s="20" t="s">
        <v>1385</v>
      </c>
      <c r="AD2271" s="111">
        <v>20</v>
      </c>
      <c r="AE2271" s="20" t="s">
        <v>1326</v>
      </c>
      <c r="AF2271" s="112">
        <f>AD2271</f>
        <v>20</v>
      </c>
      <c r="AG2271" s="20" t="s">
        <v>1385</v>
      </c>
      <c r="AH2271" s="109"/>
      <c r="AI2271" s="109"/>
      <c r="AJ2271" s="109"/>
      <c r="AK2271" s="109"/>
      <c r="AL2271" s="109"/>
      <c r="AM2271" s="109"/>
      <c r="AN2271" s="109"/>
      <c r="AO2271" s="109"/>
      <c r="AP2271" s="109"/>
      <c r="AQ2271" s="109"/>
      <c r="AR2271" s="109"/>
      <c r="AS2271" s="109"/>
    </row>
    <row r="2272" spans="1:45" ht="12.6" customHeight="1" x14ac:dyDescent="0.3">
      <c r="A2272" s="78"/>
      <c r="B2272" s="78"/>
      <c r="C2272" s="78"/>
      <c r="D2272" s="78"/>
      <c r="E2272" s="78"/>
      <c r="F2272" s="78"/>
      <c r="G2272" s="16" t="s">
        <v>1317</v>
      </c>
      <c r="Z2272" s="109"/>
      <c r="AA2272" s="109"/>
      <c r="AB2272" s="109"/>
      <c r="AC2272" s="109"/>
      <c r="AD2272" s="109"/>
      <c r="AE2272" s="109"/>
      <c r="AF2272" s="109"/>
      <c r="AG2272" s="109"/>
      <c r="AH2272" s="109"/>
      <c r="AI2272" s="109"/>
      <c r="AJ2272" s="109"/>
      <c r="AK2272" s="109"/>
      <c r="AL2272" s="109"/>
      <c r="AM2272" s="109"/>
      <c r="AN2272" s="109"/>
      <c r="AO2272" s="109"/>
      <c r="AP2272" s="109"/>
      <c r="AQ2272" s="109"/>
      <c r="AR2272" s="109"/>
      <c r="AS2272" s="109"/>
    </row>
    <row r="2273" spans="1:45" ht="12.6" customHeight="1" x14ac:dyDescent="0.3">
      <c r="A2273" s="68"/>
      <c r="B2273" s="97" t="str">
        <f>"Q = "&amp;Z2273&amp;"*q*k*E*f/Cm = "&amp;AL2273&amp;" m3/hr "</f>
        <v xml:space="preserve">Q = 3600*q*k*E*f/Cm = 85.05 m3/hr </v>
      </c>
      <c r="C2273" s="78"/>
      <c r="D2273" s="78"/>
      <c r="E2273" s="78"/>
      <c r="F2273" s="78"/>
      <c r="G2273" s="16" t="s">
        <v>2094</v>
      </c>
      <c r="Z2273" s="111">
        <v>3600</v>
      </c>
      <c r="AA2273" s="20" t="s">
        <v>1390</v>
      </c>
      <c r="AB2273" s="112">
        <f>AB2269</f>
        <v>0.7</v>
      </c>
      <c r="AC2273" s="20" t="s">
        <v>1390</v>
      </c>
      <c r="AD2273" s="112">
        <f>AF2269</f>
        <v>0.9</v>
      </c>
      <c r="AE2273" s="20" t="s">
        <v>1390</v>
      </c>
      <c r="AF2273" s="112">
        <f>AB2271</f>
        <v>0.75</v>
      </c>
      <c r="AG2273" s="20" t="s">
        <v>1390</v>
      </c>
      <c r="AH2273" s="112">
        <f>AJ2269</f>
        <v>1</v>
      </c>
      <c r="AI2273" s="20" t="s">
        <v>1387</v>
      </c>
      <c r="AJ2273" s="112">
        <f>AF2271</f>
        <v>20</v>
      </c>
      <c r="AK2273" s="20" t="s">
        <v>1326</v>
      </c>
      <c r="AL2273" s="112" t="str">
        <f>TEXT(ROUND(Z2273*AB2269*AF2269*AB2271*AJ2269/AF2271,2),"0.00")</f>
        <v>85.05</v>
      </c>
      <c r="AM2273" s="109"/>
      <c r="AN2273" s="109"/>
      <c r="AO2273" s="109"/>
      <c r="AP2273" s="109"/>
      <c r="AQ2273" s="109"/>
      <c r="AR2273" s="109"/>
      <c r="AS2273" s="109"/>
    </row>
    <row r="2274" spans="1:45" ht="12.6" customHeight="1" x14ac:dyDescent="0.3">
      <c r="A2274" s="78"/>
      <c r="B2274" s="78"/>
      <c r="C2274" s="78"/>
      <c r="D2274" s="78"/>
      <c r="E2274" s="78"/>
      <c r="F2274" s="78"/>
      <c r="G2274" s="16" t="s">
        <v>1317</v>
      </c>
      <c r="Z2274" s="109"/>
      <c r="AA2274" s="109"/>
      <c r="AB2274" s="109"/>
      <c r="AC2274" s="109"/>
      <c r="AD2274" s="109"/>
      <c r="AE2274" s="109"/>
      <c r="AF2274" s="109"/>
      <c r="AG2274" s="109"/>
      <c r="AH2274" s="109"/>
      <c r="AI2274" s="109"/>
      <c r="AJ2274" s="109"/>
      <c r="AK2274" s="109"/>
      <c r="AL2274" s="109"/>
      <c r="AM2274" s="109"/>
      <c r="AN2274" s="109"/>
      <c r="AO2274" s="109"/>
      <c r="AP2274" s="109"/>
      <c r="AQ2274" s="109"/>
      <c r="AR2274" s="109"/>
      <c r="AS2274" s="109"/>
    </row>
    <row r="2275" spans="1:45" ht="12.6" customHeight="1" x14ac:dyDescent="0.3">
      <c r="A2275" s="68" t="s">
        <v>1473</v>
      </c>
      <c r="B2275" s="97" t="str">
        <f>" 노 무 비  :   "&amp;TEXT(I2275,"#,##0"&amp;IF(I2275&lt;&gt;INT(I2275),".###",""))&amp;" / Q = "&amp;TEXT(C2275,"#,##0.0")&amp;""</f>
        <v xml:space="preserve"> 노 무 비  :   55,700 / Q = 654.9</v>
      </c>
      <c r="C2275" s="99">
        <f>E2275+D2275+F2275</f>
        <v>654.9</v>
      </c>
      <c r="D2275" s="99">
        <f>IF(H2275=0,0,ROUNDDOWN(J2275*H2275,1))</f>
        <v>654.9</v>
      </c>
      <c r="E2275" s="99">
        <f>IF(H2275=0,0,ROUNDDOWN(K2275*H2275,1))</f>
        <v>0</v>
      </c>
      <c r="F2275" s="99">
        <f>IF(H2275=0,0,ROUNDDOWN(L2275*H2275,1))</f>
        <v>0</v>
      </c>
      <c r="G2275" s="16" t="s">
        <v>2095</v>
      </c>
      <c r="H2275" s="105">
        <f>AC2275</f>
        <v>1.1757789535567314E-2</v>
      </c>
      <c r="I2275" s="106">
        <f>K2275+J2275+L2275</f>
        <v>55700</v>
      </c>
      <c r="J2275" s="39">
        <f>중기목록표!F7</f>
        <v>55700</v>
      </c>
      <c r="M2275" s="20" t="s">
        <v>1193</v>
      </c>
      <c r="N2275" s="20" t="s">
        <v>1332</v>
      </c>
      <c r="X2275" s="108" t="str">
        <f>중기목록표!B7&amp;" / "&amp;중기목록표!C7</f>
        <v xml:space="preserve">굴삭기(0.7m3) / </v>
      </c>
      <c r="Y2275" s="19" t="str">
        <f ca="1">HYPERLINK("#"&amp;중기목록표!J2&amp;"!A"&amp;ROW(중기목록표!A7),"중기    4 →")</f>
        <v>중기    4 →</v>
      </c>
      <c r="Z2275" s="20" t="s">
        <v>1393</v>
      </c>
      <c r="AA2275" s="112" t="str">
        <f>AL2273</f>
        <v>85.05</v>
      </c>
      <c r="AB2275" s="20" t="s">
        <v>1326</v>
      </c>
      <c r="AC2275" s="113">
        <f>1/AL2273</f>
        <v>1.1757789535567314E-2</v>
      </c>
      <c r="AD2275" s="109"/>
      <c r="AE2275" s="109"/>
      <c r="AF2275" s="109"/>
      <c r="AG2275" s="109"/>
      <c r="AH2275" s="109"/>
      <c r="AI2275" s="109"/>
      <c r="AJ2275" s="109"/>
      <c r="AK2275" s="109"/>
      <c r="AL2275" s="109"/>
      <c r="AM2275" s="109"/>
      <c r="AN2275" s="109"/>
      <c r="AO2275" s="109"/>
      <c r="AP2275" s="109"/>
      <c r="AQ2275" s="109"/>
      <c r="AR2275" s="109"/>
      <c r="AS2275" s="109"/>
    </row>
    <row r="2276" spans="1:45" ht="12.6" customHeight="1" x14ac:dyDescent="0.3">
      <c r="A2276" s="78"/>
      <c r="B2276" s="78"/>
      <c r="C2276" s="78"/>
      <c r="D2276" s="78"/>
      <c r="E2276" s="78"/>
      <c r="F2276" s="78"/>
      <c r="G2276" s="16" t="s">
        <v>1317</v>
      </c>
      <c r="Z2276" s="109"/>
      <c r="AA2276" s="109"/>
      <c r="AB2276" s="109"/>
      <c r="AC2276" s="109"/>
      <c r="AD2276" s="109"/>
      <c r="AE2276" s="109"/>
      <c r="AF2276" s="109"/>
      <c r="AG2276" s="109"/>
      <c r="AH2276" s="109"/>
      <c r="AI2276" s="109"/>
      <c r="AJ2276" s="109"/>
      <c r="AK2276" s="109"/>
      <c r="AL2276" s="109"/>
      <c r="AM2276" s="109"/>
      <c r="AN2276" s="109"/>
      <c r="AO2276" s="109"/>
      <c r="AP2276" s="109"/>
      <c r="AQ2276" s="109"/>
      <c r="AR2276" s="109"/>
      <c r="AS2276" s="109"/>
    </row>
    <row r="2277" spans="1:45" ht="12.6" customHeight="1" x14ac:dyDescent="0.3">
      <c r="A2277" s="68" t="s">
        <v>1475</v>
      </c>
      <c r="B2277" s="97" t="str">
        <f>" 재 료 비  :   "&amp;TEXT(I2277,"#,##0"&amp;IF(I2277&lt;&gt;INT(I2277),".###",""))&amp;" / Q = "&amp;TEXT(C2277,"#,##0.0")&amp;""</f>
        <v xml:space="preserve"> 재 료 비  :   18,001 / Q = 211.6</v>
      </c>
      <c r="C2277" s="99">
        <f>E2277+D2277+F2277</f>
        <v>211.6</v>
      </c>
      <c r="D2277" s="99">
        <f>IF(H2277=0,0,ROUNDDOWN(J2277*H2277,1))</f>
        <v>0</v>
      </c>
      <c r="E2277" s="99">
        <f>IF(H2277=0,0,ROUNDDOWN(K2277*H2277,1))</f>
        <v>211.6</v>
      </c>
      <c r="F2277" s="99">
        <f>IF(H2277=0,0,ROUNDDOWN(L2277*H2277,1))</f>
        <v>0</v>
      </c>
      <c r="G2277" s="16" t="s">
        <v>2096</v>
      </c>
      <c r="H2277" s="105">
        <f>AC2277</f>
        <v>1.1757789535567314E-2</v>
      </c>
      <c r="I2277" s="106">
        <f>K2277+J2277+L2277</f>
        <v>18001</v>
      </c>
      <c r="K2277" s="39">
        <f>중기목록표!G7</f>
        <v>18001</v>
      </c>
      <c r="M2277" s="20" t="s">
        <v>1193</v>
      </c>
      <c r="N2277" s="20" t="s">
        <v>1332</v>
      </c>
      <c r="X2277" s="108" t="str">
        <f>중기목록표!B7&amp;" / "&amp;중기목록표!C7</f>
        <v xml:space="preserve">굴삭기(0.7m3) / </v>
      </c>
      <c r="Y2277" s="19" t="str">
        <f ca="1">HYPERLINK("#"&amp;중기목록표!J2&amp;"!A"&amp;ROW(중기목록표!A7),"중기    4 →")</f>
        <v>중기    4 →</v>
      </c>
      <c r="Z2277" s="20" t="s">
        <v>1393</v>
      </c>
      <c r="AA2277" s="112" t="str">
        <f>AL2273</f>
        <v>85.05</v>
      </c>
      <c r="AB2277" s="20" t="s">
        <v>1326</v>
      </c>
      <c r="AC2277" s="113">
        <f>1/AL2273</f>
        <v>1.1757789535567314E-2</v>
      </c>
      <c r="AD2277" s="109"/>
      <c r="AE2277" s="109"/>
      <c r="AF2277" s="109"/>
      <c r="AG2277" s="109"/>
      <c r="AH2277" s="109"/>
      <c r="AI2277" s="109"/>
      <c r="AJ2277" s="109"/>
      <c r="AK2277" s="109"/>
      <c r="AL2277" s="109"/>
      <c r="AM2277" s="109"/>
      <c r="AN2277" s="109"/>
      <c r="AO2277" s="109"/>
      <c r="AP2277" s="109"/>
      <c r="AQ2277" s="109"/>
      <c r="AR2277" s="109"/>
      <c r="AS2277" s="109"/>
    </row>
    <row r="2278" spans="1:45" ht="12.6" customHeight="1" x14ac:dyDescent="0.3">
      <c r="A2278" s="78"/>
      <c r="B2278" s="78"/>
      <c r="C2278" s="78"/>
      <c r="D2278" s="78"/>
      <c r="E2278" s="78"/>
      <c r="F2278" s="78"/>
      <c r="G2278" s="16" t="s">
        <v>1317</v>
      </c>
      <c r="Z2278" s="109"/>
      <c r="AA2278" s="109"/>
      <c r="AB2278" s="109"/>
      <c r="AC2278" s="109"/>
      <c r="AD2278" s="109"/>
      <c r="AE2278" s="109"/>
      <c r="AF2278" s="109"/>
      <c r="AG2278" s="109"/>
      <c r="AH2278" s="109"/>
      <c r="AI2278" s="109"/>
      <c r="AJ2278" s="109"/>
      <c r="AK2278" s="109"/>
      <c r="AL2278" s="109"/>
      <c r="AM2278" s="109"/>
      <c r="AN2278" s="109"/>
      <c r="AO2278" s="109"/>
      <c r="AP2278" s="109"/>
      <c r="AQ2278" s="109"/>
      <c r="AR2278" s="109"/>
      <c r="AS2278" s="109"/>
    </row>
    <row r="2279" spans="1:45" ht="12.6" customHeight="1" x14ac:dyDescent="0.3">
      <c r="A2279" s="68" t="s">
        <v>1477</v>
      </c>
      <c r="B2279" s="97" t="str">
        <f>" 경    비  :   "&amp;TEXT(I2279,"#,##0"&amp;IF(I2279&lt;&gt;INT(I2279),".###",""))&amp;" / Q = "&amp;TEXT(C2279,"#,##0.0")&amp;""</f>
        <v xml:space="preserve"> 경    비  :   23,128 / Q = 271.9</v>
      </c>
      <c r="C2279" s="99">
        <f>E2279+D2279+F2279</f>
        <v>271.89999999999998</v>
      </c>
      <c r="D2279" s="99">
        <f>IF(H2279=0,0,ROUNDDOWN(J2279*H2279,1))</f>
        <v>0</v>
      </c>
      <c r="E2279" s="99">
        <f>IF(H2279=0,0,ROUNDDOWN(K2279*H2279,1))</f>
        <v>0</v>
      </c>
      <c r="F2279" s="99">
        <f>IF(H2279=0,0,ROUNDDOWN(L2279*H2279,1))</f>
        <v>271.89999999999998</v>
      </c>
      <c r="G2279" s="16" t="s">
        <v>2097</v>
      </c>
      <c r="H2279" s="105">
        <f>AC2279</f>
        <v>1.1757789535567314E-2</v>
      </c>
      <c r="I2279" s="106">
        <f>K2279+J2279+L2279</f>
        <v>23128</v>
      </c>
      <c r="L2279" s="39">
        <f>중기목록표!H7</f>
        <v>23128</v>
      </c>
      <c r="M2279" s="20" t="s">
        <v>1193</v>
      </c>
      <c r="N2279" s="20" t="s">
        <v>1332</v>
      </c>
      <c r="X2279" s="108" t="str">
        <f>중기목록표!B7&amp;" / "&amp;중기목록표!C7</f>
        <v xml:space="preserve">굴삭기(0.7m3) / </v>
      </c>
      <c r="Y2279" s="19" t="str">
        <f ca="1">HYPERLINK("#"&amp;중기목록표!J2&amp;"!A"&amp;ROW(중기목록표!A7),"중기    4 →")</f>
        <v>중기    4 →</v>
      </c>
      <c r="Z2279" s="20" t="s">
        <v>1393</v>
      </c>
      <c r="AA2279" s="112" t="str">
        <f>AL2273</f>
        <v>85.05</v>
      </c>
      <c r="AB2279" s="20" t="s">
        <v>1326</v>
      </c>
      <c r="AC2279" s="113">
        <f>1/AL2273</f>
        <v>1.1757789535567314E-2</v>
      </c>
      <c r="AD2279" s="109"/>
      <c r="AE2279" s="109"/>
      <c r="AF2279" s="109"/>
      <c r="AG2279" s="109"/>
      <c r="AH2279" s="109"/>
      <c r="AI2279" s="109"/>
      <c r="AJ2279" s="109"/>
      <c r="AK2279" s="109"/>
      <c r="AL2279" s="109"/>
      <c r="AM2279" s="109"/>
      <c r="AN2279" s="109"/>
      <c r="AO2279" s="109"/>
      <c r="AP2279" s="109"/>
      <c r="AQ2279" s="109"/>
      <c r="AR2279" s="109"/>
      <c r="AS2279" s="109"/>
    </row>
    <row r="2280" spans="1:45" ht="12.6" customHeight="1" x14ac:dyDescent="0.3">
      <c r="A2280" s="78"/>
      <c r="B2280" s="78"/>
      <c r="C2280" s="78"/>
      <c r="D2280" s="78"/>
      <c r="E2280" s="78"/>
      <c r="F2280" s="78"/>
      <c r="G2280" s="16" t="s">
        <v>1317</v>
      </c>
      <c r="Z2280" s="109"/>
      <c r="AA2280" s="109"/>
      <c r="AB2280" s="109"/>
      <c r="AC2280" s="109"/>
      <c r="AD2280" s="109"/>
      <c r="AE2280" s="109"/>
      <c r="AF2280" s="109"/>
      <c r="AG2280" s="109"/>
      <c r="AH2280" s="109"/>
      <c r="AI2280" s="109"/>
      <c r="AJ2280" s="109"/>
      <c r="AK2280" s="109"/>
      <c r="AL2280" s="109"/>
      <c r="AM2280" s="109"/>
      <c r="AN2280" s="109"/>
      <c r="AO2280" s="109"/>
      <c r="AP2280" s="109"/>
      <c r="AQ2280" s="109"/>
      <c r="AR2280" s="109"/>
      <c r="AS2280" s="109"/>
    </row>
    <row r="2281" spans="1:45" ht="12.6" customHeight="1" x14ac:dyDescent="0.3">
      <c r="A2281" s="68"/>
      <c r="B2281" s="77" t="s">
        <v>1331</v>
      </c>
      <c r="C2281" s="100">
        <f>E2281+D2281+F2281</f>
        <v>1138.4000000000001</v>
      </c>
      <c r="D2281" s="100">
        <f>SUMIF(N2265:N2280,M2281,D2265:D2280)</f>
        <v>654.9</v>
      </c>
      <c r="E2281" s="100">
        <f>SUMIF(N2265:N2280,M2281,E2265:E2280)</f>
        <v>211.6</v>
      </c>
      <c r="F2281" s="100">
        <f>SUMIF(N2265:N2280,M2281,F2265:F2280)</f>
        <v>271.89999999999998</v>
      </c>
      <c r="G2281" s="16" t="s">
        <v>1415</v>
      </c>
      <c r="M2281" s="20" t="s">
        <v>1332</v>
      </c>
      <c r="N2281" s="20" t="s">
        <v>1341</v>
      </c>
      <c r="Z2281" s="109"/>
      <c r="AA2281" s="109"/>
      <c r="AB2281" s="109"/>
      <c r="AC2281" s="109"/>
      <c r="AD2281" s="109"/>
      <c r="AE2281" s="109"/>
      <c r="AF2281" s="109"/>
      <c r="AG2281" s="109"/>
      <c r="AH2281" s="109"/>
      <c r="AI2281" s="109"/>
      <c r="AJ2281" s="109"/>
      <c r="AK2281" s="109"/>
      <c r="AL2281" s="109"/>
      <c r="AM2281" s="109"/>
      <c r="AN2281" s="109"/>
      <c r="AO2281" s="109"/>
      <c r="AP2281" s="109"/>
      <c r="AQ2281" s="109"/>
      <c r="AR2281" s="109"/>
      <c r="AS2281" s="109"/>
    </row>
    <row r="2282" spans="1:45" ht="12.6" customHeight="1" x14ac:dyDescent="0.3">
      <c r="A2282" s="78"/>
      <c r="B2282" s="78"/>
      <c r="C2282" s="98"/>
      <c r="D2282" s="98"/>
      <c r="E2282" s="98"/>
      <c r="F2282" s="98"/>
      <c r="G2282" s="16" t="s">
        <v>1317</v>
      </c>
      <c r="Z2282" s="109"/>
      <c r="AA2282" s="109"/>
      <c r="AB2282" s="109"/>
      <c r="AC2282" s="109"/>
      <c r="AD2282" s="109"/>
      <c r="AE2282" s="109"/>
      <c r="AF2282" s="109"/>
      <c r="AG2282" s="109"/>
      <c r="AH2282" s="109"/>
      <c r="AI2282" s="109"/>
      <c r="AJ2282" s="109"/>
      <c r="AK2282" s="109"/>
      <c r="AL2282" s="109"/>
      <c r="AM2282" s="109"/>
      <c r="AN2282" s="109"/>
      <c r="AO2282" s="109"/>
      <c r="AP2282" s="109"/>
      <c r="AQ2282" s="109"/>
      <c r="AR2282" s="109"/>
      <c r="AS2282" s="109"/>
    </row>
    <row r="2283" spans="1:45" ht="12.6" customHeight="1" x14ac:dyDescent="0.3">
      <c r="A2283" s="68"/>
      <c r="B2283" s="77" t="s">
        <v>1340</v>
      </c>
      <c r="C2283" s="100">
        <f>E2283+D2283+F2283</f>
        <v>2276.8000000000002</v>
      </c>
      <c r="D2283" s="100">
        <f>SUMIF(N2247:N2282,M2283,D2247:D2282)</f>
        <v>1309.8</v>
      </c>
      <c r="E2283" s="100">
        <f>SUMIF(N2247:N2282,M2283,E2247:E2282)</f>
        <v>423.2</v>
      </c>
      <c r="F2283" s="100">
        <f>SUMIF(N2247:N2282,M2283,F2247:F2282)</f>
        <v>543.79999999999995</v>
      </c>
      <c r="G2283" s="16" t="s">
        <v>1380</v>
      </c>
      <c r="M2283" s="20" t="s">
        <v>1341</v>
      </c>
      <c r="N2283" s="20" t="s">
        <v>1128</v>
      </c>
      <c r="Z2283" s="109"/>
      <c r="AA2283" s="109"/>
      <c r="AB2283" s="109"/>
      <c r="AC2283" s="109"/>
      <c r="AD2283" s="109"/>
      <c r="AE2283" s="109"/>
      <c r="AF2283" s="109"/>
      <c r="AG2283" s="109"/>
      <c r="AH2283" s="109"/>
      <c r="AI2283" s="109"/>
      <c r="AJ2283" s="109"/>
      <c r="AK2283" s="109"/>
      <c r="AL2283" s="109"/>
      <c r="AM2283" s="109"/>
      <c r="AN2283" s="109"/>
      <c r="AO2283" s="109"/>
      <c r="AP2283" s="109"/>
      <c r="AQ2283" s="109"/>
      <c r="AR2283" s="109"/>
      <c r="AS2283" s="109"/>
    </row>
    <row r="2284" spans="1:45" ht="12.6" customHeight="1" x14ac:dyDescent="0.3">
      <c r="A2284" s="78"/>
      <c r="B2284" s="78"/>
      <c r="C2284" s="98"/>
      <c r="D2284" s="98"/>
      <c r="E2284" s="98"/>
      <c r="F2284" s="98"/>
      <c r="Z2284" s="109"/>
      <c r="AA2284" s="109"/>
      <c r="AB2284" s="109"/>
      <c r="AC2284" s="109"/>
      <c r="AD2284" s="109"/>
      <c r="AE2284" s="109"/>
      <c r="AF2284" s="109"/>
      <c r="AG2284" s="109"/>
      <c r="AH2284" s="109"/>
      <c r="AI2284" s="109"/>
      <c r="AJ2284" s="109"/>
      <c r="AK2284" s="109"/>
      <c r="AL2284" s="109"/>
      <c r="AM2284" s="109"/>
      <c r="AN2284" s="109"/>
      <c r="AO2284" s="109"/>
      <c r="AP2284" s="109"/>
      <c r="AQ2284" s="109"/>
      <c r="AR2284" s="109"/>
      <c r="AS2284" s="109"/>
    </row>
    <row r="2285" spans="1:45" ht="12.6" customHeight="1" x14ac:dyDescent="0.3">
      <c r="A2285" s="78"/>
      <c r="B2285" s="78"/>
      <c r="C2285" s="78"/>
      <c r="D2285" s="78"/>
      <c r="E2285" s="78"/>
      <c r="F2285" s="78"/>
      <c r="Z2285" s="109"/>
      <c r="AA2285" s="109"/>
      <c r="AB2285" s="109"/>
      <c r="AC2285" s="109"/>
      <c r="AD2285" s="109"/>
      <c r="AE2285" s="109"/>
      <c r="AF2285" s="109"/>
      <c r="AG2285" s="109"/>
      <c r="AH2285" s="109"/>
      <c r="AI2285" s="109"/>
      <c r="AJ2285" s="109"/>
      <c r="AK2285" s="109"/>
      <c r="AL2285" s="109"/>
      <c r="AM2285" s="109"/>
      <c r="AN2285" s="109"/>
      <c r="AO2285" s="109"/>
      <c r="AP2285" s="109"/>
      <c r="AQ2285" s="109"/>
      <c r="AR2285" s="109"/>
      <c r="AS2285" s="109"/>
    </row>
    <row r="2286" spans="1:45" ht="12.6" customHeight="1" x14ac:dyDescent="0.3">
      <c r="A2286" s="78"/>
      <c r="B2286" s="78"/>
      <c r="C2286" s="78"/>
      <c r="D2286" s="78"/>
      <c r="E2286" s="78"/>
      <c r="F2286" s="78"/>
      <c r="Z2286" s="109"/>
      <c r="AA2286" s="109"/>
      <c r="AB2286" s="109"/>
      <c r="AC2286" s="109"/>
      <c r="AD2286" s="109"/>
      <c r="AE2286" s="109"/>
      <c r="AF2286" s="109"/>
      <c r="AG2286" s="109"/>
      <c r="AH2286" s="109"/>
      <c r="AI2286" s="109"/>
      <c r="AJ2286" s="109"/>
      <c r="AK2286" s="109"/>
      <c r="AL2286" s="109"/>
      <c r="AM2286" s="109"/>
      <c r="AN2286" s="109"/>
      <c r="AO2286" s="109"/>
      <c r="AP2286" s="109"/>
      <c r="AQ2286" s="109"/>
      <c r="AR2286" s="109"/>
      <c r="AS2286" s="109"/>
    </row>
    <row r="2287" spans="1:45" ht="12.6" customHeight="1" x14ac:dyDescent="0.3">
      <c r="A2287" s="78"/>
      <c r="B2287" s="78"/>
      <c r="C2287" s="78"/>
      <c r="D2287" s="78"/>
      <c r="E2287" s="78"/>
      <c r="F2287" s="78"/>
      <c r="Z2287" s="109"/>
      <c r="AA2287" s="109"/>
      <c r="AB2287" s="109"/>
      <c r="AC2287" s="109"/>
      <c r="AD2287" s="109"/>
      <c r="AE2287" s="109"/>
      <c r="AF2287" s="109"/>
      <c r="AG2287" s="109"/>
      <c r="AH2287" s="109"/>
      <c r="AI2287" s="109"/>
      <c r="AJ2287" s="109"/>
      <c r="AK2287" s="109"/>
      <c r="AL2287" s="109"/>
      <c r="AM2287" s="109"/>
      <c r="AN2287" s="109"/>
      <c r="AO2287" s="109"/>
      <c r="AP2287" s="109"/>
      <c r="AQ2287" s="109"/>
      <c r="AR2287" s="109"/>
      <c r="AS2287" s="109"/>
    </row>
    <row r="2288" spans="1:45" ht="12.6" customHeight="1" x14ac:dyDescent="0.3">
      <c r="A2288" s="78"/>
      <c r="B2288" s="78"/>
      <c r="C2288" s="78"/>
      <c r="D2288" s="78"/>
      <c r="E2288" s="78"/>
      <c r="F2288" s="78"/>
      <c r="Z2288" s="109"/>
      <c r="AA2288" s="109"/>
      <c r="AB2288" s="109"/>
      <c r="AC2288" s="109"/>
      <c r="AD2288" s="109"/>
      <c r="AE2288" s="109"/>
      <c r="AF2288" s="109"/>
      <c r="AG2288" s="109"/>
      <c r="AH2288" s="109"/>
      <c r="AI2288" s="109"/>
      <c r="AJ2288" s="109"/>
      <c r="AK2288" s="109"/>
      <c r="AL2288" s="109"/>
      <c r="AM2288" s="109"/>
      <c r="AN2288" s="109"/>
      <c r="AO2288" s="109"/>
      <c r="AP2288" s="109"/>
      <c r="AQ2288" s="109"/>
      <c r="AR2288" s="109"/>
      <c r="AS2288" s="109"/>
    </row>
    <row r="2289" spans="1:45" ht="12.6" customHeight="1" x14ac:dyDescent="0.3">
      <c r="A2289" s="78"/>
      <c r="B2289" s="78"/>
      <c r="C2289" s="78"/>
      <c r="D2289" s="78"/>
      <c r="E2289" s="78"/>
      <c r="F2289" s="78"/>
      <c r="Z2289" s="109"/>
      <c r="AA2289" s="109"/>
      <c r="AB2289" s="109"/>
      <c r="AC2289" s="109"/>
      <c r="AD2289" s="109"/>
      <c r="AE2289" s="109"/>
      <c r="AF2289" s="109"/>
      <c r="AG2289" s="109"/>
      <c r="AH2289" s="109"/>
      <c r="AI2289" s="109"/>
      <c r="AJ2289" s="109"/>
      <c r="AK2289" s="109"/>
      <c r="AL2289" s="109"/>
      <c r="AM2289" s="109"/>
      <c r="AN2289" s="109"/>
      <c r="AO2289" s="109"/>
      <c r="AP2289" s="109"/>
      <c r="AQ2289" s="109"/>
      <c r="AR2289" s="109"/>
      <c r="AS2289" s="109"/>
    </row>
    <row r="2290" spans="1:45" ht="12.6" customHeight="1" x14ac:dyDescent="0.3">
      <c r="A2290" s="78"/>
      <c r="B2290" s="78"/>
      <c r="C2290" s="78"/>
      <c r="D2290" s="78"/>
      <c r="E2290" s="78"/>
      <c r="F2290" s="78"/>
      <c r="Z2290" s="109"/>
      <c r="AA2290" s="109"/>
      <c r="AB2290" s="109"/>
      <c r="AC2290" s="109"/>
      <c r="AD2290" s="109"/>
      <c r="AE2290" s="109"/>
      <c r="AF2290" s="109"/>
      <c r="AG2290" s="109"/>
      <c r="AH2290" s="109"/>
      <c r="AI2290" s="109"/>
      <c r="AJ2290" s="109"/>
      <c r="AK2290" s="109"/>
      <c r="AL2290" s="109"/>
      <c r="AM2290" s="109"/>
      <c r="AN2290" s="109"/>
      <c r="AO2290" s="109"/>
      <c r="AP2290" s="109"/>
      <c r="AQ2290" s="109"/>
      <c r="AR2290" s="109"/>
      <c r="AS2290" s="109"/>
    </row>
    <row r="2291" spans="1:45" ht="12.6" customHeight="1" x14ac:dyDescent="0.3">
      <c r="A2291" s="78"/>
      <c r="B2291" s="78"/>
      <c r="C2291" s="78"/>
      <c r="D2291" s="78"/>
      <c r="E2291" s="78"/>
      <c r="F2291" s="78"/>
      <c r="Z2291" s="109"/>
      <c r="AA2291" s="109"/>
      <c r="AB2291" s="109"/>
      <c r="AC2291" s="109"/>
      <c r="AD2291" s="109"/>
      <c r="AE2291" s="109"/>
      <c r="AF2291" s="109"/>
      <c r="AG2291" s="109"/>
      <c r="AH2291" s="109"/>
      <c r="AI2291" s="109"/>
      <c r="AJ2291" s="109"/>
      <c r="AK2291" s="109"/>
      <c r="AL2291" s="109"/>
      <c r="AM2291" s="109"/>
      <c r="AN2291" s="109"/>
      <c r="AO2291" s="109"/>
      <c r="AP2291" s="109"/>
      <c r="AQ2291" s="109"/>
      <c r="AR2291" s="109"/>
      <c r="AS2291" s="109"/>
    </row>
    <row r="2292" spans="1:45" ht="12.6" customHeight="1" x14ac:dyDescent="0.3">
      <c r="A2292" s="78"/>
      <c r="B2292" s="78"/>
      <c r="C2292" s="78"/>
      <c r="D2292" s="78"/>
      <c r="E2292" s="78"/>
      <c r="F2292" s="78"/>
      <c r="Z2292" s="109"/>
      <c r="AA2292" s="109"/>
      <c r="AB2292" s="109"/>
      <c r="AC2292" s="109"/>
      <c r="AD2292" s="109"/>
      <c r="AE2292" s="109"/>
      <c r="AF2292" s="109"/>
      <c r="AG2292" s="109"/>
      <c r="AH2292" s="109"/>
      <c r="AI2292" s="109"/>
      <c r="AJ2292" s="109"/>
      <c r="AK2292" s="109"/>
      <c r="AL2292" s="109"/>
      <c r="AM2292" s="109"/>
      <c r="AN2292" s="109"/>
      <c r="AO2292" s="109"/>
      <c r="AP2292" s="109"/>
      <c r="AQ2292" s="109"/>
      <c r="AR2292" s="109"/>
      <c r="AS2292" s="109"/>
    </row>
    <row r="2293" spans="1:45" ht="12.6" customHeight="1" x14ac:dyDescent="0.3">
      <c r="A2293" s="78"/>
      <c r="B2293" s="78"/>
      <c r="C2293" s="78"/>
      <c r="D2293" s="78"/>
      <c r="E2293" s="78"/>
      <c r="F2293" s="78"/>
      <c r="Z2293" s="109"/>
      <c r="AA2293" s="109"/>
      <c r="AB2293" s="109"/>
      <c r="AC2293" s="109"/>
      <c r="AD2293" s="109"/>
      <c r="AE2293" s="109"/>
      <c r="AF2293" s="109"/>
      <c r="AG2293" s="109"/>
      <c r="AH2293" s="109"/>
      <c r="AI2293" s="109"/>
      <c r="AJ2293" s="109"/>
      <c r="AK2293" s="109"/>
      <c r="AL2293" s="109"/>
      <c r="AM2293" s="109"/>
      <c r="AN2293" s="109"/>
      <c r="AO2293" s="109"/>
      <c r="AP2293" s="109"/>
      <c r="AQ2293" s="109"/>
      <c r="AR2293" s="109"/>
      <c r="AS2293" s="109"/>
    </row>
    <row r="2294" spans="1:45" ht="12.6" customHeight="1" x14ac:dyDescent="0.3">
      <c r="A2294" s="78"/>
      <c r="B2294" s="78"/>
      <c r="C2294" s="78"/>
      <c r="D2294" s="78"/>
      <c r="E2294" s="78"/>
      <c r="F2294" s="78"/>
      <c r="Z2294" s="109"/>
      <c r="AA2294" s="109"/>
      <c r="AB2294" s="109"/>
      <c r="AC2294" s="109"/>
      <c r="AD2294" s="109"/>
      <c r="AE2294" s="109"/>
      <c r="AF2294" s="109"/>
      <c r="AG2294" s="109"/>
      <c r="AH2294" s="109"/>
      <c r="AI2294" s="109"/>
      <c r="AJ2294" s="109"/>
      <c r="AK2294" s="109"/>
      <c r="AL2294" s="109"/>
      <c r="AM2294" s="109"/>
      <c r="AN2294" s="109"/>
      <c r="AO2294" s="109"/>
      <c r="AP2294" s="109"/>
      <c r="AQ2294" s="109"/>
      <c r="AR2294" s="109"/>
      <c r="AS2294" s="109"/>
    </row>
    <row r="2295" spans="1:45" ht="12.6" customHeight="1" x14ac:dyDescent="0.3">
      <c r="A2295" s="78"/>
      <c r="B2295" s="78"/>
      <c r="C2295" s="78"/>
      <c r="D2295" s="78"/>
      <c r="E2295" s="78"/>
      <c r="F2295" s="78"/>
      <c r="Z2295" s="109"/>
      <c r="AA2295" s="109"/>
      <c r="AB2295" s="109"/>
      <c r="AC2295" s="109"/>
      <c r="AD2295" s="109"/>
      <c r="AE2295" s="109"/>
      <c r="AF2295" s="109"/>
      <c r="AG2295" s="109"/>
      <c r="AH2295" s="109"/>
      <c r="AI2295" s="109"/>
      <c r="AJ2295" s="109"/>
      <c r="AK2295" s="109"/>
      <c r="AL2295" s="109"/>
      <c r="AM2295" s="109"/>
      <c r="AN2295" s="109"/>
      <c r="AO2295" s="109"/>
      <c r="AP2295" s="109"/>
      <c r="AQ2295" s="109"/>
      <c r="AR2295" s="109"/>
      <c r="AS2295" s="109"/>
    </row>
    <row r="2296" spans="1:45" ht="12.6" customHeight="1" x14ac:dyDescent="0.3">
      <c r="A2296" s="78"/>
      <c r="B2296" s="78"/>
      <c r="C2296" s="78"/>
      <c r="D2296" s="78"/>
      <c r="E2296" s="78"/>
      <c r="F2296" s="78"/>
      <c r="Z2296" s="109"/>
      <c r="AA2296" s="109"/>
      <c r="AB2296" s="109"/>
      <c r="AC2296" s="109"/>
      <c r="AD2296" s="109"/>
      <c r="AE2296" s="109"/>
      <c r="AF2296" s="109"/>
      <c r="AG2296" s="109"/>
      <c r="AH2296" s="109"/>
      <c r="AI2296" s="109"/>
      <c r="AJ2296" s="109"/>
      <c r="AK2296" s="109"/>
      <c r="AL2296" s="109"/>
      <c r="AM2296" s="109"/>
      <c r="AN2296" s="109"/>
      <c r="AO2296" s="109"/>
      <c r="AP2296" s="109"/>
      <c r="AQ2296" s="109"/>
      <c r="AR2296" s="109"/>
      <c r="AS2296" s="109"/>
    </row>
    <row r="2297" spans="1:45" ht="12.6" customHeight="1" x14ac:dyDescent="0.3">
      <c r="A2297" s="78"/>
      <c r="B2297" s="78"/>
      <c r="C2297" s="78"/>
      <c r="D2297" s="78"/>
      <c r="E2297" s="78"/>
      <c r="F2297" s="78"/>
      <c r="Z2297" s="109"/>
      <c r="AA2297" s="109"/>
      <c r="AB2297" s="109"/>
      <c r="AC2297" s="109"/>
      <c r="AD2297" s="109"/>
      <c r="AE2297" s="109"/>
      <c r="AF2297" s="109"/>
      <c r="AG2297" s="109"/>
      <c r="AH2297" s="109"/>
      <c r="AI2297" s="109"/>
      <c r="AJ2297" s="109"/>
      <c r="AK2297" s="109"/>
      <c r="AL2297" s="109"/>
      <c r="AM2297" s="109"/>
      <c r="AN2297" s="109"/>
      <c r="AO2297" s="109"/>
      <c r="AP2297" s="109"/>
      <c r="AQ2297" s="109"/>
      <c r="AR2297" s="109"/>
      <c r="AS2297" s="109"/>
    </row>
    <row r="2298" spans="1:45" ht="12.6" customHeight="1" x14ac:dyDescent="0.3">
      <c r="A2298" s="78"/>
      <c r="B2298" s="78"/>
      <c r="C2298" s="78"/>
      <c r="D2298" s="78"/>
      <c r="E2298" s="78"/>
      <c r="F2298" s="78"/>
      <c r="Z2298" s="109"/>
      <c r="AA2298" s="109"/>
      <c r="AB2298" s="109"/>
      <c r="AC2298" s="109"/>
      <c r="AD2298" s="109"/>
      <c r="AE2298" s="109"/>
      <c r="AF2298" s="109"/>
      <c r="AG2298" s="109"/>
      <c r="AH2298" s="109"/>
      <c r="AI2298" s="109"/>
      <c r="AJ2298" s="109"/>
      <c r="AK2298" s="109"/>
      <c r="AL2298" s="109"/>
      <c r="AM2298" s="109"/>
      <c r="AN2298" s="109"/>
      <c r="AO2298" s="109"/>
      <c r="AP2298" s="109"/>
      <c r="AQ2298" s="109"/>
      <c r="AR2298" s="109"/>
      <c r="AS2298" s="109"/>
    </row>
    <row r="2299" spans="1:45" ht="12.6" customHeight="1" x14ac:dyDescent="0.3">
      <c r="A2299" s="78"/>
      <c r="B2299" s="78"/>
      <c r="C2299" s="78"/>
      <c r="D2299" s="78"/>
      <c r="E2299" s="78"/>
      <c r="F2299" s="78"/>
      <c r="Z2299" s="109"/>
      <c r="AA2299" s="109"/>
      <c r="AB2299" s="109"/>
      <c r="AC2299" s="109"/>
      <c r="AD2299" s="109"/>
      <c r="AE2299" s="109"/>
      <c r="AF2299" s="109"/>
      <c r="AG2299" s="109"/>
      <c r="AH2299" s="109"/>
      <c r="AI2299" s="109"/>
      <c r="AJ2299" s="109"/>
      <c r="AK2299" s="109"/>
      <c r="AL2299" s="109"/>
      <c r="AM2299" s="109"/>
      <c r="AN2299" s="109"/>
      <c r="AO2299" s="109"/>
      <c r="AP2299" s="109"/>
      <c r="AQ2299" s="109"/>
      <c r="AR2299" s="109"/>
      <c r="AS2299" s="109"/>
    </row>
    <row r="2300" spans="1:45" ht="12.6" customHeight="1" x14ac:dyDescent="0.3">
      <c r="A2300" s="78"/>
      <c r="B2300" s="78"/>
      <c r="C2300" s="78"/>
      <c r="D2300" s="78"/>
      <c r="E2300" s="78"/>
      <c r="F2300" s="78"/>
      <c r="Z2300" s="109"/>
      <c r="AA2300" s="109"/>
      <c r="AB2300" s="109"/>
      <c r="AC2300" s="109"/>
      <c r="AD2300" s="109"/>
      <c r="AE2300" s="109"/>
      <c r="AF2300" s="109"/>
      <c r="AG2300" s="109"/>
      <c r="AH2300" s="109"/>
      <c r="AI2300" s="109"/>
      <c r="AJ2300" s="109"/>
      <c r="AK2300" s="109"/>
      <c r="AL2300" s="109"/>
      <c r="AM2300" s="109"/>
      <c r="AN2300" s="109"/>
      <c r="AO2300" s="109"/>
      <c r="AP2300" s="109"/>
      <c r="AQ2300" s="109"/>
      <c r="AR2300" s="109"/>
      <c r="AS2300" s="109"/>
    </row>
    <row r="2301" spans="1:45" ht="12.6" customHeight="1" x14ac:dyDescent="0.3">
      <c r="A2301" s="78"/>
      <c r="B2301" s="78"/>
      <c r="C2301" s="78"/>
      <c r="D2301" s="78"/>
      <c r="E2301" s="78"/>
      <c r="F2301" s="78"/>
      <c r="Z2301" s="109"/>
      <c r="AA2301" s="109"/>
      <c r="AB2301" s="109"/>
      <c r="AC2301" s="109"/>
      <c r="AD2301" s="109"/>
      <c r="AE2301" s="109"/>
      <c r="AF2301" s="109"/>
      <c r="AG2301" s="109"/>
      <c r="AH2301" s="109"/>
      <c r="AI2301" s="109"/>
      <c r="AJ2301" s="109"/>
      <c r="AK2301" s="109"/>
      <c r="AL2301" s="109"/>
      <c r="AM2301" s="109"/>
      <c r="AN2301" s="109"/>
      <c r="AO2301" s="109"/>
      <c r="AP2301" s="109"/>
      <c r="AQ2301" s="109"/>
      <c r="AR2301" s="109"/>
      <c r="AS2301" s="109"/>
    </row>
    <row r="2302" spans="1:45" ht="12.6" customHeight="1" x14ac:dyDescent="0.3">
      <c r="A2302" s="78"/>
      <c r="B2302" s="78"/>
      <c r="C2302" s="78"/>
      <c r="D2302" s="78"/>
      <c r="E2302" s="78"/>
      <c r="F2302" s="78"/>
      <c r="Z2302" s="109"/>
      <c r="AA2302" s="109"/>
      <c r="AB2302" s="109"/>
      <c r="AC2302" s="109"/>
      <c r="AD2302" s="109"/>
      <c r="AE2302" s="109"/>
      <c r="AF2302" s="109"/>
      <c r="AG2302" s="109"/>
      <c r="AH2302" s="109"/>
      <c r="AI2302" s="109"/>
      <c r="AJ2302" s="109"/>
      <c r="AK2302" s="109"/>
      <c r="AL2302" s="109"/>
      <c r="AM2302" s="109"/>
      <c r="AN2302" s="109"/>
      <c r="AO2302" s="109"/>
      <c r="AP2302" s="109"/>
      <c r="AQ2302" s="109"/>
      <c r="AR2302" s="109"/>
      <c r="AS2302" s="109"/>
    </row>
    <row r="2303" spans="1:45" ht="12.6" customHeight="1" x14ac:dyDescent="0.3">
      <c r="A2303" s="78"/>
      <c r="B2303" s="78"/>
      <c r="C2303" s="78"/>
      <c r="D2303" s="78"/>
      <c r="E2303" s="78"/>
      <c r="F2303" s="78"/>
      <c r="Z2303" s="109"/>
      <c r="AA2303" s="109"/>
      <c r="AB2303" s="109"/>
      <c r="AC2303" s="109"/>
      <c r="AD2303" s="109"/>
      <c r="AE2303" s="109"/>
      <c r="AF2303" s="109"/>
      <c r="AG2303" s="109"/>
      <c r="AH2303" s="109"/>
      <c r="AI2303" s="109"/>
      <c r="AJ2303" s="109"/>
      <c r="AK2303" s="109"/>
      <c r="AL2303" s="109"/>
      <c r="AM2303" s="109"/>
      <c r="AN2303" s="109"/>
      <c r="AO2303" s="109"/>
      <c r="AP2303" s="109"/>
      <c r="AQ2303" s="109"/>
      <c r="AR2303" s="109"/>
      <c r="AS2303" s="109"/>
    </row>
    <row r="2304" spans="1:45" ht="12.6" customHeight="1" x14ac:dyDescent="0.3">
      <c r="A2304" s="78"/>
      <c r="B2304" s="78"/>
      <c r="C2304" s="78"/>
      <c r="D2304" s="78"/>
      <c r="E2304" s="78"/>
      <c r="F2304" s="78"/>
      <c r="Z2304" s="109"/>
      <c r="AA2304" s="109"/>
      <c r="AB2304" s="109"/>
      <c r="AC2304" s="109"/>
      <c r="AD2304" s="109"/>
      <c r="AE2304" s="109"/>
      <c r="AF2304" s="109"/>
      <c r="AG2304" s="109"/>
      <c r="AH2304" s="109"/>
      <c r="AI2304" s="109"/>
      <c r="AJ2304" s="109"/>
      <c r="AK2304" s="109"/>
      <c r="AL2304" s="109"/>
      <c r="AM2304" s="109"/>
      <c r="AN2304" s="109"/>
      <c r="AO2304" s="109"/>
      <c r="AP2304" s="109"/>
      <c r="AQ2304" s="109"/>
      <c r="AR2304" s="109"/>
      <c r="AS2304" s="109"/>
    </row>
    <row r="2305" spans="1:45" ht="12.6" customHeight="1" x14ac:dyDescent="0.3">
      <c r="A2305" s="78"/>
      <c r="B2305" s="78"/>
      <c r="C2305" s="78"/>
      <c r="D2305" s="78"/>
      <c r="E2305" s="78"/>
      <c r="F2305" s="78"/>
      <c r="Z2305" s="109"/>
      <c r="AA2305" s="109"/>
      <c r="AB2305" s="109"/>
      <c r="AC2305" s="109"/>
      <c r="AD2305" s="109"/>
      <c r="AE2305" s="109"/>
      <c r="AF2305" s="109"/>
      <c r="AG2305" s="109"/>
      <c r="AH2305" s="109"/>
      <c r="AI2305" s="109"/>
      <c r="AJ2305" s="109"/>
      <c r="AK2305" s="109"/>
      <c r="AL2305" s="109"/>
      <c r="AM2305" s="109"/>
      <c r="AN2305" s="109"/>
      <c r="AO2305" s="109"/>
      <c r="AP2305" s="109"/>
      <c r="AQ2305" s="109"/>
      <c r="AR2305" s="109"/>
      <c r="AS2305" s="109"/>
    </row>
    <row r="2306" spans="1:45" ht="12.6" customHeight="1" x14ac:dyDescent="0.3">
      <c r="A2306" s="78"/>
      <c r="B2306" s="78"/>
      <c r="C2306" s="78"/>
      <c r="D2306" s="78"/>
      <c r="E2306" s="78"/>
      <c r="F2306" s="78"/>
      <c r="Z2306" s="109"/>
      <c r="AA2306" s="109"/>
      <c r="AB2306" s="109"/>
      <c r="AC2306" s="109"/>
      <c r="AD2306" s="109"/>
      <c r="AE2306" s="109"/>
      <c r="AF2306" s="109"/>
      <c r="AG2306" s="109"/>
      <c r="AH2306" s="109"/>
      <c r="AI2306" s="109"/>
      <c r="AJ2306" s="109"/>
      <c r="AK2306" s="109"/>
      <c r="AL2306" s="109"/>
      <c r="AM2306" s="109"/>
      <c r="AN2306" s="109"/>
      <c r="AO2306" s="109"/>
      <c r="AP2306" s="109"/>
      <c r="AQ2306" s="109"/>
      <c r="AR2306" s="109"/>
      <c r="AS2306" s="109"/>
    </row>
    <row r="2307" spans="1:45" ht="12.6" customHeight="1" x14ac:dyDescent="0.3">
      <c r="A2307" s="78"/>
      <c r="B2307" s="78"/>
      <c r="C2307" s="78"/>
      <c r="D2307" s="78"/>
      <c r="E2307" s="78"/>
      <c r="F2307" s="78"/>
      <c r="Z2307" s="109"/>
      <c r="AA2307" s="109"/>
      <c r="AB2307" s="109"/>
      <c r="AC2307" s="109"/>
      <c r="AD2307" s="109"/>
      <c r="AE2307" s="109"/>
      <c r="AF2307" s="109"/>
      <c r="AG2307" s="109"/>
      <c r="AH2307" s="109"/>
      <c r="AI2307" s="109"/>
      <c r="AJ2307" s="109"/>
      <c r="AK2307" s="109"/>
      <c r="AL2307" s="109"/>
      <c r="AM2307" s="109"/>
      <c r="AN2307" s="109"/>
      <c r="AO2307" s="109"/>
      <c r="AP2307" s="109"/>
      <c r="AQ2307" s="109"/>
      <c r="AR2307" s="109"/>
      <c r="AS2307" s="109"/>
    </row>
    <row r="2308" spans="1:45" ht="12.6" customHeight="1" x14ac:dyDescent="0.3">
      <c r="A2308" s="78"/>
      <c r="B2308" s="78"/>
      <c r="C2308" s="78"/>
      <c r="D2308" s="78"/>
      <c r="E2308" s="78"/>
      <c r="F2308" s="78"/>
      <c r="Z2308" s="109"/>
      <c r="AA2308" s="109"/>
      <c r="AB2308" s="109"/>
      <c r="AC2308" s="109"/>
      <c r="AD2308" s="109"/>
      <c r="AE2308" s="109"/>
      <c r="AF2308" s="109"/>
      <c r="AG2308" s="109"/>
      <c r="AH2308" s="109"/>
      <c r="AI2308" s="109"/>
      <c r="AJ2308" s="109"/>
      <c r="AK2308" s="109"/>
      <c r="AL2308" s="109"/>
      <c r="AM2308" s="109"/>
      <c r="AN2308" s="109"/>
      <c r="AO2308" s="109"/>
      <c r="AP2308" s="109"/>
      <c r="AQ2308" s="109"/>
      <c r="AR2308" s="109"/>
      <c r="AS2308" s="109"/>
    </row>
    <row r="2309" spans="1:45" ht="12.6" customHeight="1" x14ac:dyDescent="0.3">
      <c r="A2309" s="78"/>
      <c r="B2309" s="78"/>
      <c r="C2309" s="78"/>
      <c r="D2309" s="78"/>
      <c r="E2309" s="78"/>
      <c r="F2309" s="78"/>
      <c r="Z2309" s="109"/>
      <c r="AA2309" s="109"/>
      <c r="AB2309" s="109"/>
      <c r="AC2309" s="109"/>
      <c r="AD2309" s="109"/>
      <c r="AE2309" s="109"/>
      <c r="AF2309" s="109"/>
      <c r="AG2309" s="109"/>
      <c r="AH2309" s="109"/>
      <c r="AI2309" s="109"/>
      <c r="AJ2309" s="109"/>
      <c r="AK2309" s="109"/>
      <c r="AL2309" s="109"/>
      <c r="AM2309" s="109"/>
      <c r="AN2309" s="109"/>
      <c r="AO2309" s="109"/>
      <c r="AP2309" s="109"/>
      <c r="AQ2309" s="109"/>
      <c r="AR2309" s="109"/>
      <c r="AS2309" s="109"/>
    </row>
    <row r="2310" spans="1:45" ht="12.6" customHeight="1" x14ac:dyDescent="0.3">
      <c r="A2310" s="78"/>
      <c r="B2310" s="78"/>
      <c r="C2310" s="78"/>
      <c r="D2310" s="78"/>
      <c r="E2310" s="78"/>
      <c r="F2310" s="78"/>
      <c r="Z2310" s="109"/>
      <c r="AA2310" s="109"/>
      <c r="AB2310" s="109"/>
      <c r="AC2310" s="109"/>
      <c r="AD2310" s="109"/>
      <c r="AE2310" s="109"/>
      <c r="AF2310" s="109"/>
      <c r="AG2310" s="109"/>
      <c r="AH2310" s="109"/>
      <c r="AI2310" s="109"/>
      <c r="AJ2310" s="109"/>
      <c r="AK2310" s="109"/>
      <c r="AL2310" s="109"/>
      <c r="AM2310" s="109"/>
      <c r="AN2310" s="109"/>
      <c r="AO2310" s="109"/>
      <c r="AP2310" s="109"/>
      <c r="AQ2310" s="109"/>
      <c r="AR2310" s="109"/>
      <c r="AS2310" s="109"/>
    </row>
    <row r="2311" spans="1:45" ht="12.6" customHeight="1" x14ac:dyDescent="0.3">
      <c r="A2311" s="78"/>
      <c r="B2311" s="78"/>
      <c r="C2311" s="78"/>
      <c r="D2311" s="78"/>
      <c r="E2311" s="78"/>
      <c r="F2311" s="78"/>
      <c r="Z2311" s="109"/>
      <c r="AA2311" s="109"/>
      <c r="AB2311" s="109"/>
      <c r="AC2311" s="109"/>
      <c r="AD2311" s="109"/>
      <c r="AE2311" s="109"/>
      <c r="AF2311" s="109"/>
      <c r="AG2311" s="109"/>
      <c r="AH2311" s="109"/>
      <c r="AI2311" s="109"/>
      <c r="AJ2311" s="109"/>
      <c r="AK2311" s="109"/>
      <c r="AL2311" s="109"/>
      <c r="AM2311" s="109"/>
      <c r="AN2311" s="109"/>
      <c r="AO2311" s="109"/>
      <c r="AP2311" s="109"/>
      <c r="AQ2311" s="109"/>
      <c r="AR2311" s="109"/>
      <c r="AS2311" s="109"/>
    </row>
    <row r="2312" spans="1:45" ht="12.6" customHeight="1" x14ac:dyDescent="0.3">
      <c r="A2312" s="78"/>
      <c r="B2312" s="78"/>
      <c r="C2312" s="78"/>
      <c r="D2312" s="78"/>
      <c r="E2312" s="78"/>
      <c r="F2312" s="78"/>
      <c r="Z2312" s="109"/>
      <c r="AA2312" s="109"/>
      <c r="AB2312" s="109"/>
      <c r="AC2312" s="109"/>
      <c r="AD2312" s="109"/>
      <c r="AE2312" s="109"/>
      <c r="AF2312" s="109"/>
      <c r="AG2312" s="109"/>
      <c r="AH2312" s="109"/>
      <c r="AI2312" s="109"/>
      <c r="AJ2312" s="109"/>
      <c r="AK2312" s="109"/>
      <c r="AL2312" s="109"/>
      <c r="AM2312" s="109"/>
      <c r="AN2312" s="109"/>
      <c r="AO2312" s="109"/>
      <c r="AP2312" s="109"/>
      <c r="AQ2312" s="109"/>
      <c r="AR2312" s="109"/>
      <c r="AS2312" s="109"/>
    </row>
    <row r="2313" spans="1:45" ht="12.6" customHeight="1" x14ac:dyDescent="0.3">
      <c r="A2313" s="58"/>
      <c r="B2313" s="58"/>
      <c r="C2313" s="58"/>
      <c r="D2313" s="58"/>
      <c r="E2313" s="58"/>
      <c r="F2313" s="58"/>
      <c r="Z2313" s="109"/>
      <c r="AA2313" s="109"/>
      <c r="AB2313" s="109"/>
      <c r="AC2313" s="109"/>
      <c r="AD2313" s="109"/>
      <c r="AE2313" s="109"/>
      <c r="AF2313" s="109"/>
      <c r="AG2313" s="109"/>
      <c r="AH2313" s="109"/>
      <c r="AI2313" s="109"/>
      <c r="AJ2313" s="109"/>
      <c r="AK2313" s="109"/>
      <c r="AL2313" s="109"/>
      <c r="AM2313" s="109"/>
      <c r="AN2313" s="109"/>
      <c r="AO2313" s="109"/>
      <c r="AP2313" s="109"/>
      <c r="AQ2313" s="109"/>
      <c r="AR2313" s="109"/>
      <c r="AS2313" s="109"/>
    </row>
    <row r="2314" spans="1:45" ht="12.6" customHeight="1" x14ac:dyDescent="0.3">
      <c r="A2314" s="159" t="s">
        <v>1401</v>
      </c>
      <c r="B2314" s="152"/>
      <c r="C2314" s="55">
        <f>E2314+D2314+F2314</f>
        <v>2275</v>
      </c>
      <c r="D2314" s="54">
        <f>ROUNDDOWN(SUMIF(N2247:N2283,M2314,D2247:D2283),0)</f>
        <v>1309</v>
      </c>
      <c r="E2314" s="63">
        <f>ROUNDDOWN(SUMIF(N2247:N2283,M2314,E2247:E2283),0)</f>
        <v>423</v>
      </c>
      <c r="F2314" s="55">
        <f>ROUNDDOWN(SUMIF(N2247:N2283,M2314,F2247:F2283),0)</f>
        <v>543</v>
      </c>
      <c r="M2314" s="20" t="s">
        <v>1128</v>
      </c>
      <c r="Z2314" s="109"/>
      <c r="AA2314" s="109"/>
      <c r="AB2314" s="109"/>
      <c r="AC2314" s="109"/>
      <c r="AD2314" s="109"/>
      <c r="AE2314" s="109"/>
      <c r="AF2314" s="109"/>
      <c r="AG2314" s="109"/>
      <c r="AH2314" s="109"/>
      <c r="AI2314" s="109"/>
      <c r="AJ2314" s="109"/>
      <c r="AK2314" s="109"/>
      <c r="AL2314" s="109"/>
      <c r="AM2314" s="109"/>
      <c r="AN2314" s="109"/>
      <c r="AO2314" s="109"/>
      <c r="AP2314" s="109"/>
      <c r="AQ2314" s="109"/>
      <c r="AR2314" s="109"/>
      <c r="AS2314" s="109"/>
    </row>
    <row r="2315" spans="1:45" ht="12.6" customHeight="1" x14ac:dyDescent="0.3">
      <c r="A2315" s="95" t="s">
        <v>300</v>
      </c>
      <c r="B2315" s="96" t="s">
        <v>300</v>
      </c>
      <c r="C2315" s="158">
        <f>C2384</f>
        <v>2248</v>
      </c>
      <c r="D2315" s="158">
        <f>D2384</f>
        <v>994</v>
      </c>
      <c r="E2315" s="158">
        <f>E2384</f>
        <v>658</v>
      </c>
      <c r="F2315" s="158">
        <f>F2384</f>
        <v>596</v>
      </c>
      <c r="G2315" s="36" t="str">
        <f>HYPERLINK("#G"&amp;ROW(G2348),"_x0005_`BDCOD|D02254_x0007_`POSS|"&amp;ROW(G2317)&amp;"_x0007_`POSE|"&amp;ROW(G2348)&amp;"_x0007_`")</f>
        <v>_x0005_`BDCOD|D02254_x0007_`POSS|2317_x0007_`POSE|2348_x0007_`</v>
      </c>
      <c r="Z2315" s="109"/>
      <c r="AA2315" s="109"/>
      <c r="AB2315" s="109"/>
      <c r="AC2315" s="109"/>
      <c r="AD2315" s="109"/>
      <c r="AE2315" s="109"/>
      <c r="AF2315" s="109"/>
      <c r="AG2315" s="109"/>
      <c r="AH2315" s="109"/>
      <c r="AI2315" s="109"/>
      <c r="AJ2315" s="109"/>
      <c r="AK2315" s="109"/>
      <c r="AL2315" s="109"/>
      <c r="AM2315" s="109"/>
      <c r="AN2315" s="109"/>
      <c r="AO2315" s="109"/>
      <c r="AP2315" s="109"/>
      <c r="AQ2315" s="109"/>
      <c r="AR2315" s="109"/>
      <c r="AS2315" s="109"/>
    </row>
    <row r="2316" spans="1:45" ht="12.6" customHeight="1" x14ac:dyDescent="0.3">
      <c r="A2316" s="84"/>
      <c r="B2316" s="96" t="s">
        <v>299</v>
      </c>
      <c r="C2316" s="141"/>
      <c r="D2316" s="141"/>
      <c r="E2316" s="141"/>
      <c r="F2316" s="141"/>
      <c r="M2316" s="20" t="s">
        <v>298</v>
      </c>
      <c r="Z2316" s="109"/>
      <c r="AA2316" s="109"/>
      <c r="AB2316" s="109"/>
      <c r="AC2316" s="109"/>
      <c r="AD2316" s="109"/>
      <c r="AE2316" s="109"/>
      <c r="AF2316" s="109"/>
      <c r="AG2316" s="109"/>
      <c r="AH2316" s="109"/>
      <c r="AI2316" s="109"/>
      <c r="AJ2316" s="109"/>
      <c r="AK2316" s="109"/>
      <c r="AL2316" s="109"/>
      <c r="AM2316" s="109"/>
      <c r="AN2316" s="109"/>
      <c r="AO2316" s="109"/>
      <c r="AP2316" s="109"/>
      <c r="AQ2316" s="109"/>
      <c r="AR2316" s="109"/>
      <c r="AS2316" s="109"/>
    </row>
    <row r="2317" spans="1:45" ht="12.6" customHeight="1" x14ac:dyDescent="0.3">
      <c r="A2317" s="68"/>
      <c r="B2317" s="77" t="s">
        <v>1867</v>
      </c>
      <c r="C2317" s="98"/>
      <c r="D2317" s="98"/>
      <c r="E2317" s="98"/>
      <c r="F2317" s="98"/>
      <c r="G2317" s="16" t="s">
        <v>1866</v>
      </c>
      <c r="Z2317" s="109"/>
      <c r="AA2317" s="109"/>
      <c r="AB2317" s="109"/>
      <c r="AC2317" s="109"/>
      <c r="AD2317" s="109"/>
      <c r="AE2317" s="109"/>
      <c r="AF2317" s="109"/>
      <c r="AG2317" s="109"/>
      <c r="AH2317" s="109"/>
      <c r="AI2317" s="109"/>
      <c r="AJ2317" s="109"/>
      <c r="AK2317" s="109"/>
      <c r="AL2317" s="109"/>
      <c r="AM2317" s="109"/>
      <c r="AN2317" s="109"/>
      <c r="AO2317" s="109"/>
      <c r="AP2317" s="109"/>
      <c r="AQ2317" s="109"/>
      <c r="AR2317" s="109"/>
      <c r="AS2317" s="109"/>
    </row>
    <row r="2318" spans="1:45" ht="12.6" customHeight="1" x14ac:dyDescent="0.3">
      <c r="A2318" s="78"/>
      <c r="B2318" s="78"/>
      <c r="C2318" s="78"/>
      <c r="D2318" s="78"/>
      <c r="E2318" s="78"/>
      <c r="F2318" s="78"/>
      <c r="G2318" s="16" t="s">
        <v>1317</v>
      </c>
      <c r="Z2318" s="109"/>
      <c r="AA2318" s="109"/>
      <c r="AB2318" s="109"/>
      <c r="AC2318" s="109"/>
      <c r="AD2318" s="109"/>
      <c r="AE2318" s="109"/>
      <c r="AF2318" s="109"/>
      <c r="AG2318" s="109"/>
      <c r="AH2318" s="109"/>
      <c r="AI2318" s="109"/>
      <c r="AJ2318" s="109"/>
      <c r="AK2318" s="109"/>
      <c r="AL2318" s="109"/>
      <c r="AM2318" s="109"/>
      <c r="AN2318" s="109"/>
      <c r="AO2318" s="109"/>
      <c r="AP2318" s="109"/>
      <c r="AQ2318" s="109"/>
      <c r="AR2318" s="109"/>
      <c r="AS2318" s="109"/>
    </row>
    <row r="2319" spans="1:45" ht="12.6" customHeight="1" x14ac:dyDescent="0.3">
      <c r="A2319" s="68"/>
      <c r="B2319" s="97" t="str">
        <f>"   도자 19 Ton     ( L1="&amp;Z2319&amp;" m) "</f>
        <v xml:space="preserve">   도자 19 Ton     ( L1=43.66 m) </v>
      </c>
      <c r="C2319" s="78"/>
      <c r="D2319" s="78"/>
      <c r="E2319" s="78"/>
      <c r="F2319" s="78"/>
      <c r="G2319" s="16" t="s">
        <v>2098</v>
      </c>
      <c r="Z2319" s="110">
        <v>43.66</v>
      </c>
      <c r="AA2319" s="20" t="s">
        <v>1326</v>
      </c>
      <c r="AB2319" s="112">
        <f>Z2319</f>
        <v>43.66</v>
      </c>
      <c r="AC2319" s="109"/>
      <c r="AD2319" s="109"/>
      <c r="AE2319" s="109"/>
      <c r="AF2319" s="109"/>
      <c r="AG2319" s="109"/>
      <c r="AH2319" s="109"/>
      <c r="AI2319" s="109"/>
      <c r="AJ2319" s="109"/>
      <c r="AK2319" s="109"/>
      <c r="AL2319" s="109"/>
      <c r="AM2319" s="109"/>
      <c r="AN2319" s="109"/>
      <c r="AO2319" s="109"/>
      <c r="AP2319" s="109"/>
      <c r="AQ2319" s="109"/>
      <c r="AR2319" s="109"/>
      <c r="AS2319" s="109"/>
    </row>
    <row r="2320" spans="1:45" ht="12.6" customHeight="1" x14ac:dyDescent="0.3">
      <c r="A2320" s="78"/>
      <c r="B2320" s="78"/>
      <c r="C2320" s="78"/>
      <c r="D2320" s="78"/>
      <c r="E2320" s="78"/>
      <c r="F2320" s="78"/>
      <c r="G2320" s="16" t="s">
        <v>1317</v>
      </c>
      <c r="Z2320" s="109"/>
      <c r="AA2320" s="109"/>
      <c r="AB2320" s="109"/>
      <c r="AC2320" s="109"/>
      <c r="AD2320" s="109"/>
      <c r="AE2320" s="109"/>
      <c r="AF2320" s="109"/>
      <c r="AG2320" s="109"/>
      <c r="AH2320" s="109"/>
      <c r="AI2320" s="109"/>
      <c r="AJ2320" s="109"/>
      <c r="AK2320" s="109"/>
      <c r="AL2320" s="109"/>
      <c r="AM2320" s="109"/>
      <c r="AN2320" s="109"/>
      <c r="AO2320" s="109"/>
      <c r="AP2320" s="109"/>
      <c r="AQ2320" s="109"/>
      <c r="AR2320" s="109"/>
      <c r="AS2320" s="109"/>
    </row>
    <row r="2321" spans="1:45" ht="12.6" customHeight="1" x14ac:dyDescent="0.3">
      <c r="A2321" s="68"/>
      <c r="B2321" s="97" t="str">
        <f>" L (운반거리) = L1-"&amp;AB2321&amp;"= "&amp;AD2321&amp;" m "</f>
        <v xml:space="preserve"> L (운반거리) = L1-20= 23.66 m </v>
      </c>
      <c r="C2321" s="78"/>
      <c r="D2321" s="78"/>
      <c r="E2321" s="78"/>
      <c r="F2321" s="78"/>
      <c r="G2321" s="16" t="s">
        <v>1869</v>
      </c>
      <c r="Z2321" s="112">
        <f>AB2319</f>
        <v>43.66</v>
      </c>
      <c r="AA2321" s="20" t="s">
        <v>1407</v>
      </c>
      <c r="AB2321" s="111">
        <v>20</v>
      </c>
      <c r="AC2321" s="20" t="s">
        <v>1326</v>
      </c>
      <c r="AD2321" s="112" t="str">
        <f>TEXT(ROUND(AB2319-AB2321,2),"0.00")</f>
        <v>23.66</v>
      </c>
      <c r="AE2321" s="109"/>
      <c r="AF2321" s="109"/>
      <c r="AG2321" s="109"/>
      <c r="AH2321" s="109"/>
      <c r="AI2321" s="109"/>
      <c r="AJ2321" s="109"/>
      <c r="AK2321" s="109"/>
      <c r="AL2321" s="109"/>
      <c r="AM2321" s="109"/>
      <c r="AN2321" s="109"/>
      <c r="AO2321" s="109"/>
      <c r="AP2321" s="109"/>
      <c r="AQ2321" s="109"/>
      <c r="AR2321" s="109"/>
      <c r="AS2321" s="109"/>
    </row>
    <row r="2322" spans="1:45" ht="12.6" customHeight="1" x14ac:dyDescent="0.3">
      <c r="A2322" s="78"/>
      <c r="B2322" s="78"/>
      <c r="C2322" s="78"/>
      <c r="D2322" s="78"/>
      <c r="E2322" s="78"/>
      <c r="F2322" s="78"/>
      <c r="G2322" s="16" t="s">
        <v>1317</v>
      </c>
      <c r="Z2322" s="109"/>
      <c r="AA2322" s="109"/>
      <c r="AB2322" s="109"/>
      <c r="AC2322" s="109"/>
      <c r="AD2322" s="109"/>
      <c r="AE2322" s="109"/>
      <c r="AF2322" s="109"/>
      <c r="AG2322" s="109"/>
      <c r="AH2322" s="109"/>
      <c r="AI2322" s="109"/>
      <c r="AJ2322" s="109"/>
      <c r="AK2322" s="109"/>
      <c r="AL2322" s="109"/>
      <c r="AM2322" s="109"/>
      <c r="AN2322" s="109"/>
      <c r="AO2322" s="109"/>
      <c r="AP2322" s="109"/>
      <c r="AQ2322" s="109"/>
      <c r="AR2322" s="109"/>
      <c r="AS2322" s="109"/>
    </row>
    <row r="2323" spans="1:45" ht="12.6" customHeight="1" x14ac:dyDescent="0.3">
      <c r="A2323" s="68"/>
      <c r="B2323" s="97" t="str">
        <f>" f (토량의 체적 환산계수)  = "&amp;Z2323&amp;"/"&amp;AB2323&amp;" = "&amp;AD2323&amp;""</f>
        <v xml:space="preserve"> f (토량의 체적 환산계수)  = 0.9/1.25 = 0.72</v>
      </c>
      <c r="C2323" s="78"/>
      <c r="D2323" s="78"/>
      <c r="E2323" s="78"/>
      <c r="F2323" s="78"/>
      <c r="G2323" s="16" t="s">
        <v>1870</v>
      </c>
      <c r="Z2323" s="110">
        <v>0.9</v>
      </c>
      <c r="AA2323" s="20" t="s">
        <v>1387</v>
      </c>
      <c r="AB2323" s="110">
        <v>1.25</v>
      </c>
      <c r="AC2323" s="20" t="s">
        <v>1326</v>
      </c>
      <c r="AD2323" s="112" t="str">
        <f>TEXT(ROUND(Z2323/AB2323,2),"0.00")</f>
        <v>0.72</v>
      </c>
      <c r="AE2323" s="109"/>
      <c r="AF2323" s="109"/>
      <c r="AG2323" s="109"/>
      <c r="AH2323" s="109"/>
      <c r="AI2323" s="109"/>
      <c r="AJ2323" s="109"/>
      <c r="AK2323" s="109"/>
      <c r="AL2323" s="109"/>
      <c r="AM2323" s="109"/>
      <c r="AN2323" s="109"/>
      <c r="AO2323" s="109"/>
      <c r="AP2323" s="109"/>
      <c r="AQ2323" s="109"/>
      <c r="AR2323" s="109"/>
      <c r="AS2323" s="109"/>
    </row>
    <row r="2324" spans="1:45" ht="12.6" customHeight="1" x14ac:dyDescent="0.3">
      <c r="A2324" s="78"/>
      <c r="B2324" s="78"/>
      <c r="C2324" s="78"/>
      <c r="D2324" s="78"/>
      <c r="E2324" s="78"/>
      <c r="F2324" s="78"/>
      <c r="G2324" s="16" t="s">
        <v>1317</v>
      </c>
      <c r="Z2324" s="109"/>
      <c r="AA2324" s="109"/>
      <c r="AB2324" s="109"/>
      <c r="AC2324" s="109"/>
      <c r="AD2324" s="109"/>
      <c r="AE2324" s="109"/>
      <c r="AF2324" s="109"/>
      <c r="AG2324" s="109"/>
      <c r="AH2324" s="109"/>
      <c r="AI2324" s="109"/>
      <c r="AJ2324" s="109"/>
      <c r="AK2324" s="109"/>
      <c r="AL2324" s="109"/>
      <c r="AM2324" s="109"/>
      <c r="AN2324" s="109"/>
      <c r="AO2324" s="109"/>
      <c r="AP2324" s="109"/>
      <c r="AQ2324" s="109"/>
      <c r="AR2324" s="109"/>
      <c r="AS2324" s="109"/>
    </row>
    <row r="2325" spans="1:45" ht="12.6" customHeight="1" x14ac:dyDescent="0.3">
      <c r="A2325" s="68"/>
      <c r="B2325" s="97" t="str">
        <f>" E (작업효율) = "&amp;Z2325&amp;" , qo (거리를 고려하지 않은 삽날의 용량) = "&amp;AD2325&amp;""</f>
        <v xml:space="preserve"> E (작업효율) = 0.45 , qo (거리를 고려하지 않은 삽날의 용량) = 3.2</v>
      </c>
      <c r="C2325" s="78"/>
      <c r="D2325" s="78"/>
      <c r="E2325" s="78"/>
      <c r="F2325" s="78"/>
      <c r="G2325" s="16" t="s">
        <v>1871</v>
      </c>
      <c r="Z2325" s="110">
        <v>0.45</v>
      </c>
      <c r="AA2325" s="20" t="s">
        <v>1326</v>
      </c>
      <c r="AB2325" s="112">
        <f>Z2325</f>
        <v>0.45</v>
      </c>
      <c r="AC2325" s="20" t="s">
        <v>1385</v>
      </c>
      <c r="AD2325" s="110">
        <v>3.2</v>
      </c>
      <c r="AE2325" s="20" t="s">
        <v>1326</v>
      </c>
      <c r="AF2325" s="112">
        <f>AD2325</f>
        <v>3.2</v>
      </c>
      <c r="AG2325" s="20" t="s">
        <v>1385</v>
      </c>
      <c r="AH2325" s="109"/>
      <c r="AI2325" s="109"/>
      <c r="AJ2325" s="109"/>
      <c r="AK2325" s="109"/>
      <c r="AL2325" s="109"/>
      <c r="AM2325" s="109"/>
      <c r="AN2325" s="109"/>
      <c r="AO2325" s="109"/>
      <c r="AP2325" s="109"/>
      <c r="AQ2325" s="109"/>
      <c r="AR2325" s="109"/>
      <c r="AS2325" s="109"/>
    </row>
    <row r="2326" spans="1:45" ht="12.6" customHeight="1" x14ac:dyDescent="0.3">
      <c r="A2326" s="78"/>
      <c r="B2326" s="78"/>
      <c r="C2326" s="78"/>
      <c r="D2326" s="78"/>
      <c r="E2326" s="78"/>
      <c r="F2326" s="78"/>
      <c r="G2326" s="16" t="s">
        <v>1317</v>
      </c>
      <c r="Z2326" s="109"/>
      <c r="AA2326" s="109"/>
      <c r="AB2326" s="109"/>
      <c r="AC2326" s="109"/>
      <c r="AD2326" s="109"/>
      <c r="AE2326" s="109"/>
      <c r="AF2326" s="109"/>
      <c r="AG2326" s="109"/>
      <c r="AH2326" s="109"/>
      <c r="AI2326" s="109"/>
      <c r="AJ2326" s="109"/>
      <c r="AK2326" s="109"/>
      <c r="AL2326" s="109"/>
      <c r="AM2326" s="109"/>
      <c r="AN2326" s="109"/>
      <c r="AO2326" s="109"/>
      <c r="AP2326" s="109"/>
      <c r="AQ2326" s="109"/>
      <c r="AR2326" s="109"/>
      <c r="AS2326" s="109"/>
    </row>
    <row r="2327" spans="1:45" ht="12.6" customHeight="1" x14ac:dyDescent="0.3">
      <c r="A2327" s="68"/>
      <c r="B2327" s="97" t="str">
        <f>" eo (운반거리계수) = "&amp;Z2327&amp;""</f>
        <v xml:space="preserve"> eo (운반거리계수) = 0.92</v>
      </c>
      <c r="C2327" s="78"/>
      <c r="D2327" s="78"/>
      <c r="E2327" s="78"/>
      <c r="F2327" s="78"/>
      <c r="G2327" s="16" t="s">
        <v>1872</v>
      </c>
      <c r="Z2327" s="110">
        <v>0.92</v>
      </c>
      <c r="AA2327" s="20" t="s">
        <v>1326</v>
      </c>
      <c r="AB2327" s="112">
        <f>Z2327</f>
        <v>0.92</v>
      </c>
      <c r="AC2327" s="109"/>
      <c r="AD2327" s="109"/>
      <c r="AE2327" s="109"/>
      <c r="AF2327" s="109"/>
      <c r="AG2327" s="109"/>
      <c r="AH2327" s="109"/>
      <c r="AI2327" s="109"/>
      <c r="AJ2327" s="109"/>
      <c r="AK2327" s="109"/>
      <c r="AL2327" s="109"/>
      <c r="AM2327" s="109"/>
      <c r="AN2327" s="109"/>
      <c r="AO2327" s="109"/>
      <c r="AP2327" s="109"/>
      <c r="AQ2327" s="109"/>
      <c r="AR2327" s="109"/>
      <c r="AS2327" s="109"/>
    </row>
    <row r="2328" spans="1:45" ht="12.6" customHeight="1" x14ac:dyDescent="0.3">
      <c r="A2328" s="78"/>
      <c r="B2328" s="78"/>
      <c r="C2328" s="78"/>
      <c r="D2328" s="78"/>
      <c r="E2328" s="78"/>
      <c r="F2328" s="78"/>
      <c r="G2328" s="16" t="s">
        <v>1317</v>
      </c>
      <c r="Z2328" s="109"/>
      <c r="AA2328" s="109"/>
      <c r="AB2328" s="109"/>
      <c r="AC2328" s="109"/>
      <c r="AD2328" s="109"/>
      <c r="AE2328" s="109"/>
      <c r="AF2328" s="109"/>
      <c r="AG2328" s="109"/>
      <c r="AH2328" s="109"/>
      <c r="AI2328" s="109"/>
      <c r="AJ2328" s="109"/>
      <c r="AK2328" s="109"/>
      <c r="AL2328" s="109"/>
      <c r="AM2328" s="109"/>
      <c r="AN2328" s="109"/>
      <c r="AO2328" s="109"/>
      <c r="AP2328" s="109"/>
      <c r="AQ2328" s="109"/>
      <c r="AR2328" s="109"/>
      <c r="AS2328" s="109"/>
    </row>
    <row r="2329" spans="1:45" ht="12.6" customHeight="1" x14ac:dyDescent="0.3">
      <c r="A2329" s="68"/>
      <c r="B2329" s="77" t="s">
        <v>1874</v>
      </c>
      <c r="C2329" s="78"/>
      <c r="D2329" s="78"/>
      <c r="E2329" s="78"/>
      <c r="F2329" s="78"/>
      <c r="G2329" s="16" t="s">
        <v>1873</v>
      </c>
      <c r="Z2329" s="109"/>
      <c r="AA2329" s="109"/>
      <c r="AB2329" s="109"/>
      <c r="AC2329" s="109"/>
      <c r="AD2329" s="109"/>
      <c r="AE2329" s="109"/>
      <c r="AF2329" s="109"/>
      <c r="AG2329" s="109"/>
      <c r="AH2329" s="109"/>
      <c r="AI2329" s="109"/>
      <c r="AJ2329" s="109"/>
      <c r="AK2329" s="109"/>
      <c r="AL2329" s="109"/>
      <c r="AM2329" s="109"/>
      <c r="AN2329" s="109"/>
      <c r="AO2329" s="109"/>
      <c r="AP2329" s="109"/>
      <c r="AQ2329" s="109"/>
      <c r="AR2329" s="109"/>
      <c r="AS2329" s="109"/>
    </row>
    <row r="2330" spans="1:45" ht="12.6" customHeight="1" x14ac:dyDescent="0.3">
      <c r="A2330" s="78"/>
      <c r="B2330" s="78"/>
      <c r="C2330" s="78"/>
      <c r="D2330" s="78"/>
      <c r="E2330" s="78"/>
      <c r="F2330" s="78"/>
      <c r="G2330" s="16" t="s">
        <v>1317</v>
      </c>
      <c r="Z2330" s="109"/>
      <c r="AA2330" s="109"/>
      <c r="AB2330" s="109"/>
      <c r="AC2330" s="109"/>
      <c r="AD2330" s="109"/>
      <c r="AE2330" s="109"/>
      <c r="AF2330" s="109"/>
      <c r="AG2330" s="109"/>
      <c r="AH2330" s="109"/>
      <c r="AI2330" s="109"/>
      <c r="AJ2330" s="109"/>
      <c r="AK2330" s="109"/>
      <c r="AL2330" s="109"/>
      <c r="AM2330" s="109"/>
      <c r="AN2330" s="109"/>
      <c r="AO2330" s="109"/>
      <c r="AP2330" s="109"/>
      <c r="AQ2330" s="109"/>
      <c r="AR2330" s="109"/>
      <c r="AS2330" s="109"/>
    </row>
    <row r="2331" spans="1:45" ht="12.6" customHeight="1" x14ac:dyDescent="0.3">
      <c r="A2331" s="68"/>
      <c r="B2331" s="77" t="s">
        <v>1876</v>
      </c>
      <c r="C2331" s="78"/>
      <c r="D2331" s="78"/>
      <c r="E2331" s="78"/>
      <c r="F2331" s="78"/>
      <c r="G2331" s="16" t="s">
        <v>1875</v>
      </c>
      <c r="Z2331" s="109"/>
      <c r="AA2331" s="109"/>
      <c r="AB2331" s="109"/>
      <c r="AC2331" s="109"/>
      <c r="AD2331" s="109"/>
      <c r="AE2331" s="109"/>
      <c r="AF2331" s="109"/>
      <c r="AG2331" s="109"/>
      <c r="AH2331" s="109"/>
      <c r="AI2331" s="109"/>
      <c r="AJ2331" s="109"/>
      <c r="AK2331" s="109"/>
      <c r="AL2331" s="109"/>
      <c r="AM2331" s="109"/>
      <c r="AN2331" s="109"/>
      <c r="AO2331" s="109"/>
      <c r="AP2331" s="109"/>
      <c r="AQ2331" s="109"/>
      <c r="AR2331" s="109"/>
      <c r="AS2331" s="109"/>
    </row>
    <row r="2332" spans="1:45" ht="12.6" customHeight="1" x14ac:dyDescent="0.3">
      <c r="A2332" s="78"/>
      <c r="B2332" s="78"/>
      <c r="C2332" s="78"/>
      <c r="D2332" s="78"/>
      <c r="E2332" s="78"/>
      <c r="F2332" s="78"/>
      <c r="G2332" s="16" t="s">
        <v>1317</v>
      </c>
      <c r="Z2332" s="109"/>
      <c r="AA2332" s="109"/>
      <c r="AB2332" s="109"/>
      <c r="AC2332" s="109"/>
      <c r="AD2332" s="109"/>
      <c r="AE2332" s="109"/>
      <c r="AF2332" s="109"/>
      <c r="AG2332" s="109"/>
      <c r="AH2332" s="109"/>
      <c r="AI2332" s="109"/>
      <c r="AJ2332" s="109"/>
      <c r="AK2332" s="109"/>
      <c r="AL2332" s="109"/>
      <c r="AM2332" s="109"/>
      <c r="AN2332" s="109"/>
      <c r="AO2332" s="109"/>
      <c r="AP2332" s="109"/>
      <c r="AQ2332" s="109"/>
      <c r="AR2332" s="109"/>
      <c r="AS2332" s="109"/>
    </row>
    <row r="2333" spans="1:45" ht="12.6" customHeight="1" x14ac:dyDescent="0.3">
      <c r="A2333" s="68"/>
      <c r="B2333" s="97" t="str">
        <f>" P=qo*eo= "&amp;AD2333&amp;""</f>
        <v xml:space="preserve"> P=qo*eo= 2.94</v>
      </c>
      <c r="C2333" s="78"/>
      <c r="D2333" s="78"/>
      <c r="E2333" s="78"/>
      <c r="F2333" s="78"/>
      <c r="G2333" s="16" t="s">
        <v>1877</v>
      </c>
      <c r="Z2333" s="112">
        <f>AF2325</f>
        <v>3.2</v>
      </c>
      <c r="AA2333" s="20" t="s">
        <v>1390</v>
      </c>
      <c r="AB2333" s="112">
        <f>AB2327</f>
        <v>0.92</v>
      </c>
      <c r="AC2333" s="20" t="s">
        <v>1326</v>
      </c>
      <c r="AD2333" s="112" t="str">
        <f>TEXT(ROUND(AF2325*AB2327,2),"0.00")</f>
        <v>2.94</v>
      </c>
      <c r="AE2333" s="109"/>
      <c r="AF2333" s="109"/>
      <c r="AG2333" s="109"/>
      <c r="AH2333" s="109"/>
      <c r="AI2333" s="109"/>
      <c r="AJ2333" s="109"/>
      <c r="AK2333" s="109"/>
      <c r="AL2333" s="109"/>
      <c r="AM2333" s="109"/>
      <c r="AN2333" s="109"/>
      <c r="AO2333" s="109"/>
      <c r="AP2333" s="109"/>
      <c r="AQ2333" s="109"/>
      <c r="AR2333" s="109"/>
      <c r="AS2333" s="109"/>
    </row>
    <row r="2334" spans="1:45" ht="12.6" customHeight="1" x14ac:dyDescent="0.3">
      <c r="A2334" s="78"/>
      <c r="B2334" s="78"/>
      <c r="C2334" s="78"/>
      <c r="D2334" s="78"/>
      <c r="E2334" s="78"/>
      <c r="F2334" s="78"/>
      <c r="G2334" s="16" t="s">
        <v>1317</v>
      </c>
      <c r="Z2334" s="109"/>
      <c r="AA2334" s="109"/>
      <c r="AB2334" s="109"/>
      <c r="AC2334" s="109"/>
      <c r="AD2334" s="109"/>
      <c r="AE2334" s="109"/>
      <c r="AF2334" s="109"/>
      <c r="AG2334" s="109"/>
      <c r="AH2334" s="109"/>
      <c r="AI2334" s="109"/>
      <c r="AJ2334" s="109"/>
      <c r="AK2334" s="109"/>
      <c r="AL2334" s="109"/>
      <c r="AM2334" s="109"/>
      <c r="AN2334" s="109"/>
      <c r="AO2334" s="109"/>
      <c r="AP2334" s="109"/>
      <c r="AQ2334" s="109"/>
      <c r="AR2334" s="109"/>
      <c r="AS2334" s="109"/>
    </row>
    <row r="2335" spans="1:45" ht="12.6" customHeight="1" x14ac:dyDescent="0.3">
      <c r="A2335" s="68"/>
      <c r="B2335" s="97" t="str">
        <f>" V1 (전진속도) = "&amp;Z2335&amp;" m/min  , V2 (후진속도) = "&amp;AD2335&amp;" m/min "</f>
        <v xml:space="preserve"> V1 (전진속도) = 55 m/min  , V2 (후진속도) = 70 m/min </v>
      </c>
      <c r="C2335" s="78"/>
      <c r="D2335" s="78"/>
      <c r="E2335" s="78"/>
      <c r="F2335" s="78"/>
      <c r="G2335" s="16" t="s">
        <v>1878</v>
      </c>
      <c r="Z2335" s="111">
        <v>55</v>
      </c>
      <c r="AA2335" s="20" t="s">
        <v>1326</v>
      </c>
      <c r="AB2335" s="112">
        <f>Z2335</f>
        <v>55</v>
      </c>
      <c r="AC2335" s="20" t="s">
        <v>1385</v>
      </c>
      <c r="AD2335" s="111">
        <v>70</v>
      </c>
      <c r="AE2335" s="20" t="s">
        <v>1326</v>
      </c>
      <c r="AF2335" s="112">
        <f>AD2335</f>
        <v>70</v>
      </c>
      <c r="AG2335" s="20" t="s">
        <v>1385</v>
      </c>
      <c r="AH2335" s="109"/>
      <c r="AI2335" s="109"/>
      <c r="AJ2335" s="109"/>
      <c r="AK2335" s="109"/>
      <c r="AL2335" s="109"/>
      <c r="AM2335" s="109"/>
      <c r="AN2335" s="109"/>
      <c r="AO2335" s="109"/>
      <c r="AP2335" s="109"/>
      <c r="AQ2335" s="109"/>
      <c r="AR2335" s="109"/>
      <c r="AS2335" s="109"/>
    </row>
    <row r="2336" spans="1:45" ht="12.6" customHeight="1" x14ac:dyDescent="0.3">
      <c r="A2336" s="78"/>
      <c r="B2336" s="78"/>
      <c r="C2336" s="78"/>
      <c r="D2336" s="78"/>
      <c r="E2336" s="78"/>
      <c r="F2336" s="78"/>
      <c r="G2336" s="16" t="s">
        <v>1317</v>
      </c>
      <c r="Z2336" s="109"/>
      <c r="AA2336" s="109"/>
      <c r="AB2336" s="109"/>
      <c r="AC2336" s="109"/>
      <c r="AD2336" s="109"/>
      <c r="AE2336" s="109"/>
      <c r="AF2336" s="109"/>
      <c r="AG2336" s="109"/>
      <c r="AH2336" s="109"/>
      <c r="AI2336" s="109"/>
      <c r="AJ2336" s="109"/>
      <c r="AK2336" s="109"/>
      <c r="AL2336" s="109"/>
      <c r="AM2336" s="109"/>
      <c r="AN2336" s="109"/>
      <c r="AO2336" s="109"/>
      <c r="AP2336" s="109"/>
      <c r="AQ2336" s="109"/>
      <c r="AR2336" s="109"/>
      <c r="AS2336" s="109"/>
    </row>
    <row r="2337" spans="1:45" ht="12.6" customHeight="1" x14ac:dyDescent="0.3">
      <c r="A2337" s="68"/>
      <c r="B2337" s="97" t="str">
        <f>" Cm (1회 사이클 시간(분)) = L/V1 + L/V2 + "&amp;AH2337&amp;" = "&amp;AJ2337&amp;" 분 "</f>
        <v xml:space="preserve"> Cm (1회 사이클 시간(분)) = L/V1 + L/V2 + 0.25 = 1.02 분 </v>
      </c>
      <c r="C2337" s="78"/>
      <c r="D2337" s="78"/>
      <c r="E2337" s="78"/>
      <c r="F2337" s="78"/>
      <c r="G2337" s="16" t="s">
        <v>1879</v>
      </c>
      <c r="Z2337" s="112" t="str">
        <f>AD2321</f>
        <v>23.66</v>
      </c>
      <c r="AA2337" s="20" t="s">
        <v>1387</v>
      </c>
      <c r="AB2337" s="112">
        <f>AB2335</f>
        <v>55</v>
      </c>
      <c r="AC2337" s="20" t="s">
        <v>1535</v>
      </c>
      <c r="AD2337" s="112" t="str">
        <f>AD2321</f>
        <v>23.66</v>
      </c>
      <c r="AE2337" s="20" t="s">
        <v>1387</v>
      </c>
      <c r="AF2337" s="112">
        <f>AF2335</f>
        <v>70</v>
      </c>
      <c r="AG2337" s="20" t="s">
        <v>1535</v>
      </c>
      <c r="AH2337" s="110">
        <v>0.25</v>
      </c>
      <c r="AI2337" s="20" t="s">
        <v>1326</v>
      </c>
      <c r="AJ2337" s="112" t="str">
        <f>TEXT(ROUND(AD2321/AB2335+AD2321/AF2335+AH2337,2),"0.00")</f>
        <v>1.02</v>
      </c>
      <c r="AK2337" s="109"/>
      <c r="AL2337" s="109"/>
      <c r="AM2337" s="109"/>
      <c r="AN2337" s="109"/>
      <c r="AO2337" s="109"/>
      <c r="AP2337" s="109"/>
      <c r="AQ2337" s="109"/>
      <c r="AR2337" s="109"/>
      <c r="AS2337" s="109"/>
    </row>
    <row r="2338" spans="1:45" ht="12.6" customHeight="1" x14ac:dyDescent="0.3">
      <c r="A2338" s="78"/>
      <c r="B2338" s="78"/>
      <c r="C2338" s="78"/>
      <c r="D2338" s="78"/>
      <c r="E2338" s="78"/>
      <c r="F2338" s="78"/>
      <c r="G2338" s="16" t="s">
        <v>1317</v>
      </c>
      <c r="Z2338" s="109"/>
      <c r="AA2338" s="109"/>
      <c r="AB2338" s="109"/>
      <c r="AC2338" s="109"/>
      <c r="AD2338" s="109"/>
      <c r="AE2338" s="109"/>
      <c r="AF2338" s="109"/>
      <c r="AG2338" s="109"/>
      <c r="AH2338" s="109"/>
      <c r="AI2338" s="109"/>
      <c r="AJ2338" s="109"/>
      <c r="AK2338" s="109"/>
      <c r="AL2338" s="109"/>
      <c r="AM2338" s="109"/>
      <c r="AN2338" s="109"/>
      <c r="AO2338" s="109"/>
      <c r="AP2338" s="109"/>
      <c r="AQ2338" s="109"/>
      <c r="AR2338" s="109"/>
      <c r="AS2338" s="109"/>
    </row>
    <row r="2339" spans="1:45" ht="12.6" customHeight="1" x14ac:dyDescent="0.3">
      <c r="A2339" s="68"/>
      <c r="B2339" s="97" t="str">
        <f>" Q  (시간당 작업량) = "&amp;Z2339&amp;" * P * f * E / Cm = "&amp;AJ2339&amp;" m3/hr "</f>
        <v xml:space="preserve"> Q  (시간당 작업량) = 60 * P * f * E / Cm = 56.03 m3/hr </v>
      </c>
      <c r="C2339" s="78"/>
      <c r="D2339" s="78"/>
      <c r="E2339" s="78"/>
      <c r="F2339" s="78"/>
      <c r="G2339" s="16" t="s">
        <v>1880</v>
      </c>
      <c r="Z2339" s="111">
        <v>60</v>
      </c>
      <c r="AA2339" s="20" t="s">
        <v>1390</v>
      </c>
      <c r="AB2339" s="112" t="str">
        <f>AD2333</f>
        <v>2.94</v>
      </c>
      <c r="AC2339" s="20" t="s">
        <v>1390</v>
      </c>
      <c r="AD2339" s="112" t="str">
        <f>AD2323</f>
        <v>0.72</v>
      </c>
      <c r="AE2339" s="20" t="s">
        <v>1390</v>
      </c>
      <c r="AF2339" s="112">
        <f>AB2325</f>
        <v>0.45</v>
      </c>
      <c r="AG2339" s="20" t="s">
        <v>1387</v>
      </c>
      <c r="AH2339" s="112" t="str">
        <f>AJ2337</f>
        <v>1.02</v>
      </c>
      <c r="AI2339" s="20" t="s">
        <v>1326</v>
      </c>
      <c r="AJ2339" s="112" t="str">
        <f>TEXT(ROUND(Z2339*AD2333*AD2323*AB2325/AJ2337,2),"0.00")</f>
        <v>56.03</v>
      </c>
      <c r="AK2339" s="109"/>
      <c r="AL2339" s="109"/>
      <c r="AM2339" s="109"/>
      <c r="AN2339" s="109"/>
      <c r="AO2339" s="109"/>
      <c r="AP2339" s="109"/>
      <c r="AQ2339" s="109"/>
      <c r="AR2339" s="109"/>
      <c r="AS2339" s="109"/>
    </row>
    <row r="2340" spans="1:45" ht="12.6" customHeight="1" x14ac:dyDescent="0.3">
      <c r="A2340" s="78"/>
      <c r="B2340" s="78"/>
      <c r="C2340" s="78"/>
      <c r="D2340" s="78"/>
      <c r="E2340" s="78"/>
      <c r="F2340" s="78"/>
      <c r="G2340" s="16" t="s">
        <v>1317</v>
      </c>
      <c r="Z2340" s="109"/>
      <c r="AA2340" s="109"/>
      <c r="AB2340" s="109"/>
      <c r="AC2340" s="109"/>
      <c r="AD2340" s="109"/>
      <c r="AE2340" s="109"/>
      <c r="AF2340" s="109"/>
      <c r="AG2340" s="109"/>
      <c r="AH2340" s="109"/>
      <c r="AI2340" s="109"/>
      <c r="AJ2340" s="109"/>
      <c r="AK2340" s="109"/>
      <c r="AL2340" s="109"/>
      <c r="AM2340" s="109"/>
      <c r="AN2340" s="109"/>
      <c r="AO2340" s="109"/>
      <c r="AP2340" s="109"/>
      <c r="AQ2340" s="109"/>
      <c r="AR2340" s="109"/>
      <c r="AS2340" s="109"/>
    </row>
    <row r="2341" spans="1:45" ht="12.6" customHeight="1" x14ac:dyDescent="0.3">
      <c r="A2341" s="78"/>
      <c r="B2341" s="78"/>
      <c r="C2341" s="78"/>
      <c r="D2341" s="78"/>
      <c r="E2341" s="78"/>
      <c r="F2341" s="78"/>
      <c r="G2341" s="16" t="s">
        <v>1317</v>
      </c>
      <c r="Z2341" s="109"/>
      <c r="AA2341" s="109"/>
      <c r="AB2341" s="109"/>
      <c r="AC2341" s="109"/>
      <c r="AD2341" s="109"/>
      <c r="AE2341" s="109"/>
      <c r="AF2341" s="109"/>
      <c r="AG2341" s="109"/>
      <c r="AH2341" s="109"/>
      <c r="AI2341" s="109"/>
      <c r="AJ2341" s="109"/>
      <c r="AK2341" s="109"/>
      <c r="AL2341" s="109"/>
      <c r="AM2341" s="109"/>
      <c r="AN2341" s="109"/>
      <c r="AO2341" s="109"/>
      <c r="AP2341" s="109"/>
      <c r="AQ2341" s="109"/>
      <c r="AR2341" s="109"/>
      <c r="AS2341" s="109"/>
    </row>
    <row r="2342" spans="1:45" ht="12.6" customHeight="1" x14ac:dyDescent="0.3">
      <c r="A2342" s="68" t="s">
        <v>1882</v>
      </c>
      <c r="B2342" s="97" t="str">
        <f>" 노 무 비  :   "&amp;TEXT(I2342,"#,##0"&amp;IF(I2342&lt;&gt;INT(I2342),".###",""))&amp;" / Q = "&amp;TEXT(C2342,"#,##0.0")&amp;""</f>
        <v xml:space="preserve"> 노 무 비  :   55,700 / Q = 994.1</v>
      </c>
      <c r="C2342" s="99">
        <f>E2342+D2342+F2342</f>
        <v>994.1</v>
      </c>
      <c r="D2342" s="99">
        <f>IF(H2342=0,0,ROUNDDOWN(J2342*H2342,1))</f>
        <v>994.1</v>
      </c>
      <c r="E2342" s="99">
        <f>IF(H2342=0,0,ROUNDDOWN(K2342*H2342,1))</f>
        <v>0</v>
      </c>
      <c r="F2342" s="99">
        <f>IF(H2342=0,0,ROUNDDOWN(L2342*H2342,1))</f>
        <v>0</v>
      </c>
      <c r="G2342" s="16" t="s">
        <v>1881</v>
      </c>
      <c r="H2342" s="105">
        <f>AC2342</f>
        <v>1.7847581652686059E-2</v>
      </c>
      <c r="I2342" s="106">
        <f>K2342+J2342+L2342</f>
        <v>55700</v>
      </c>
      <c r="J2342" s="39">
        <f>중기목록표!F4</f>
        <v>55700</v>
      </c>
      <c r="M2342" s="20" t="s">
        <v>1883</v>
      </c>
      <c r="N2342" s="20" t="s">
        <v>1332</v>
      </c>
      <c r="X2342" s="108" t="str">
        <f>중기목록표!B4&amp;" / "&amp;중기목록표!C4</f>
        <v>불도우저19ton / (토사)</v>
      </c>
      <c r="Y2342" s="19" t="str">
        <f ca="1">HYPERLINK("#"&amp;중기목록표!J2&amp;"!A"&amp;ROW(중기목록표!A4),"중기    1 →")</f>
        <v>중기    1 →</v>
      </c>
      <c r="Z2342" s="20" t="s">
        <v>1393</v>
      </c>
      <c r="AA2342" s="112" t="str">
        <f>AJ2339</f>
        <v>56.03</v>
      </c>
      <c r="AB2342" s="20" t="s">
        <v>1326</v>
      </c>
      <c r="AC2342" s="113">
        <f>1/AJ2339</f>
        <v>1.7847581652686059E-2</v>
      </c>
      <c r="AD2342" s="109"/>
      <c r="AE2342" s="109"/>
      <c r="AF2342" s="109"/>
      <c r="AG2342" s="109"/>
      <c r="AH2342" s="109"/>
      <c r="AI2342" s="109"/>
      <c r="AJ2342" s="109"/>
      <c r="AK2342" s="109"/>
      <c r="AL2342" s="109"/>
      <c r="AM2342" s="109"/>
      <c r="AN2342" s="109"/>
      <c r="AO2342" s="109"/>
      <c r="AP2342" s="109"/>
      <c r="AQ2342" s="109"/>
      <c r="AR2342" s="109"/>
      <c r="AS2342" s="109"/>
    </row>
    <row r="2343" spans="1:45" ht="12.6" customHeight="1" x14ac:dyDescent="0.3">
      <c r="A2343" s="78"/>
      <c r="B2343" s="78"/>
      <c r="C2343" s="78"/>
      <c r="D2343" s="78"/>
      <c r="E2343" s="78"/>
      <c r="F2343" s="78"/>
      <c r="G2343" s="16" t="s">
        <v>1317</v>
      </c>
      <c r="Z2343" s="109"/>
      <c r="AA2343" s="109"/>
      <c r="AB2343" s="109"/>
      <c r="AC2343" s="109"/>
      <c r="AD2343" s="109"/>
      <c r="AE2343" s="109"/>
      <c r="AF2343" s="109"/>
      <c r="AG2343" s="109"/>
      <c r="AH2343" s="109"/>
      <c r="AI2343" s="109"/>
      <c r="AJ2343" s="109"/>
      <c r="AK2343" s="109"/>
      <c r="AL2343" s="109"/>
      <c r="AM2343" s="109"/>
      <c r="AN2343" s="109"/>
      <c r="AO2343" s="109"/>
      <c r="AP2343" s="109"/>
      <c r="AQ2343" s="109"/>
      <c r="AR2343" s="109"/>
      <c r="AS2343" s="109"/>
    </row>
    <row r="2344" spans="1:45" ht="12.6" customHeight="1" x14ac:dyDescent="0.3">
      <c r="A2344" s="68" t="s">
        <v>1885</v>
      </c>
      <c r="B2344" s="97" t="str">
        <f>" 재 료 비  :   "&amp;TEXT(I2344,"#,##0"&amp;IF(I2344&lt;&gt;INT(I2344),".###",""))&amp;" / Q = "&amp;TEXT(C2344,"#,##0.0")&amp;""</f>
        <v xml:space="preserve"> 재 료 비  :   36,888 / Q = 658.3</v>
      </c>
      <c r="C2344" s="99">
        <f>E2344+D2344+F2344</f>
        <v>658.3</v>
      </c>
      <c r="D2344" s="99">
        <f>IF(H2344=0,0,ROUNDDOWN(J2344*H2344,1))</f>
        <v>0</v>
      </c>
      <c r="E2344" s="99">
        <f>IF(H2344=0,0,ROUNDDOWN(K2344*H2344,1))</f>
        <v>658.3</v>
      </c>
      <c r="F2344" s="99">
        <f>IF(H2344=0,0,ROUNDDOWN(L2344*H2344,1))</f>
        <v>0</v>
      </c>
      <c r="G2344" s="16" t="s">
        <v>1884</v>
      </c>
      <c r="H2344" s="105">
        <f>AC2344</f>
        <v>1.7847581652686059E-2</v>
      </c>
      <c r="I2344" s="106">
        <f>K2344+J2344+L2344</f>
        <v>36888</v>
      </c>
      <c r="K2344" s="39">
        <f>중기목록표!G4</f>
        <v>36888</v>
      </c>
      <c r="M2344" s="20" t="s">
        <v>1883</v>
      </c>
      <c r="N2344" s="20" t="s">
        <v>1332</v>
      </c>
      <c r="X2344" s="108" t="str">
        <f>중기목록표!B4&amp;" / "&amp;중기목록표!C4</f>
        <v>불도우저19ton / (토사)</v>
      </c>
      <c r="Y2344" s="19" t="str">
        <f ca="1">HYPERLINK("#"&amp;중기목록표!J2&amp;"!A"&amp;ROW(중기목록표!A4),"중기    1 →")</f>
        <v>중기    1 →</v>
      </c>
      <c r="Z2344" s="20" t="s">
        <v>1393</v>
      </c>
      <c r="AA2344" s="112" t="str">
        <f>AJ2339</f>
        <v>56.03</v>
      </c>
      <c r="AB2344" s="20" t="s">
        <v>1326</v>
      </c>
      <c r="AC2344" s="113">
        <f>1/AJ2339</f>
        <v>1.7847581652686059E-2</v>
      </c>
      <c r="AD2344" s="109"/>
      <c r="AE2344" s="109"/>
      <c r="AF2344" s="109"/>
      <c r="AG2344" s="109"/>
      <c r="AH2344" s="109"/>
      <c r="AI2344" s="109"/>
      <c r="AJ2344" s="109"/>
      <c r="AK2344" s="109"/>
      <c r="AL2344" s="109"/>
      <c r="AM2344" s="109"/>
      <c r="AN2344" s="109"/>
      <c r="AO2344" s="109"/>
      <c r="AP2344" s="109"/>
      <c r="AQ2344" s="109"/>
      <c r="AR2344" s="109"/>
      <c r="AS2344" s="109"/>
    </row>
    <row r="2345" spans="1:45" ht="12.6" customHeight="1" x14ac:dyDescent="0.3">
      <c r="A2345" s="78"/>
      <c r="B2345" s="78"/>
      <c r="C2345" s="78"/>
      <c r="D2345" s="78"/>
      <c r="E2345" s="78"/>
      <c r="F2345" s="78"/>
      <c r="G2345" s="16" t="s">
        <v>1317</v>
      </c>
      <c r="Z2345" s="109"/>
      <c r="AA2345" s="109"/>
      <c r="AB2345" s="109"/>
      <c r="AC2345" s="109"/>
      <c r="AD2345" s="109"/>
      <c r="AE2345" s="109"/>
      <c r="AF2345" s="109"/>
      <c r="AG2345" s="109"/>
      <c r="AH2345" s="109"/>
      <c r="AI2345" s="109"/>
      <c r="AJ2345" s="109"/>
      <c r="AK2345" s="109"/>
      <c r="AL2345" s="109"/>
      <c r="AM2345" s="109"/>
      <c r="AN2345" s="109"/>
      <c r="AO2345" s="109"/>
      <c r="AP2345" s="109"/>
      <c r="AQ2345" s="109"/>
      <c r="AR2345" s="109"/>
      <c r="AS2345" s="109"/>
    </row>
    <row r="2346" spans="1:45" ht="12.6" customHeight="1" x14ac:dyDescent="0.3">
      <c r="A2346" s="68" t="s">
        <v>1887</v>
      </c>
      <c r="B2346" s="97" t="str">
        <f>" 경    비  :   "&amp;TEXT(I2346,"#,##0"&amp;IF(I2346&lt;&gt;INT(I2346),".###",""))&amp;" / Q = "&amp;TEXT(C2346,"#,##0.0")&amp;""</f>
        <v xml:space="preserve"> 경    비  :   33,412 / Q = 596.3</v>
      </c>
      <c r="C2346" s="99">
        <f>E2346+D2346+F2346</f>
        <v>596.29999999999995</v>
      </c>
      <c r="D2346" s="99">
        <f>IF(H2346=0,0,ROUNDDOWN(J2346*H2346,1))</f>
        <v>0</v>
      </c>
      <c r="E2346" s="99">
        <f>IF(H2346=0,0,ROUNDDOWN(K2346*H2346,1))</f>
        <v>0</v>
      </c>
      <c r="F2346" s="99">
        <f>IF(H2346=0,0,ROUNDDOWN(L2346*H2346,1))</f>
        <v>596.29999999999995</v>
      </c>
      <c r="G2346" s="16" t="s">
        <v>1886</v>
      </c>
      <c r="H2346" s="105">
        <f>AC2346</f>
        <v>1.7847581652686059E-2</v>
      </c>
      <c r="I2346" s="106">
        <f>K2346+J2346+L2346</f>
        <v>33412</v>
      </c>
      <c r="L2346" s="39">
        <f>중기목록표!H4</f>
        <v>33412</v>
      </c>
      <c r="M2346" s="20" t="s">
        <v>1883</v>
      </c>
      <c r="N2346" s="20" t="s">
        <v>1332</v>
      </c>
      <c r="X2346" s="108" t="str">
        <f>중기목록표!B4&amp;" / "&amp;중기목록표!C4</f>
        <v>불도우저19ton / (토사)</v>
      </c>
      <c r="Y2346" s="19" t="str">
        <f ca="1">HYPERLINK("#"&amp;중기목록표!J2&amp;"!A"&amp;ROW(중기목록표!A4),"중기    1 →")</f>
        <v>중기    1 →</v>
      </c>
      <c r="Z2346" s="20" t="s">
        <v>1393</v>
      </c>
      <c r="AA2346" s="112" t="str">
        <f>AJ2339</f>
        <v>56.03</v>
      </c>
      <c r="AB2346" s="20" t="s">
        <v>1326</v>
      </c>
      <c r="AC2346" s="113">
        <f>1/AJ2339</f>
        <v>1.7847581652686059E-2</v>
      </c>
      <c r="AD2346" s="109"/>
      <c r="AE2346" s="109"/>
      <c r="AF2346" s="109"/>
      <c r="AG2346" s="109"/>
      <c r="AH2346" s="109"/>
      <c r="AI2346" s="109"/>
      <c r="AJ2346" s="109"/>
      <c r="AK2346" s="109"/>
      <c r="AL2346" s="109"/>
      <c r="AM2346" s="109"/>
      <c r="AN2346" s="109"/>
      <c r="AO2346" s="109"/>
      <c r="AP2346" s="109"/>
      <c r="AQ2346" s="109"/>
      <c r="AR2346" s="109"/>
      <c r="AS2346" s="109"/>
    </row>
    <row r="2347" spans="1:45" ht="12.6" customHeight="1" x14ac:dyDescent="0.3">
      <c r="A2347" s="78"/>
      <c r="B2347" s="78"/>
      <c r="C2347" s="78"/>
      <c r="D2347" s="78"/>
      <c r="E2347" s="78"/>
      <c r="F2347" s="78"/>
      <c r="G2347" s="16" t="s">
        <v>1317</v>
      </c>
      <c r="Z2347" s="109"/>
      <c r="AA2347" s="109"/>
      <c r="AB2347" s="109"/>
      <c r="AC2347" s="109"/>
      <c r="AD2347" s="109"/>
      <c r="AE2347" s="109"/>
      <c r="AF2347" s="109"/>
      <c r="AG2347" s="109"/>
      <c r="AH2347" s="109"/>
      <c r="AI2347" s="109"/>
      <c r="AJ2347" s="109"/>
      <c r="AK2347" s="109"/>
      <c r="AL2347" s="109"/>
      <c r="AM2347" s="109"/>
      <c r="AN2347" s="109"/>
      <c r="AO2347" s="109"/>
      <c r="AP2347" s="109"/>
      <c r="AQ2347" s="109"/>
      <c r="AR2347" s="109"/>
      <c r="AS2347" s="109"/>
    </row>
    <row r="2348" spans="1:45" ht="12.6" customHeight="1" x14ac:dyDescent="0.3">
      <c r="A2348" s="68"/>
      <c r="B2348" s="77" t="s">
        <v>1331</v>
      </c>
      <c r="C2348" s="100">
        <f>E2348+D2348+F2348</f>
        <v>2248.6999999999998</v>
      </c>
      <c r="D2348" s="100">
        <f>SUMIF(N2317:N2347,M2348,D2317:D2347)</f>
        <v>994.1</v>
      </c>
      <c r="E2348" s="100">
        <f>SUMIF(N2317:N2347,M2348,E2317:E2347)</f>
        <v>658.3</v>
      </c>
      <c r="F2348" s="100">
        <f>SUMIF(N2317:N2347,M2348,F2317:F2347)</f>
        <v>596.29999999999995</v>
      </c>
      <c r="G2348" s="16" t="s">
        <v>1415</v>
      </c>
      <c r="M2348" s="20" t="s">
        <v>1332</v>
      </c>
      <c r="N2348" s="20" t="s">
        <v>1128</v>
      </c>
      <c r="Z2348" s="109"/>
      <c r="AA2348" s="109"/>
      <c r="AB2348" s="109"/>
      <c r="AC2348" s="109"/>
      <c r="AD2348" s="109"/>
      <c r="AE2348" s="109"/>
      <c r="AF2348" s="109"/>
      <c r="AG2348" s="109"/>
      <c r="AH2348" s="109"/>
      <c r="AI2348" s="109"/>
      <c r="AJ2348" s="109"/>
      <c r="AK2348" s="109"/>
      <c r="AL2348" s="109"/>
      <c r="AM2348" s="109"/>
      <c r="AN2348" s="109"/>
      <c r="AO2348" s="109"/>
      <c r="AP2348" s="109"/>
      <c r="AQ2348" s="109"/>
      <c r="AR2348" s="109"/>
      <c r="AS2348" s="109"/>
    </row>
    <row r="2349" spans="1:45" ht="12.6" customHeight="1" x14ac:dyDescent="0.3">
      <c r="A2349" s="78"/>
      <c r="B2349" s="78"/>
      <c r="C2349" s="98"/>
      <c r="D2349" s="98"/>
      <c r="E2349" s="98"/>
      <c r="F2349" s="98"/>
      <c r="Z2349" s="109"/>
      <c r="AA2349" s="109"/>
      <c r="AB2349" s="109"/>
      <c r="AC2349" s="109"/>
      <c r="AD2349" s="109"/>
      <c r="AE2349" s="109"/>
      <c r="AF2349" s="109"/>
      <c r="AG2349" s="109"/>
      <c r="AH2349" s="109"/>
      <c r="AI2349" s="109"/>
      <c r="AJ2349" s="109"/>
      <c r="AK2349" s="109"/>
      <c r="AL2349" s="109"/>
      <c r="AM2349" s="109"/>
      <c r="AN2349" s="109"/>
      <c r="AO2349" s="109"/>
      <c r="AP2349" s="109"/>
      <c r="AQ2349" s="109"/>
      <c r="AR2349" s="109"/>
      <c r="AS2349" s="109"/>
    </row>
    <row r="2350" spans="1:45" ht="12.6" customHeight="1" x14ac:dyDescent="0.3">
      <c r="A2350" s="78"/>
      <c r="B2350" s="78"/>
      <c r="C2350" s="78"/>
      <c r="D2350" s="78"/>
      <c r="E2350" s="78"/>
      <c r="F2350" s="78"/>
      <c r="Z2350" s="109"/>
      <c r="AA2350" s="109"/>
      <c r="AB2350" s="109"/>
      <c r="AC2350" s="109"/>
      <c r="AD2350" s="109"/>
      <c r="AE2350" s="109"/>
      <c r="AF2350" s="109"/>
      <c r="AG2350" s="109"/>
      <c r="AH2350" s="109"/>
      <c r="AI2350" s="109"/>
      <c r="AJ2350" s="109"/>
      <c r="AK2350" s="109"/>
      <c r="AL2350" s="109"/>
      <c r="AM2350" s="109"/>
      <c r="AN2350" s="109"/>
      <c r="AO2350" s="109"/>
      <c r="AP2350" s="109"/>
      <c r="AQ2350" s="109"/>
      <c r="AR2350" s="109"/>
      <c r="AS2350" s="109"/>
    </row>
    <row r="2351" spans="1:45" ht="12.6" customHeight="1" x14ac:dyDescent="0.3">
      <c r="A2351" s="78"/>
      <c r="B2351" s="78"/>
      <c r="C2351" s="78"/>
      <c r="D2351" s="78"/>
      <c r="E2351" s="78"/>
      <c r="F2351" s="78"/>
      <c r="Z2351" s="109"/>
      <c r="AA2351" s="109"/>
      <c r="AB2351" s="109"/>
      <c r="AC2351" s="109"/>
      <c r="AD2351" s="109"/>
      <c r="AE2351" s="109"/>
      <c r="AF2351" s="109"/>
      <c r="AG2351" s="109"/>
      <c r="AH2351" s="109"/>
      <c r="AI2351" s="109"/>
      <c r="AJ2351" s="109"/>
      <c r="AK2351" s="109"/>
      <c r="AL2351" s="109"/>
      <c r="AM2351" s="109"/>
      <c r="AN2351" s="109"/>
      <c r="AO2351" s="109"/>
      <c r="AP2351" s="109"/>
      <c r="AQ2351" s="109"/>
      <c r="AR2351" s="109"/>
      <c r="AS2351" s="109"/>
    </row>
    <row r="2352" spans="1:45" ht="12.6" customHeight="1" x14ac:dyDescent="0.3">
      <c r="A2352" s="78"/>
      <c r="B2352" s="78"/>
      <c r="C2352" s="78"/>
      <c r="D2352" s="78"/>
      <c r="E2352" s="78"/>
      <c r="F2352" s="78"/>
      <c r="Z2352" s="109"/>
      <c r="AA2352" s="109"/>
      <c r="AB2352" s="109"/>
      <c r="AC2352" s="109"/>
      <c r="AD2352" s="109"/>
      <c r="AE2352" s="109"/>
      <c r="AF2352" s="109"/>
      <c r="AG2352" s="109"/>
      <c r="AH2352" s="109"/>
      <c r="AI2352" s="109"/>
      <c r="AJ2352" s="109"/>
      <c r="AK2352" s="109"/>
      <c r="AL2352" s="109"/>
      <c r="AM2352" s="109"/>
      <c r="AN2352" s="109"/>
      <c r="AO2352" s="109"/>
      <c r="AP2352" s="109"/>
      <c r="AQ2352" s="109"/>
      <c r="AR2352" s="109"/>
      <c r="AS2352" s="109"/>
    </row>
    <row r="2353" spans="1:45" ht="12.6" customHeight="1" x14ac:dyDescent="0.3">
      <c r="A2353" s="78"/>
      <c r="B2353" s="78"/>
      <c r="C2353" s="78"/>
      <c r="D2353" s="78"/>
      <c r="E2353" s="78"/>
      <c r="F2353" s="78"/>
      <c r="Z2353" s="109"/>
      <c r="AA2353" s="109"/>
      <c r="AB2353" s="109"/>
      <c r="AC2353" s="109"/>
      <c r="AD2353" s="109"/>
      <c r="AE2353" s="109"/>
      <c r="AF2353" s="109"/>
      <c r="AG2353" s="109"/>
      <c r="AH2353" s="109"/>
      <c r="AI2353" s="109"/>
      <c r="AJ2353" s="109"/>
      <c r="AK2353" s="109"/>
      <c r="AL2353" s="109"/>
      <c r="AM2353" s="109"/>
      <c r="AN2353" s="109"/>
      <c r="AO2353" s="109"/>
      <c r="AP2353" s="109"/>
      <c r="AQ2353" s="109"/>
      <c r="AR2353" s="109"/>
      <c r="AS2353" s="109"/>
    </row>
    <row r="2354" spans="1:45" ht="12.6" customHeight="1" x14ac:dyDescent="0.3">
      <c r="A2354" s="78"/>
      <c r="B2354" s="78"/>
      <c r="C2354" s="78"/>
      <c r="D2354" s="78"/>
      <c r="E2354" s="78"/>
      <c r="F2354" s="78"/>
      <c r="Z2354" s="109"/>
      <c r="AA2354" s="109"/>
      <c r="AB2354" s="109"/>
      <c r="AC2354" s="109"/>
      <c r="AD2354" s="109"/>
      <c r="AE2354" s="109"/>
      <c r="AF2354" s="109"/>
      <c r="AG2354" s="109"/>
      <c r="AH2354" s="109"/>
      <c r="AI2354" s="109"/>
      <c r="AJ2354" s="109"/>
      <c r="AK2354" s="109"/>
      <c r="AL2354" s="109"/>
      <c r="AM2354" s="109"/>
      <c r="AN2354" s="109"/>
      <c r="AO2354" s="109"/>
      <c r="AP2354" s="109"/>
      <c r="AQ2354" s="109"/>
      <c r="AR2354" s="109"/>
      <c r="AS2354" s="109"/>
    </row>
    <row r="2355" spans="1:45" ht="12.6" customHeight="1" x14ac:dyDescent="0.3">
      <c r="A2355" s="78"/>
      <c r="B2355" s="78"/>
      <c r="C2355" s="78"/>
      <c r="D2355" s="78"/>
      <c r="E2355" s="78"/>
      <c r="F2355" s="78"/>
      <c r="Z2355" s="109"/>
      <c r="AA2355" s="109"/>
      <c r="AB2355" s="109"/>
      <c r="AC2355" s="109"/>
      <c r="AD2355" s="109"/>
      <c r="AE2355" s="109"/>
      <c r="AF2355" s="109"/>
      <c r="AG2355" s="109"/>
      <c r="AH2355" s="109"/>
      <c r="AI2355" s="109"/>
      <c r="AJ2355" s="109"/>
      <c r="AK2355" s="109"/>
      <c r="AL2355" s="109"/>
      <c r="AM2355" s="109"/>
      <c r="AN2355" s="109"/>
      <c r="AO2355" s="109"/>
      <c r="AP2355" s="109"/>
      <c r="AQ2355" s="109"/>
      <c r="AR2355" s="109"/>
      <c r="AS2355" s="109"/>
    </row>
    <row r="2356" spans="1:45" ht="12.6" customHeight="1" x14ac:dyDescent="0.3">
      <c r="A2356" s="78"/>
      <c r="B2356" s="78"/>
      <c r="C2356" s="78"/>
      <c r="D2356" s="78"/>
      <c r="E2356" s="78"/>
      <c r="F2356" s="78"/>
      <c r="Z2356" s="109"/>
      <c r="AA2356" s="109"/>
      <c r="AB2356" s="109"/>
      <c r="AC2356" s="109"/>
      <c r="AD2356" s="109"/>
      <c r="AE2356" s="109"/>
      <c r="AF2356" s="109"/>
      <c r="AG2356" s="109"/>
      <c r="AH2356" s="109"/>
      <c r="AI2356" s="109"/>
      <c r="AJ2356" s="109"/>
      <c r="AK2356" s="109"/>
      <c r="AL2356" s="109"/>
      <c r="AM2356" s="109"/>
      <c r="AN2356" s="109"/>
      <c r="AO2356" s="109"/>
      <c r="AP2356" s="109"/>
      <c r="AQ2356" s="109"/>
      <c r="AR2356" s="109"/>
      <c r="AS2356" s="109"/>
    </row>
    <row r="2357" spans="1:45" ht="12.6" customHeight="1" x14ac:dyDescent="0.3">
      <c r="A2357" s="78"/>
      <c r="B2357" s="78"/>
      <c r="C2357" s="78"/>
      <c r="D2357" s="78"/>
      <c r="E2357" s="78"/>
      <c r="F2357" s="78"/>
      <c r="Z2357" s="109"/>
      <c r="AA2357" s="109"/>
      <c r="AB2357" s="109"/>
      <c r="AC2357" s="109"/>
      <c r="AD2357" s="109"/>
      <c r="AE2357" s="109"/>
      <c r="AF2357" s="109"/>
      <c r="AG2357" s="109"/>
      <c r="AH2357" s="109"/>
      <c r="AI2357" s="109"/>
      <c r="AJ2357" s="109"/>
      <c r="AK2357" s="109"/>
      <c r="AL2357" s="109"/>
      <c r="AM2357" s="109"/>
      <c r="AN2357" s="109"/>
      <c r="AO2357" s="109"/>
      <c r="AP2357" s="109"/>
      <c r="AQ2357" s="109"/>
      <c r="AR2357" s="109"/>
      <c r="AS2357" s="109"/>
    </row>
    <row r="2358" spans="1:45" ht="12.6" customHeight="1" x14ac:dyDescent="0.3">
      <c r="A2358" s="78"/>
      <c r="B2358" s="78"/>
      <c r="C2358" s="78"/>
      <c r="D2358" s="78"/>
      <c r="E2358" s="78"/>
      <c r="F2358" s="78"/>
      <c r="Z2358" s="109"/>
      <c r="AA2358" s="109"/>
      <c r="AB2358" s="109"/>
      <c r="AC2358" s="109"/>
      <c r="AD2358" s="109"/>
      <c r="AE2358" s="109"/>
      <c r="AF2358" s="109"/>
      <c r="AG2358" s="109"/>
      <c r="AH2358" s="109"/>
      <c r="AI2358" s="109"/>
      <c r="AJ2358" s="109"/>
      <c r="AK2358" s="109"/>
      <c r="AL2358" s="109"/>
      <c r="AM2358" s="109"/>
      <c r="AN2358" s="109"/>
      <c r="AO2358" s="109"/>
      <c r="AP2358" s="109"/>
      <c r="AQ2358" s="109"/>
      <c r="AR2358" s="109"/>
      <c r="AS2358" s="109"/>
    </row>
    <row r="2359" spans="1:45" ht="12.6" customHeight="1" x14ac:dyDescent="0.3">
      <c r="A2359" s="78"/>
      <c r="B2359" s="78"/>
      <c r="C2359" s="78"/>
      <c r="D2359" s="78"/>
      <c r="E2359" s="78"/>
      <c r="F2359" s="78"/>
      <c r="Z2359" s="109"/>
      <c r="AA2359" s="109"/>
      <c r="AB2359" s="109"/>
      <c r="AC2359" s="109"/>
      <c r="AD2359" s="109"/>
      <c r="AE2359" s="109"/>
      <c r="AF2359" s="109"/>
      <c r="AG2359" s="109"/>
      <c r="AH2359" s="109"/>
      <c r="AI2359" s="109"/>
      <c r="AJ2359" s="109"/>
      <c r="AK2359" s="109"/>
      <c r="AL2359" s="109"/>
      <c r="AM2359" s="109"/>
      <c r="AN2359" s="109"/>
      <c r="AO2359" s="109"/>
      <c r="AP2359" s="109"/>
      <c r="AQ2359" s="109"/>
      <c r="AR2359" s="109"/>
      <c r="AS2359" s="109"/>
    </row>
    <row r="2360" spans="1:45" ht="12.6" customHeight="1" x14ac:dyDescent="0.3">
      <c r="A2360" s="78"/>
      <c r="B2360" s="78"/>
      <c r="C2360" s="78"/>
      <c r="D2360" s="78"/>
      <c r="E2360" s="78"/>
      <c r="F2360" s="78"/>
      <c r="Z2360" s="109"/>
      <c r="AA2360" s="109"/>
      <c r="AB2360" s="109"/>
      <c r="AC2360" s="109"/>
      <c r="AD2360" s="109"/>
      <c r="AE2360" s="109"/>
      <c r="AF2360" s="109"/>
      <c r="AG2360" s="109"/>
      <c r="AH2360" s="109"/>
      <c r="AI2360" s="109"/>
      <c r="AJ2360" s="109"/>
      <c r="AK2360" s="109"/>
      <c r="AL2360" s="109"/>
      <c r="AM2360" s="109"/>
      <c r="AN2360" s="109"/>
      <c r="AO2360" s="109"/>
      <c r="AP2360" s="109"/>
      <c r="AQ2360" s="109"/>
      <c r="AR2360" s="109"/>
      <c r="AS2360" s="109"/>
    </row>
    <row r="2361" spans="1:45" ht="12.6" customHeight="1" x14ac:dyDescent="0.3">
      <c r="A2361" s="78"/>
      <c r="B2361" s="78"/>
      <c r="C2361" s="78"/>
      <c r="D2361" s="78"/>
      <c r="E2361" s="78"/>
      <c r="F2361" s="78"/>
      <c r="Z2361" s="109"/>
      <c r="AA2361" s="109"/>
      <c r="AB2361" s="109"/>
      <c r="AC2361" s="109"/>
      <c r="AD2361" s="109"/>
      <c r="AE2361" s="109"/>
      <c r="AF2361" s="109"/>
      <c r="AG2361" s="109"/>
      <c r="AH2361" s="109"/>
      <c r="AI2361" s="109"/>
      <c r="AJ2361" s="109"/>
      <c r="AK2361" s="109"/>
      <c r="AL2361" s="109"/>
      <c r="AM2361" s="109"/>
      <c r="AN2361" s="109"/>
      <c r="AO2361" s="109"/>
      <c r="AP2361" s="109"/>
      <c r="AQ2361" s="109"/>
      <c r="AR2361" s="109"/>
      <c r="AS2361" s="109"/>
    </row>
    <row r="2362" spans="1:45" ht="12.6" customHeight="1" x14ac:dyDescent="0.3">
      <c r="A2362" s="78"/>
      <c r="B2362" s="78"/>
      <c r="C2362" s="78"/>
      <c r="D2362" s="78"/>
      <c r="E2362" s="78"/>
      <c r="F2362" s="78"/>
      <c r="Z2362" s="109"/>
      <c r="AA2362" s="109"/>
      <c r="AB2362" s="109"/>
      <c r="AC2362" s="109"/>
      <c r="AD2362" s="109"/>
      <c r="AE2362" s="109"/>
      <c r="AF2362" s="109"/>
      <c r="AG2362" s="109"/>
      <c r="AH2362" s="109"/>
      <c r="AI2362" s="109"/>
      <c r="AJ2362" s="109"/>
      <c r="AK2362" s="109"/>
      <c r="AL2362" s="109"/>
      <c r="AM2362" s="109"/>
      <c r="AN2362" s="109"/>
      <c r="AO2362" s="109"/>
      <c r="AP2362" s="109"/>
      <c r="AQ2362" s="109"/>
      <c r="AR2362" s="109"/>
      <c r="AS2362" s="109"/>
    </row>
    <row r="2363" spans="1:45" ht="12.6" customHeight="1" x14ac:dyDescent="0.3">
      <c r="A2363" s="78"/>
      <c r="B2363" s="78"/>
      <c r="C2363" s="78"/>
      <c r="D2363" s="78"/>
      <c r="E2363" s="78"/>
      <c r="F2363" s="78"/>
      <c r="Z2363" s="109"/>
      <c r="AA2363" s="109"/>
      <c r="AB2363" s="109"/>
      <c r="AC2363" s="109"/>
      <c r="AD2363" s="109"/>
      <c r="AE2363" s="109"/>
      <c r="AF2363" s="109"/>
      <c r="AG2363" s="109"/>
      <c r="AH2363" s="109"/>
      <c r="AI2363" s="109"/>
      <c r="AJ2363" s="109"/>
      <c r="AK2363" s="109"/>
      <c r="AL2363" s="109"/>
      <c r="AM2363" s="109"/>
      <c r="AN2363" s="109"/>
      <c r="AO2363" s="109"/>
      <c r="AP2363" s="109"/>
      <c r="AQ2363" s="109"/>
      <c r="AR2363" s="109"/>
      <c r="AS2363" s="109"/>
    </row>
    <row r="2364" spans="1:45" ht="12.6" customHeight="1" x14ac:dyDescent="0.3">
      <c r="A2364" s="78"/>
      <c r="B2364" s="78"/>
      <c r="C2364" s="78"/>
      <c r="D2364" s="78"/>
      <c r="E2364" s="78"/>
      <c r="F2364" s="78"/>
      <c r="Z2364" s="109"/>
      <c r="AA2364" s="109"/>
      <c r="AB2364" s="109"/>
      <c r="AC2364" s="109"/>
      <c r="AD2364" s="109"/>
      <c r="AE2364" s="109"/>
      <c r="AF2364" s="109"/>
      <c r="AG2364" s="109"/>
      <c r="AH2364" s="109"/>
      <c r="AI2364" s="109"/>
      <c r="AJ2364" s="109"/>
      <c r="AK2364" s="109"/>
      <c r="AL2364" s="109"/>
      <c r="AM2364" s="109"/>
      <c r="AN2364" s="109"/>
      <c r="AO2364" s="109"/>
      <c r="AP2364" s="109"/>
      <c r="AQ2364" s="109"/>
      <c r="AR2364" s="109"/>
      <c r="AS2364" s="109"/>
    </row>
    <row r="2365" spans="1:45" ht="12.6" customHeight="1" x14ac:dyDescent="0.3">
      <c r="A2365" s="78"/>
      <c r="B2365" s="78"/>
      <c r="C2365" s="78"/>
      <c r="D2365" s="78"/>
      <c r="E2365" s="78"/>
      <c r="F2365" s="78"/>
      <c r="Z2365" s="109"/>
      <c r="AA2365" s="109"/>
      <c r="AB2365" s="109"/>
      <c r="AC2365" s="109"/>
      <c r="AD2365" s="109"/>
      <c r="AE2365" s="109"/>
      <c r="AF2365" s="109"/>
      <c r="AG2365" s="109"/>
      <c r="AH2365" s="109"/>
      <c r="AI2365" s="109"/>
      <c r="AJ2365" s="109"/>
      <c r="AK2365" s="109"/>
      <c r="AL2365" s="109"/>
      <c r="AM2365" s="109"/>
      <c r="AN2365" s="109"/>
      <c r="AO2365" s="109"/>
      <c r="AP2365" s="109"/>
      <c r="AQ2365" s="109"/>
      <c r="AR2365" s="109"/>
      <c r="AS2365" s="109"/>
    </row>
    <row r="2366" spans="1:45" ht="12.6" customHeight="1" x14ac:dyDescent="0.3">
      <c r="A2366" s="78"/>
      <c r="B2366" s="78"/>
      <c r="C2366" s="78"/>
      <c r="D2366" s="78"/>
      <c r="E2366" s="78"/>
      <c r="F2366" s="78"/>
      <c r="Z2366" s="109"/>
      <c r="AA2366" s="109"/>
      <c r="AB2366" s="109"/>
      <c r="AC2366" s="109"/>
      <c r="AD2366" s="109"/>
      <c r="AE2366" s="109"/>
      <c r="AF2366" s="109"/>
      <c r="AG2366" s="109"/>
      <c r="AH2366" s="109"/>
      <c r="AI2366" s="109"/>
      <c r="AJ2366" s="109"/>
      <c r="AK2366" s="109"/>
      <c r="AL2366" s="109"/>
      <c r="AM2366" s="109"/>
      <c r="AN2366" s="109"/>
      <c r="AO2366" s="109"/>
      <c r="AP2366" s="109"/>
      <c r="AQ2366" s="109"/>
      <c r="AR2366" s="109"/>
      <c r="AS2366" s="109"/>
    </row>
    <row r="2367" spans="1:45" ht="12.6" customHeight="1" x14ac:dyDescent="0.3">
      <c r="A2367" s="78"/>
      <c r="B2367" s="78"/>
      <c r="C2367" s="78"/>
      <c r="D2367" s="78"/>
      <c r="E2367" s="78"/>
      <c r="F2367" s="78"/>
      <c r="Z2367" s="109"/>
      <c r="AA2367" s="109"/>
      <c r="AB2367" s="109"/>
      <c r="AC2367" s="109"/>
      <c r="AD2367" s="109"/>
      <c r="AE2367" s="109"/>
      <c r="AF2367" s="109"/>
      <c r="AG2367" s="109"/>
      <c r="AH2367" s="109"/>
      <c r="AI2367" s="109"/>
      <c r="AJ2367" s="109"/>
      <c r="AK2367" s="109"/>
      <c r="AL2367" s="109"/>
      <c r="AM2367" s="109"/>
      <c r="AN2367" s="109"/>
      <c r="AO2367" s="109"/>
      <c r="AP2367" s="109"/>
      <c r="AQ2367" s="109"/>
      <c r="AR2367" s="109"/>
      <c r="AS2367" s="109"/>
    </row>
    <row r="2368" spans="1:45" ht="12.6" customHeight="1" x14ac:dyDescent="0.3">
      <c r="A2368" s="78"/>
      <c r="B2368" s="78"/>
      <c r="C2368" s="78"/>
      <c r="D2368" s="78"/>
      <c r="E2368" s="78"/>
      <c r="F2368" s="78"/>
      <c r="Z2368" s="109"/>
      <c r="AA2368" s="109"/>
      <c r="AB2368" s="109"/>
      <c r="AC2368" s="109"/>
      <c r="AD2368" s="109"/>
      <c r="AE2368" s="109"/>
      <c r="AF2368" s="109"/>
      <c r="AG2368" s="109"/>
      <c r="AH2368" s="109"/>
      <c r="AI2368" s="109"/>
      <c r="AJ2368" s="109"/>
      <c r="AK2368" s="109"/>
      <c r="AL2368" s="109"/>
      <c r="AM2368" s="109"/>
      <c r="AN2368" s="109"/>
      <c r="AO2368" s="109"/>
      <c r="AP2368" s="109"/>
      <c r="AQ2368" s="109"/>
      <c r="AR2368" s="109"/>
      <c r="AS2368" s="109"/>
    </row>
    <row r="2369" spans="1:45" ht="12.6" customHeight="1" x14ac:dyDescent="0.3">
      <c r="A2369" s="78"/>
      <c r="B2369" s="78"/>
      <c r="C2369" s="78"/>
      <c r="D2369" s="78"/>
      <c r="E2369" s="78"/>
      <c r="F2369" s="78"/>
      <c r="Z2369" s="109"/>
      <c r="AA2369" s="109"/>
      <c r="AB2369" s="109"/>
      <c r="AC2369" s="109"/>
      <c r="AD2369" s="109"/>
      <c r="AE2369" s="109"/>
      <c r="AF2369" s="109"/>
      <c r="AG2369" s="109"/>
      <c r="AH2369" s="109"/>
      <c r="AI2369" s="109"/>
      <c r="AJ2369" s="109"/>
      <c r="AK2369" s="109"/>
      <c r="AL2369" s="109"/>
      <c r="AM2369" s="109"/>
      <c r="AN2369" s="109"/>
      <c r="AO2369" s="109"/>
      <c r="AP2369" s="109"/>
      <c r="AQ2369" s="109"/>
      <c r="AR2369" s="109"/>
      <c r="AS2369" s="109"/>
    </row>
    <row r="2370" spans="1:45" ht="12.6" customHeight="1" x14ac:dyDescent="0.3">
      <c r="A2370" s="78"/>
      <c r="B2370" s="78"/>
      <c r="C2370" s="78"/>
      <c r="D2370" s="78"/>
      <c r="E2370" s="78"/>
      <c r="F2370" s="78"/>
      <c r="Z2370" s="109"/>
      <c r="AA2370" s="109"/>
      <c r="AB2370" s="109"/>
      <c r="AC2370" s="109"/>
      <c r="AD2370" s="109"/>
      <c r="AE2370" s="109"/>
      <c r="AF2370" s="109"/>
      <c r="AG2370" s="109"/>
      <c r="AH2370" s="109"/>
      <c r="AI2370" s="109"/>
      <c r="AJ2370" s="109"/>
      <c r="AK2370" s="109"/>
      <c r="AL2370" s="109"/>
      <c r="AM2370" s="109"/>
      <c r="AN2370" s="109"/>
      <c r="AO2370" s="109"/>
      <c r="AP2370" s="109"/>
      <c r="AQ2370" s="109"/>
      <c r="AR2370" s="109"/>
      <c r="AS2370" s="109"/>
    </row>
    <row r="2371" spans="1:45" ht="12.6" customHeight="1" x14ac:dyDescent="0.3">
      <c r="A2371" s="78"/>
      <c r="B2371" s="78"/>
      <c r="C2371" s="78"/>
      <c r="D2371" s="78"/>
      <c r="E2371" s="78"/>
      <c r="F2371" s="78"/>
      <c r="Z2371" s="109"/>
      <c r="AA2371" s="109"/>
      <c r="AB2371" s="109"/>
      <c r="AC2371" s="109"/>
      <c r="AD2371" s="109"/>
      <c r="AE2371" s="109"/>
      <c r="AF2371" s="109"/>
      <c r="AG2371" s="109"/>
      <c r="AH2371" s="109"/>
      <c r="AI2371" s="109"/>
      <c r="AJ2371" s="109"/>
      <c r="AK2371" s="109"/>
      <c r="AL2371" s="109"/>
      <c r="AM2371" s="109"/>
      <c r="AN2371" s="109"/>
      <c r="AO2371" s="109"/>
      <c r="AP2371" s="109"/>
      <c r="AQ2371" s="109"/>
      <c r="AR2371" s="109"/>
      <c r="AS2371" s="109"/>
    </row>
    <row r="2372" spans="1:45" ht="12.6" customHeight="1" x14ac:dyDescent="0.3">
      <c r="A2372" s="78"/>
      <c r="B2372" s="78"/>
      <c r="C2372" s="78"/>
      <c r="D2372" s="78"/>
      <c r="E2372" s="78"/>
      <c r="F2372" s="78"/>
      <c r="Z2372" s="109"/>
      <c r="AA2372" s="109"/>
      <c r="AB2372" s="109"/>
      <c r="AC2372" s="109"/>
      <c r="AD2372" s="109"/>
      <c r="AE2372" s="109"/>
      <c r="AF2372" s="109"/>
      <c r="AG2372" s="109"/>
      <c r="AH2372" s="109"/>
      <c r="AI2372" s="109"/>
      <c r="AJ2372" s="109"/>
      <c r="AK2372" s="109"/>
      <c r="AL2372" s="109"/>
      <c r="AM2372" s="109"/>
      <c r="AN2372" s="109"/>
      <c r="AO2372" s="109"/>
      <c r="AP2372" s="109"/>
      <c r="AQ2372" s="109"/>
      <c r="AR2372" s="109"/>
      <c r="AS2372" s="109"/>
    </row>
    <row r="2373" spans="1:45" ht="12.6" customHeight="1" x14ac:dyDescent="0.3">
      <c r="A2373" s="78"/>
      <c r="B2373" s="78"/>
      <c r="C2373" s="78"/>
      <c r="D2373" s="78"/>
      <c r="E2373" s="78"/>
      <c r="F2373" s="78"/>
      <c r="Z2373" s="109"/>
      <c r="AA2373" s="109"/>
      <c r="AB2373" s="109"/>
      <c r="AC2373" s="109"/>
      <c r="AD2373" s="109"/>
      <c r="AE2373" s="109"/>
      <c r="AF2373" s="109"/>
      <c r="AG2373" s="109"/>
      <c r="AH2373" s="109"/>
      <c r="AI2373" s="109"/>
      <c r="AJ2373" s="109"/>
      <c r="AK2373" s="109"/>
      <c r="AL2373" s="109"/>
      <c r="AM2373" s="109"/>
      <c r="AN2373" s="109"/>
      <c r="AO2373" s="109"/>
      <c r="AP2373" s="109"/>
      <c r="AQ2373" s="109"/>
      <c r="AR2373" s="109"/>
      <c r="AS2373" s="109"/>
    </row>
    <row r="2374" spans="1:45" ht="12.6" customHeight="1" x14ac:dyDescent="0.3">
      <c r="A2374" s="78"/>
      <c r="B2374" s="78"/>
      <c r="C2374" s="78"/>
      <c r="D2374" s="78"/>
      <c r="E2374" s="78"/>
      <c r="F2374" s="78"/>
      <c r="Z2374" s="109"/>
      <c r="AA2374" s="109"/>
      <c r="AB2374" s="109"/>
      <c r="AC2374" s="109"/>
      <c r="AD2374" s="109"/>
      <c r="AE2374" s="109"/>
      <c r="AF2374" s="109"/>
      <c r="AG2374" s="109"/>
      <c r="AH2374" s="109"/>
      <c r="AI2374" s="109"/>
      <c r="AJ2374" s="109"/>
      <c r="AK2374" s="109"/>
      <c r="AL2374" s="109"/>
      <c r="AM2374" s="109"/>
      <c r="AN2374" s="109"/>
      <c r="AO2374" s="109"/>
      <c r="AP2374" s="109"/>
      <c r="AQ2374" s="109"/>
      <c r="AR2374" s="109"/>
      <c r="AS2374" s="109"/>
    </row>
    <row r="2375" spans="1:45" ht="12.6" customHeight="1" x14ac:dyDescent="0.3">
      <c r="A2375" s="78"/>
      <c r="B2375" s="78"/>
      <c r="C2375" s="78"/>
      <c r="D2375" s="78"/>
      <c r="E2375" s="78"/>
      <c r="F2375" s="78"/>
      <c r="Z2375" s="109"/>
      <c r="AA2375" s="109"/>
      <c r="AB2375" s="109"/>
      <c r="AC2375" s="109"/>
      <c r="AD2375" s="109"/>
      <c r="AE2375" s="109"/>
      <c r="AF2375" s="109"/>
      <c r="AG2375" s="109"/>
      <c r="AH2375" s="109"/>
      <c r="AI2375" s="109"/>
      <c r="AJ2375" s="109"/>
      <c r="AK2375" s="109"/>
      <c r="AL2375" s="109"/>
      <c r="AM2375" s="109"/>
      <c r="AN2375" s="109"/>
      <c r="AO2375" s="109"/>
      <c r="AP2375" s="109"/>
      <c r="AQ2375" s="109"/>
      <c r="AR2375" s="109"/>
      <c r="AS2375" s="109"/>
    </row>
    <row r="2376" spans="1:45" ht="12.6" customHeight="1" x14ac:dyDescent="0.3">
      <c r="A2376" s="78"/>
      <c r="B2376" s="78"/>
      <c r="C2376" s="78"/>
      <c r="D2376" s="78"/>
      <c r="E2376" s="78"/>
      <c r="F2376" s="78"/>
      <c r="Z2376" s="109"/>
      <c r="AA2376" s="109"/>
      <c r="AB2376" s="109"/>
      <c r="AC2376" s="109"/>
      <c r="AD2376" s="109"/>
      <c r="AE2376" s="109"/>
      <c r="AF2376" s="109"/>
      <c r="AG2376" s="109"/>
      <c r="AH2376" s="109"/>
      <c r="AI2376" s="109"/>
      <c r="AJ2376" s="109"/>
      <c r="AK2376" s="109"/>
      <c r="AL2376" s="109"/>
      <c r="AM2376" s="109"/>
      <c r="AN2376" s="109"/>
      <c r="AO2376" s="109"/>
      <c r="AP2376" s="109"/>
      <c r="AQ2376" s="109"/>
      <c r="AR2376" s="109"/>
      <c r="AS2376" s="109"/>
    </row>
    <row r="2377" spans="1:45" ht="12.6" customHeight="1" x14ac:dyDescent="0.3">
      <c r="A2377" s="78"/>
      <c r="B2377" s="78"/>
      <c r="C2377" s="78"/>
      <c r="D2377" s="78"/>
      <c r="E2377" s="78"/>
      <c r="F2377" s="78"/>
      <c r="Z2377" s="109"/>
      <c r="AA2377" s="109"/>
      <c r="AB2377" s="109"/>
      <c r="AC2377" s="109"/>
      <c r="AD2377" s="109"/>
      <c r="AE2377" s="109"/>
      <c r="AF2377" s="109"/>
      <c r="AG2377" s="109"/>
      <c r="AH2377" s="109"/>
      <c r="AI2377" s="109"/>
      <c r="AJ2377" s="109"/>
      <c r="AK2377" s="109"/>
      <c r="AL2377" s="109"/>
      <c r="AM2377" s="109"/>
      <c r="AN2377" s="109"/>
      <c r="AO2377" s="109"/>
      <c r="AP2377" s="109"/>
      <c r="AQ2377" s="109"/>
      <c r="AR2377" s="109"/>
      <c r="AS2377" s="109"/>
    </row>
    <row r="2378" spans="1:45" ht="12.6" customHeight="1" x14ac:dyDescent="0.3">
      <c r="A2378" s="78"/>
      <c r="B2378" s="78"/>
      <c r="C2378" s="78"/>
      <c r="D2378" s="78"/>
      <c r="E2378" s="78"/>
      <c r="F2378" s="78"/>
      <c r="Z2378" s="109"/>
      <c r="AA2378" s="109"/>
      <c r="AB2378" s="109"/>
      <c r="AC2378" s="109"/>
      <c r="AD2378" s="109"/>
      <c r="AE2378" s="109"/>
      <c r="AF2378" s="109"/>
      <c r="AG2378" s="109"/>
      <c r="AH2378" s="109"/>
      <c r="AI2378" s="109"/>
      <c r="AJ2378" s="109"/>
      <c r="AK2378" s="109"/>
      <c r="AL2378" s="109"/>
      <c r="AM2378" s="109"/>
      <c r="AN2378" s="109"/>
      <c r="AO2378" s="109"/>
      <c r="AP2378" s="109"/>
      <c r="AQ2378" s="109"/>
      <c r="AR2378" s="109"/>
      <c r="AS2378" s="109"/>
    </row>
    <row r="2379" spans="1:45" ht="12.6" customHeight="1" x14ac:dyDescent="0.3">
      <c r="A2379" s="78"/>
      <c r="B2379" s="78"/>
      <c r="C2379" s="78"/>
      <c r="D2379" s="78"/>
      <c r="E2379" s="78"/>
      <c r="F2379" s="78"/>
      <c r="Z2379" s="109"/>
      <c r="AA2379" s="109"/>
      <c r="AB2379" s="109"/>
      <c r="AC2379" s="109"/>
      <c r="AD2379" s="109"/>
      <c r="AE2379" s="109"/>
      <c r="AF2379" s="109"/>
      <c r="AG2379" s="109"/>
      <c r="AH2379" s="109"/>
      <c r="AI2379" s="109"/>
      <c r="AJ2379" s="109"/>
      <c r="AK2379" s="109"/>
      <c r="AL2379" s="109"/>
      <c r="AM2379" s="109"/>
      <c r="AN2379" s="109"/>
      <c r="AO2379" s="109"/>
      <c r="AP2379" s="109"/>
      <c r="AQ2379" s="109"/>
      <c r="AR2379" s="109"/>
      <c r="AS2379" s="109"/>
    </row>
    <row r="2380" spans="1:45" ht="12.6" customHeight="1" x14ac:dyDescent="0.3">
      <c r="A2380" s="78"/>
      <c r="B2380" s="78"/>
      <c r="C2380" s="78"/>
      <c r="D2380" s="78"/>
      <c r="E2380" s="78"/>
      <c r="F2380" s="78"/>
      <c r="Z2380" s="109"/>
      <c r="AA2380" s="109"/>
      <c r="AB2380" s="109"/>
      <c r="AC2380" s="109"/>
      <c r="AD2380" s="109"/>
      <c r="AE2380" s="109"/>
      <c r="AF2380" s="109"/>
      <c r="AG2380" s="109"/>
      <c r="AH2380" s="109"/>
      <c r="AI2380" s="109"/>
      <c r="AJ2380" s="109"/>
      <c r="AK2380" s="109"/>
      <c r="AL2380" s="109"/>
      <c r="AM2380" s="109"/>
      <c r="AN2380" s="109"/>
      <c r="AO2380" s="109"/>
      <c r="AP2380" s="109"/>
      <c r="AQ2380" s="109"/>
      <c r="AR2380" s="109"/>
      <c r="AS2380" s="109"/>
    </row>
    <row r="2381" spans="1:45" ht="12.6" customHeight="1" x14ac:dyDescent="0.3">
      <c r="A2381" s="78"/>
      <c r="B2381" s="78"/>
      <c r="C2381" s="78"/>
      <c r="D2381" s="78"/>
      <c r="E2381" s="78"/>
      <c r="F2381" s="78"/>
      <c r="Z2381" s="109"/>
      <c r="AA2381" s="109"/>
      <c r="AB2381" s="109"/>
      <c r="AC2381" s="109"/>
      <c r="AD2381" s="109"/>
      <c r="AE2381" s="109"/>
      <c r="AF2381" s="109"/>
      <c r="AG2381" s="109"/>
      <c r="AH2381" s="109"/>
      <c r="AI2381" s="109"/>
      <c r="AJ2381" s="109"/>
      <c r="AK2381" s="109"/>
      <c r="AL2381" s="109"/>
      <c r="AM2381" s="109"/>
      <c r="AN2381" s="109"/>
      <c r="AO2381" s="109"/>
      <c r="AP2381" s="109"/>
      <c r="AQ2381" s="109"/>
      <c r="AR2381" s="109"/>
      <c r="AS2381" s="109"/>
    </row>
    <row r="2382" spans="1:45" ht="12.6" customHeight="1" x14ac:dyDescent="0.3">
      <c r="A2382" s="78"/>
      <c r="B2382" s="78"/>
      <c r="C2382" s="78"/>
      <c r="D2382" s="78"/>
      <c r="E2382" s="78"/>
      <c r="F2382" s="78"/>
      <c r="Z2382" s="109"/>
      <c r="AA2382" s="109"/>
      <c r="AB2382" s="109"/>
      <c r="AC2382" s="109"/>
      <c r="AD2382" s="109"/>
      <c r="AE2382" s="109"/>
      <c r="AF2382" s="109"/>
      <c r="AG2382" s="109"/>
      <c r="AH2382" s="109"/>
      <c r="AI2382" s="109"/>
      <c r="AJ2382" s="109"/>
      <c r="AK2382" s="109"/>
      <c r="AL2382" s="109"/>
      <c r="AM2382" s="109"/>
      <c r="AN2382" s="109"/>
      <c r="AO2382" s="109"/>
      <c r="AP2382" s="109"/>
      <c r="AQ2382" s="109"/>
      <c r="AR2382" s="109"/>
      <c r="AS2382" s="109"/>
    </row>
    <row r="2383" spans="1:45" ht="12.6" customHeight="1" x14ac:dyDescent="0.3">
      <c r="A2383" s="58"/>
      <c r="B2383" s="58"/>
      <c r="C2383" s="58"/>
      <c r="D2383" s="58"/>
      <c r="E2383" s="58"/>
      <c r="F2383" s="58"/>
      <c r="Z2383" s="109"/>
      <c r="AA2383" s="109"/>
      <c r="AB2383" s="109"/>
      <c r="AC2383" s="109"/>
      <c r="AD2383" s="109"/>
      <c r="AE2383" s="109"/>
      <c r="AF2383" s="109"/>
      <c r="AG2383" s="109"/>
      <c r="AH2383" s="109"/>
      <c r="AI2383" s="109"/>
      <c r="AJ2383" s="109"/>
      <c r="AK2383" s="109"/>
      <c r="AL2383" s="109"/>
      <c r="AM2383" s="109"/>
      <c r="AN2383" s="109"/>
      <c r="AO2383" s="109"/>
      <c r="AP2383" s="109"/>
      <c r="AQ2383" s="109"/>
      <c r="AR2383" s="109"/>
      <c r="AS2383" s="109"/>
    </row>
    <row r="2384" spans="1:45" ht="12.6" customHeight="1" x14ac:dyDescent="0.3">
      <c r="A2384" s="159" t="s">
        <v>1401</v>
      </c>
      <c r="B2384" s="152"/>
      <c r="C2384" s="55">
        <f>E2384+D2384+F2384</f>
        <v>2248</v>
      </c>
      <c r="D2384" s="54">
        <f>ROUNDDOWN(SUMIF(N2317:N2348,M2384,D2317:D2348),0)</f>
        <v>994</v>
      </c>
      <c r="E2384" s="63">
        <f>ROUNDDOWN(SUMIF(N2317:N2348,M2384,E2317:E2348),0)</f>
        <v>658</v>
      </c>
      <c r="F2384" s="55">
        <f>ROUNDDOWN(SUMIF(N2317:N2348,M2384,F2317:F2348),0)</f>
        <v>596</v>
      </c>
      <c r="M2384" s="20" t="s">
        <v>1128</v>
      </c>
      <c r="Z2384" s="109"/>
      <c r="AA2384" s="109"/>
      <c r="AB2384" s="109"/>
      <c r="AC2384" s="109"/>
      <c r="AD2384" s="109"/>
      <c r="AE2384" s="109"/>
      <c r="AF2384" s="109"/>
      <c r="AG2384" s="109"/>
      <c r="AH2384" s="109"/>
      <c r="AI2384" s="109"/>
      <c r="AJ2384" s="109"/>
      <c r="AK2384" s="109"/>
      <c r="AL2384" s="109"/>
      <c r="AM2384" s="109"/>
      <c r="AN2384" s="109"/>
      <c r="AO2384" s="109"/>
      <c r="AP2384" s="109"/>
      <c r="AQ2384" s="109"/>
      <c r="AR2384" s="109"/>
      <c r="AS2384" s="109"/>
    </row>
    <row r="2385" spans="1:45" ht="12.6" customHeight="1" x14ac:dyDescent="0.3">
      <c r="A2385" s="95" t="s">
        <v>304</v>
      </c>
      <c r="B2385" s="96" t="s">
        <v>304</v>
      </c>
      <c r="C2385" s="158">
        <f>C2454</f>
        <v>2248</v>
      </c>
      <c r="D2385" s="158">
        <f>D2454</f>
        <v>957</v>
      </c>
      <c r="E2385" s="158">
        <f>E2454</f>
        <v>633</v>
      </c>
      <c r="F2385" s="158">
        <f>F2454</f>
        <v>658</v>
      </c>
      <c r="G2385" s="36" t="str">
        <f>HYPERLINK("#G"&amp;ROW(G2419),"_x0005_`BDCOD|D02255_x0007_`POSS|"&amp;ROW(G2387)&amp;"_x0007_`POSE|"&amp;ROW(G2419)&amp;"_x0007_`")</f>
        <v>_x0005_`BDCOD|D02255_x0007_`POSS|2387_x0007_`POSE|2419_x0007_`</v>
      </c>
      <c r="Z2385" s="109"/>
      <c r="AA2385" s="109"/>
      <c r="AB2385" s="109"/>
      <c r="AC2385" s="109"/>
      <c r="AD2385" s="109"/>
      <c r="AE2385" s="109"/>
      <c r="AF2385" s="109"/>
      <c r="AG2385" s="109"/>
      <c r="AH2385" s="109"/>
      <c r="AI2385" s="109"/>
      <c r="AJ2385" s="109"/>
      <c r="AK2385" s="109"/>
      <c r="AL2385" s="109"/>
      <c r="AM2385" s="109"/>
      <c r="AN2385" s="109"/>
      <c r="AO2385" s="109"/>
      <c r="AP2385" s="109"/>
      <c r="AQ2385" s="109"/>
      <c r="AR2385" s="109"/>
      <c r="AS2385" s="109"/>
    </row>
    <row r="2386" spans="1:45" ht="12.6" customHeight="1" x14ac:dyDescent="0.3">
      <c r="A2386" s="84"/>
      <c r="B2386" s="96" t="s">
        <v>303</v>
      </c>
      <c r="C2386" s="141"/>
      <c r="D2386" s="141"/>
      <c r="E2386" s="141"/>
      <c r="F2386" s="141"/>
      <c r="M2386" s="20" t="s">
        <v>302</v>
      </c>
      <c r="Z2386" s="109"/>
      <c r="AA2386" s="109"/>
      <c r="AB2386" s="109"/>
      <c r="AC2386" s="109"/>
      <c r="AD2386" s="109"/>
      <c r="AE2386" s="109"/>
      <c r="AF2386" s="109"/>
      <c r="AG2386" s="109"/>
      <c r="AH2386" s="109"/>
      <c r="AI2386" s="109"/>
      <c r="AJ2386" s="109"/>
      <c r="AK2386" s="109"/>
      <c r="AL2386" s="109"/>
      <c r="AM2386" s="109"/>
      <c r="AN2386" s="109"/>
      <c r="AO2386" s="109"/>
      <c r="AP2386" s="109"/>
      <c r="AQ2386" s="109"/>
      <c r="AR2386" s="109"/>
      <c r="AS2386" s="109"/>
    </row>
    <row r="2387" spans="1:45" ht="12.6" customHeight="1" x14ac:dyDescent="0.3">
      <c r="A2387" s="68"/>
      <c r="B2387" s="77" t="s">
        <v>1889</v>
      </c>
      <c r="C2387" s="98"/>
      <c r="D2387" s="98"/>
      <c r="E2387" s="98"/>
      <c r="F2387" s="98"/>
      <c r="G2387" s="16" t="s">
        <v>1888</v>
      </c>
      <c r="Z2387" s="109"/>
      <c r="AA2387" s="109"/>
      <c r="AB2387" s="109"/>
      <c r="AC2387" s="109"/>
      <c r="AD2387" s="109"/>
      <c r="AE2387" s="109"/>
      <c r="AF2387" s="109"/>
      <c r="AG2387" s="109"/>
      <c r="AH2387" s="109"/>
      <c r="AI2387" s="109"/>
      <c r="AJ2387" s="109"/>
      <c r="AK2387" s="109"/>
      <c r="AL2387" s="109"/>
      <c r="AM2387" s="109"/>
      <c r="AN2387" s="109"/>
      <c r="AO2387" s="109"/>
      <c r="AP2387" s="109"/>
      <c r="AQ2387" s="109"/>
      <c r="AR2387" s="109"/>
      <c r="AS2387" s="109"/>
    </row>
    <row r="2388" spans="1:45" ht="12.6" customHeight="1" x14ac:dyDescent="0.3">
      <c r="A2388" s="78"/>
      <c r="B2388" s="78"/>
      <c r="C2388" s="78"/>
      <c r="D2388" s="78"/>
      <c r="E2388" s="78"/>
      <c r="F2388" s="78"/>
      <c r="G2388" s="16" t="s">
        <v>1317</v>
      </c>
      <c r="Z2388" s="109"/>
      <c r="AA2388" s="109"/>
      <c r="AB2388" s="109"/>
      <c r="AC2388" s="109"/>
      <c r="AD2388" s="109"/>
      <c r="AE2388" s="109"/>
      <c r="AF2388" s="109"/>
      <c r="AG2388" s="109"/>
      <c r="AH2388" s="109"/>
      <c r="AI2388" s="109"/>
      <c r="AJ2388" s="109"/>
      <c r="AK2388" s="109"/>
      <c r="AL2388" s="109"/>
      <c r="AM2388" s="109"/>
      <c r="AN2388" s="109"/>
      <c r="AO2388" s="109"/>
      <c r="AP2388" s="109"/>
      <c r="AQ2388" s="109"/>
      <c r="AR2388" s="109"/>
      <c r="AS2388" s="109"/>
    </row>
    <row r="2389" spans="1:45" ht="12.6" customHeight="1" x14ac:dyDescent="0.3">
      <c r="A2389" s="68"/>
      <c r="B2389" s="97" t="str">
        <f>"   도자 19 Ton     ( L1 = "&amp;Z2389&amp;" m) "</f>
        <v xml:space="preserve">   도자 19 Ton     ( L1 = 39.07 m) </v>
      </c>
      <c r="C2389" s="78"/>
      <c r="D2389" s="78"/>
      <c r="E2389" s="78"/>
      <c r="F2389" s="78"/>
      <c r="G2389" s="16" t="s">
        <v>2099</v>
      </c>
      <c r="Z2389" s="110">
        <v>39.07</v>
      </c>
      <c r="AA2389" s="20" t="s">
        <v>1326</v>
      </c>
      <c r="AB2389" s="112">
        <f>Z2389</f>
        <v>39.07</v>
      </c>
      <c r="AC2389" s="109"/>
      <c r="AD2389" s="109"/>
      <c r="AE2389" s="109"/>
      <c r="AF2389" s="109"/>
      <c r="AG2389" s="109"/>
      <c r="AH2389" s="109"/>
      <c r="AI2389" s="109"/>
      <c r="AJ2389" s="109"/>
      <c r="AK2389" s="109"/>
      <c r="AL2389" s="109"/>
      <c r="AM2389" s="109"/>
      <c r="AN2389" s="109"/>
      <c r="AO2389" s="109"/>
      <c r="AP2389" s="109"/>
      <c r="AQ2389" s="109"/>
      <c r="AR2389" s="109"/>
      <c r="AS2389" s="109"/>
    </row>
    <row r="2390" spans="1:45" ht="12.6" customHeight="1" x14ac:dyDescent="0.3">
      <c r="A2390" s="78"/>
      <c r="B2390" s="78"/>
      <c r="C2390" s="78"/>
      <c r="D2390" s="78"/>
      <c r="E2390" s="78"/>
      <c r="F2390" s="78"/>
      <c r="G2390" s="16" t="s">
        <v>1317</v>
      </c>
      <c r="Z2390" s="109"/>
      <c r="AA2390" s="109"/>
      <c r="AB2390" s="109"/>
      <c r="AC2390" s="109"/>
      <c r="AD2390" s="109"/>
      <c r="AE2390" s="109"/>
      <c r="AF2390" s="109"/>
      <c r="AG2390" s="109"/>
      <c r="AH2390" s="109"/>
      <c r="AI2390" s="109"/>
      <c r="AJ2390" s="109"/>
      <c r="AK2390" s="109"/>
      <c r="AL2390" s="109"/>
      <c r="AM2390" s="109"/>
      <c r="AN2390" s="109"/>
      <c r="AO2390" s="109"/>
      <c r="AP2390" s="109"/>
      <c r="AQ2390" s="109"/>
      <c r="AR2390" s="109"/>
      <c r="AS2390" s="109"/>
    </row>
    <row r="2391" spans="1:45" ht="12.6" customHeight="1" x14ac:dyDescent="0.3">
      <c r="A2391" s="68"/>
      <c r="B2391" s="97" t="str">
        <f>" L (운반거리) = L1-"&amp;AB2391&amp;"= "&amp;AD2391&amp;" m "</f>
        <v xml:space="preserve"> L (운반거리) = L1-20= 19.07 m </v>
      </c>
      <c r="C2391" s="78"/>
      <c r="D2391" s="78"/>
      <c r="E2391" s="78"/>
      <c r="F2391" s="78"/>
      <c r="G2391" s="16" t="s">
        <v>1869</v>
      </c>
      <c r="Z2391" s="112">
        <f>AB2389</f>
        <v>39.07</v>
      </c>
      <c r="AA2391" s="20" t="s">
        <v>1407</v>
      </c>
      <c r="AB2391" s="111">
        <v>20</v>
      </c>
      <c r="AC2391" s="20" t="s">
        <v>1326</v>
      </c>
      <c r="AD2391" s="112" t="str">
        <f>TEXT(ROUND(AB2389-AB2391,2),"0.00")</f>
        <v>19.07</v>
      </c>
      <c r="AE2391" s="109"/>
      <c r="AF2391" s="109"/>
      <c r="AG2391" s="109"/>
      <c r="AH2391" s="109"/>
      <c r="AI2391" s="109"/>
      <c r="AJ2391" s="109"/>
      <c r="AK2391" s="109"/>
      <c r="AL2391" s="109"/>
      <c r="AM2391" s="109"/>
      <c r="AN2391" s="109"/>
      <c r="AO2391" s="109"/>
      <c r="AP2391" s="109"/>
      <c r="AQ2391" s="109"/>
      <c r="AR2391" s="109"/>
      <c r="AS2391" s="109"/>
    </row>
    <row r="2392" spans="1:45" ht="12.6" customHeight="1" x14ac:dyDescent="0.3">
      <c r="A2392" s="78"/>
      <c r="B2392" s="78"/>
      <c r="C2392" s="78"/>
      <c r="D2392" s="78"/>
      <c r="E2392" s="78"/>
      <c r="F2392" s="78"/>
      <c r="G2392" s="16" t="s">
        <v>1317</v>
      </c>
      <c r="Z2392" s="109"/>
      <c r="AA2392" s="109"/>
      <c r="AB2392" s="109"/>
      <c r="AC2392" s="109"/>
      <c r="AD2392" s="109"/>
      <c r="AE2392" s="109"/>
      <c r="AF2392" s="109"/>
      <c r="AG2392" s="109"/>
      <c r="AH2392" s="109"/>
      <c r="AI2392" s="109"/>
      <c r="AJ2392" s="109"/>
      <c r="AK2392" s="109"/>
      <c r="AL2392" s="109"/>
      <c r="AM2392" s="109"/>
      <c r="AN2392" s="109"/>
      <c r="AO2392" s="109"/>
      <c r="AP2392" s="109"/>
      <c r="AQ2392" s="109"/>
      <c r="AR2392" s="109"/>
      <c r="AS2392" s="109"/>
    </row>
    <row r="2393" spans="1:45" ht="12.6" customHeight="1" x14ac:dyDescent="0.3">
      <c r="A2393" s="68"/>
      <c r="B2393" s="97" t="str">
        <f>" f (토량의 체적 환산계수) = "&amp;Z2393&amp;"/"&amp;AB2393&amp;" = "&amp;AD2393&amp;""</f>
        <v xml:space="preserve"> f (토량의 체적 환산계수) = 1.15/1.4 = 0.82</v>
      </c>
      <c r="C2393" s="78"/>
      <c r="D2393" s="78"/>
      <c r="E2393" s="78"/>
      <c r="F2393" s="78"/>
      <c r="G2393" s="16" t="s">
        <v>1891</v>
      </c>
      <c r="Z2393" s="110">
        <v>1.1499999999999999</v>
      </c>
      <c r="AA2393" s="20" t="s">
        <v>1387</v>
      </c>
      <c r="AB2393" s="110">
        <v>1.4</v>
      </c>
      <c r="AC2393" s="20" t="s">
        <v>1326</v>
      </c>
      <c r="AD2393" s="112" t="str">
        <f>TEXT(ROUND(Z2393/AB2393,2),"0.00")</f>
        <v>0.82</v>
      </c>
      <c r="AE2393" s="109"/>
      <c r="AF2393" s="109"/>
      <c r="AG2393" s="109"/>
      <c r="AH2393" s="109"/>
      <c r="AI2393" s="109"/>
      <c r="AJ2393" s="109"/>
      <c r="AK2393" s="109"/>
      <c r="AL2393" s="109"/>
      <c r="AM2393" s="109"/>
      <c r="AN2393" s="109"/>
      <c r="AO2393" s="109"/>
      <c r="AP2393" s="109"/>
      <c r="AQ2393" s="109"/>
      <c r="AR2393" s="109"/>
      <c r="AS2393" s="109"/>
    </row>
    <row r="2394" spans="1:45" ht="12.6" customHeight="1" x14ac:dyDescent="0.3">
      <c r="A2394" s="78"/>
      <c r="B2394" s="78"/>
      <c r="C2394" s="78"/>
      <c r="D2394" s="78"/>
      <c r="E2394" s="78"/>
      <c r="F2394" s="78"/>
      <c r="G2394" s="16" t="s">
        <v>1317</v>
      </c>
      <c r="Z2394" s="109"/>
      <c r="AA2394" s="109"/>
      <c r="AB2394" s="109"/>
      <c r="AC2394" s="109"/>
      <c r="AD2394" s="109"/>
      <c r="AE2394" s="109"/>
      <c r="AF2394" s="109"/>
      <c r="AG2394" s="109"/>
      <c r="AH2394" s="109"/>
      <c r="AI2394" s="109"/>
      <c r="AJ2394" s="109"/>
      <c r="AK2394" s="109"/>
      <c r="AL2394" s="109"/>
      <c r="AM2394" s="109"/>
      <c r="AN2394" s="109"/>
      <c r="AO2394" s="109"/>
      <c r="AP2394" s="109"/>
      <c r="AQ2394" s="109"/>
      <c r="AR2394" s="109"/>
      <c r="AS2394" s="109"/>
    </row>
    <row r="2395" spans="1:45" ht="12.6" customHeight="1" x14ac:dyDescent="0.3">
      <c r="A2395" s="68"/>
      <c r="B2395" s="97" t="str">
        <f>" E (작업효율) = "&amp;Z2395&amp;" , qo (거리를 고려하지 않은 삽날의 용량) = "&amp;AD2395&amp;""</f>
        <v xml:space="preserve"> E (작업효율) = 0.35 , qo (거리를 고려하지 않은 삽날의 용량) = 3.2</v>
      </c>
      <c r="C2395" s="78"/>
      <c r="D2395" s="78"/>
      <c r="E2395" s="78"/>
      <c r="F2395" s="78"/>
      <c r="G2395" s="16" t="s">
        <v>1892</v>
      </c>
      <c r="Z2395" s="110">
        <v>0.35</v>
      </c>
      <c r="AA2395" s="20" t="s">
        <v>1326</v>
      </c>
      <c r="AB2395" s="112">
        <f>Z2395</f>
        <v>0.35</v>
      </c>
      <c r="AC2395" s="20" t="s">
        <v>1385</v>
      </c>
      <c r="AD2395" s="110">
        <v>3.2</v>
      </c>
      <c r="AE2395" s="20" t="s">
        <v>1326</v>
      </c>
      <c r="AF2395" s="112">
        <f>AD2395</f>
        <v>3.2</v>
      </c>
      <c r="AG2395" s="20" t="s">
        <v>1385</v>
      </c>
      <c r="AH2395" s="109"/>
      <c r="AI2395" s="109"/>
      <c r="AJ2395" s="109"/>
      <c r="AK2395" s="109"/>
      <c r="AL2395" s="109"/>
      <c r="AM2395" s="109"/>
      <c r="AN2395" s="109"/>
      <c r="AO2395" s="109"/>
      <c r="AP2395" s="109"/>
      <c r="AQ2395" s="109"/>
      <c r="AR2395" s="109"/>
      <c r="AS2395" s="109"/>
    </row>
    <row r="2396" spans="1:45" ht="12.6" customHeight="1" x14ac:dyDescent="0.3">
      <c r="A2396" s="78"/>
      <c r="B2396" s="78"/>
      <c r="C2396" s="78"/>
      <c r="D2396" s="78"/>
      <c r="E2396" s="78"/>
      <c r="F2396" s="78"/>
      <c r="G2396" s="16" t="s">
        <v>1317</v>
      </c>
      <c r="Z2396" s="109"/>
      <c r="AA2396" s="109"/>
      <c r="AB2396" s="109"/>
      <c r="AC2396" s="109"/>
      <c r="AD2396" s="109"/>
      <c r="AE2396" s="109"/>
      <c r="AF2396" s="109"/>
      <c r="AG2396" s="109"/>
      <c r="AH2396" s="109"/>
      <c r="AI2396" s="109"/>
      <c r="AJ2396" s="109"/>
      <c r="AK2396" s="109"/>
      <c r="AL2396" s="109"/>
      <c r="AM2396" s="109"/>
      <c r="AN2396" s="109"/>
      <c r="AO2396" s="109"/>
      <c r="AP2396" s="109"/>
      <c r="AQ2396" s="109"/>
      <c r="AR2396" s="109"/>
      <c r="AS2396" s="109"/>
    </row>
    <row r="2397" spans="1:45" ht="12.6" customHeight="1" x14ac:dyDescent="0.3">
      <c r="A2397" s="68"/>
      <c r="B2397" s="97" t="str">
        <f>" eo (운반거리계수) = "&amp;Z2397&amp;""</f>
        <v xml:space="preserve"> eo (운반거리계수) = 0.92</v>
      </c>
      <c r="C2397" s="78"/>
      <c r="D2397" s="78"/>
      <c r="E2397" s="78"/>
      <c r="F2397" s="78"/>
      <c r="G2397" s="16" t="s">
        <v>1872</v>
      </c>
      <c r="Z2397" s="110">
        <v>0.92</v>
      </c>
      <c r="AA2397" s="20" t="s">
        <v>1326</v>
      </c>
      <c r="AB2397" s="112">
        <f>Z2397</f>
        <v>0.92</v>
      </c>
      <c r="AC2397" s="109"/>
      <c r="AD2397" s="109"/>
      <c r="AE2397" s="109"/>
      <c r="AF2397" s="109"/>
      <c r="AG2397" s="109"/>
      <c r="AH2397" s="109"/>
      <c r="AI2397" s="109"/>
      <c r="AJ2397" s="109"/>
      <c r="AK2397" s="109"/>
      <c r="AL2397" s="109"/>
      <c r="AM2397" s="109"/>
      <c r="AN2397" s="109"/>
      <c r="AO2397" s="109"/>
      <c r="AP2397" s="109"/>
      <c r="AQ2397" s="109"/>
      <c r="AR2397" s="109"/>
      <c r="AS2397" s="109"/>
    </row>
    <row r="2398" spans="1:45" ht="12.6" customHeight="1" x14ac:dyDescent="0.3">
      <c r="A2398" s="78"/>
      <c r="B2398" s="78"/>
      <c r="C2398" s="78"/>
      <c r="D2398" s="78"/>
      <c r="E2398" s="78"/>
      <c r="F2398" s="78"/>
      <c r="G2398" s="16" t="s">
        <v>1317</v>
      </c>
      <c r="Z2398" s="109"/>
      <c r="AA2398" s="109"/>
      <c r="AB2398" s="109"/>
      <c r="AC2398" s="109"/>
      <c r="AD2398" s="109"/>
      <c r="AE2398" s="109"/>
      <c r="AF2398" s="109"/>
      <c r="AG2398" s="109"/>
      <c r="AH2398" s="109"/>
      <c r="AI2398" s="109"/>
      <c r="AJ2398" s="109"/>
      <c r="AK2398" s="109"/>
      <c r="AL2398" s="109"/>
      <c r="AM2398" s="109"/>
      <c r="AN2398" s="109"/>
      <c r="AO2398" s="109"/>
      <c r="AP2398" s="109"/>
      <c r="AQ2398" s="109"/>
      <c r="AR2398" s="109"/>
      <c r="AS2398" s="109"/>
    </row>
    <row r="2399" spans="1:45" ht="12.6" customHeight="1" x14ac:dyDescent="0.3">
      <c r="A2399" s="68"/>
      <c r="B2399" s="77" t="s">
        <v>1874</v>
      </c>
      <c r="C2399" s="78"/>
      <c r="D2399" s="78"/>
      <c r="E2399" s="78"/>
      <c r="F2399" s="78"/>
      <c r="G2399" s="16" t="s">
        <v>1873</v>
      </c>
      <c r="Z2399" s="109"/>
      <c r="AA2399" s="109"/>
      <c r="AB2399" s="109"/>
      <c r="AC2399" s="109"/>
      <c r="AD2399" s="109"/>
      <c r="AE2399" s="109"/>
      <c r="AF2399" s="109"/>
      <c r="AG2399" s="109"/>
      <c r="AH2399" s="109"/>
      <c r="AI2399" s="109"/>
      <c r="AJ2399" s="109"/>
      <c r="AK2399" s="109"/>
      <c r="AL2399" s="109"/>
      <c r="AM2399" s="109"/>
      <c r="AN2399" s="109"/>
      <c r="AO2399" s="109"/>
      <c r="AP2399" s="109"/>
      <c r="AQ2399" s="109"/>
      <c r="AR2399" s="109"/>
      <c r="AS2399" s="109"/>
    </row>
    <row r="2400" spans="1:45" ht="12.6" customHeight="1" x14ac:dyDescent="0.3">
      <c r="A2400" s="78"/>
      <c r="B2400" s="78"/>
      <c r="C2400" s="78"/>
      <c r="D2400" s="78"/>
      <c r="E2400" s="78"/>
      <c r="F2400" s="78"/>
      <c r="G2400" s="16" t="s">
        <v>1317</v>
      </c>
      <c r="Z2400" s="109"/>
      <c r="AA2400" s="109"/>
      <c r="AB2400" s="109"/>
      <c r="AC2400" s="109"/>
      <c r="AD2400" s="109"/>
      <c r="AE2400" s="109"/>
      <c r="AF2400" s="109"/>
      <c r="AG2400" s="109"/>
      <c r="AH2400" s="109"/>
      <c r="AI2400" s="109"/>
      <c r="AJ2400" s="109"/>
      <c r="AK2400" s="109"/>
      <c r="AL2400" s="109"/>
      <c r="AM2400" s="109"/>
      <c r="AN2400" s="109"/>
      <c r="AO2400" s="109"/>
      <c r="AP2400" s="109"/>
      <c r="AQ2400" s="109"/>
      <c r="AR2400" s="109"/>
      <c r="AS2400" s="109"/>
    </row>
    <row r="2401" spans="1:45" ht="12.6" customHeight="1" x14ac:dyDescent="0.3">
      <c r="A2401" s="68"/>
      <c r="B2401" s="77" t="s">
        <v>1876</v>
      </c>
      <c r="C2401" s="78"/>
      <c r="D2401" s="78"/>
      <c r="E2401" s="78"/>
      <c r="F2401" s="78"/>
      <c r="G2401" s="16" t="s">
        <v>1875</v>
      </c>
      <c r="Z2401" s="109"/>
      <c r="AA2401" s="109"/>
      <c r="AB2401" s="109"/>
      <c r="AC2401" s="109"/>
      <c r="AD2401" s="109"/>
      <c r="AE2401" s="109"/>
      <c r="AF2401" s="109"/>
      <c r="AG2401" s="109"/>
      <c r="AH2401" s="109"/>
      <c r="AI2401" s="109"/>
      <c r="AJ2401" s="109"/>
      <c r="AK2401" s="109"/>
      <c r="AL2401" s="109"/>
      <c r="AM2401" s="109"/>
      <c r="AN2401" s="109"/>
      <c r="AO2401" s="109"/>
      <c r="AP2401" s="109"/>
      <c r="AQ2401" s="109"/>
      <c r="AR2401" s="109"/>
      <c r="AS2401" s="109"/>
    </row>
    <row r="2402" spans="1:45" ht="12.6" customHeight="1" x14ac:dyDescent="0.3">
      <c r="A2402" s="78"/>
      <c r="B2402" s="78"/>
      <c r="C2402" s="78"/>
      <c r="D2402" s="78"/>
      <c r="E2402" s="78"/>
      <c r="F2402" s="78"/>
      <c r="G2402" s="16" t="s">
        <v>1317</v>
      </c>
      <c r="Z2402" s="109"/>
      <c r="AA2402" s="109"/>
      <c r="AB2402" s="109"/>
      <c r="AC2402" s="109"/>
      <c r="AD2402" s="109"/>
      <c r="AE2402" s="109"/>
      <c r="AF2402" s="109"/>
      <c r="AG2402" s="109"/>
      <c r="AH2402" s="109"/>
      <c r="AI2402" s="109"/>
      <c r="AJ2402" s="109"/>
      <c r="AK2402" s="109"/>
      <c r="AL2402" s="109"/>
      <c r="AM2402" s="109"/>
      <c r="AN2402" s="109"/>
      <c r="AO2402" s="109"/>
      <c r="AP2402" s="109"/>
      <c r="AQ2402" s="109"/>
      <c r="AR2402" s="109"/>
      <c r="AS2402" s="109"/>
    </row>
    <row r="2403" spans="1:45" ht="12.6" customHeight="1" x14ac:dyDescent="0.3">
      <c r="A2403" s="68"/>
      <c r="B2403" s="97" t="str">
        <f>" P=qo*eo= "&amp;AD2403&amp;""</f>
        <v xml:space="preserve"> P=qo*eo= 2.94</v>
      </c>
      <c r="C2403" s="78"/>
      <c r="D2403" s="78"/>
      <c r="E2403" s="78"/>
      <c r="F2403" s="78"/>
      <c r="G2403" s="16" t="s">
        <v>1877</v>
      </c>
      <c r="Z2403" s="112">
        <f>AF2395</f>
        <v>3.2</v>
      </c>
      <c r="AA2403" s="20" t="s">
        <v>1390</v>
      </c>
      <c r="AB2403" s="112">
        <f>AB2397</f>
        <v>0.92</v>
      </c>
      <c r="AC2403" s="20" t="s">
        <v>1326</v>
      </c>
      <c r="AD2403" s="112" t="str">
        <f>TEXT(ROUND(AF2395*AB2397,2),"0.00")</f>
        <v>2.94</v>
      </c>
      <c r="AE2403" s="109"/>
      <c r="AF2403" s="109"/>
      <c r="AG2403" s="109"/>
      <c r="AH2403" s="109"/>
      <c r="AI2403" s="109"/>
      <c r="AJ2403" s="109"/>
      <c r="AK2403" s="109"/>
      <c r="AL2403" s="109"/>
      <c r="AM2403" s="109"/>
      <c r="AN2403" s="109"/>
      <c r="AO2403" s="109"/>
      <c r="AP2403" s="109"/>
      <c r="AQ2403" s="109"/>
      <c r="AR2403" s="109"/>
      <c r="AS2403" s="109"/>
    </row>
    <row r="2404" spans="1:45" ht="12.6" customHeight="1" x14ac:dyDescent="0.3">
      <c r="A2404" s="78"/>
      <c r="B2404" s="78"/>
      <c r="C2404" s="78"/>
      <c r="D2404" s="78"/>
      <c r="E2404" s="78"/>
      <c r="F2404" s="78"/>
      <c r="G2404" s="16" t="s">
        <v>1317</v>
      </c>
      <c r="Z2404" s="109"/>
      <c r="AA2404" s="109"/>
      <c r="AB2404" s="109"/>
      <c r="AC2404" s="109"/>
      <c r="AD2404" s="109"/>
      <c r="AE2404" s="109"/>
      <c r="AF2404" s="109"/>
      <c r="AG2404" s="109"/>
      <c r="AH2404" s="109"/>
      <c r="AI2404" s="109"/>
      <c r="AJ2404" s="109"/>
      <c r="AK2404" s="109"/>
      <c r="AL2404" s="109"/>
      <c r="AM2404" s="109"/>
      <c r="AN2404" s="109"/>
      <c r="AO2404" s="109"/>
      <c r="AP2404" s="109"/>
      <c r="AQ2404" s="109"/>
      <c r="AR2404" s="109"/>
      <c r="AS2404" s="109"/>
    </row>
    <row r="2405" spans="1:45" ht="12.6" customHeight="1" x14ac:dyDescent="0.3">
      <c r="A2405" s="68"/>
      <c r="B2405" s="97" t="str">
        <f>" V1 (전진속도) = "&amp;Z2405&amp;" m/min  , V2 (후진속도)  = "&amp;AD2405&amp;" m/min "</f>
        <v xml:space="preserve"> V1 (전진속도) = 55 m/min  , V2 (후진속도)  = 70 m/min </v>
      </c>
      <c r="C2405" s="78"/>
      <c r="D2405" s="78"/>
      <c r="E2405" s="78"/>
      <c r="F2405" s="78"/>
      <c r="G2405" s="16" t="s">
        <v>1894</v>
      </c>
      <c r="Z2405" s="111">
        <v>55</v>
      </c>
      <c r="AA2405" s="20" t="s">
        <v>1326</v>
      </c>
      <c r="AB2405" s="112">
        <f>Z2405</f>
        <v>55</v>
      </c>
      <c r="AC2405" s="20" t="s">
        <v>1385</v>
      </c>
      <c r="AD2405" s="111">
        <v>70</v>
      </c>
      <c r="AE2405" s="20" t="s">
        <v>1326</v>
      </c>
      <c r="AF2405" s="112">
        <f>AD2405</f>
        <v>70</v>
      </c>
      <c r="AG2405" s="20" t="s">
        <v>1385</v>
      </c>
      <c r="AH2405" s="109"/>
      <c r="AI2405" s="109"/>
      <c r="AJ2405" s="109"/>
      <c r="AK2405" s="109"/>
      <c r="AL2405" s="109"/>
      <c r="AM2405" s="109"/>
      <c r="AN2405" s="109"/>
      <c r="AO2405" s="109"/>
      <c r="AP2405" s="109"/>
      <c r="AQ2405" s="109"/>
      <c r="AR2405" s="109"/>
      <c r="AS2405" s="109"/>
    </row>
    <row r="2406" spans="1:45" ht="12.6" customHeight="1" x14ac:dyDescent="0.3">
      <c r="A2406" s="78"/>
      <c r="B2406" s="78"/>
      <c r="C2406" s="78"/>
      <c r="D2406" s="78"/>
      <c r="E2406" s="78"/>
      <c r="F2406" s="78"/>
      <c r="G2406" s="16" t="s">
        <v>1317</v>
      </c>
      <c r="Z2406" s="109"/>
      <c r="AA2406" s="109"/>
      <c r="AB2406" s="109"/>
      <c r="AC2406" s="109"/>
      <c r="AD2406" s="109"/>
      <c r="AE2406" s="109"/>
      <c r="AF2406" s="109"/>
      <c r="AG2406" s="109"/>
      <c r="AH2406" s="109"/>
      <c r="AI2406" s="109"/>
      <c r="AJ2406" s="109"/>
      <c r="AK2406" s="109"/>
      <c r="AL2406" s="109"/>
      <c r="AM2406" s="109"/>
      <c r="AN2406" s="109"/>
      <c r="AO2406" s="109"/>
      <c r="AP2406" s="109"/>
      <c r="AQ2406" s="109"/>
      <c r="AR2406" s="109"/>
      <c r="AS2406" s="109"/>
    </row>
    <row r="2407" spans="1:45" ht="12.6" customHeight="1" x14ac:dyDescent="0.3">
      <c r="A2407" s="68"/>
      <c r="B2407" s="97" t="str">
        <f>" Cm (1회 사이클 시간(분))  = L/V1 + L/V2 + "&amp;AH2407&amp;" = "&amp;AJ2407&amp;" 분 "</f>
        <v xml:space="preserve"> Cm (1회 사이클 시간(분))  = L/V1 + L/V2 + 0.25 = 0.87 분 </v>
      </c>
      <c r="C2407" s="78"/>
      <c r="D2407" s="78"/>
      <c r="E2407" s="78"/>
      <c r="F2407" s="78"/>
      <c r="G2407" s="16" t="s">
        <v>1895</v>
      </c>
      <c r="Z2407" s="112" t="str">
        <f>AD2391</f>
        <v>19.07</v>
      </c>
      <c r="AA2407" s="20" t="s">
        <v>1387</v>
      </c>
      <c r="AB2407" s="112">
        <f>AB2405</f>
        <v>55</v>
      </c>
      <c r="AC2407" s="20" t="s">
        <v>1535</v>
      </c>
      <c r="AD2407" s="112" t="str">
        <f>AD2391</f>
        <v>19.07</v>
      </c>
      <c r="AE2407" s="20" t="s">
        <v>1387</v>
      </c>
      <c r="AF2407" s="112">
        <f>AF2405</f>
        <v>70</v>
      </c>
      <c r="AG2407" s="20" t="s">
        <v>1535</v>
      </c>
      <c r="AH2407" s="110">
        <v>0.25</v>
      </c>
      <c r="AI2407" s="20" t="s">
        <v>1326</v>
      </c>
      <c r="AJ2407" s="112" t="str">
        <f>TEXT(ROUND(AD2391/AB2405+AD2391/AF2405+AH2407,2),"0.00")</f>
        <v>0.87</v>
      </c>
      <c r="AK2407" s="109"/>
      <c r="AL2407" s="109"/>
      <c r="AM2407" s="109"/>
      <c r="AN2407" s="109"/>
      <c r="AO2407" s="109"/>
      <c r="AP2407" s="109"/>
      <c r="AQ2407" s="109"/>
      <c r="AR2407" s="109"/>
      <c r="AS2407" s="109"/>
    </row>
    <row r="2408" spans="1:45" ht="12.6" customHeight="1" x14ac:dyDescent="0.3">
      <c r="A2408" s="78"/>
      <c r="B2408" s="78"/>
      <c r="C2408" s="78"/>
      <c r="D2408" s="78"/>
      <c r="E2408" s="78"/>
      <c r="F2408" s="78"/>
      <c r="G2408" s="16" t="s">
        <v>1317</v>
      </c>
      <c r="Z2408" s="109"/>
      <c r="AA2408" s="109"/>
      <c r="AB2408" s="109"/>
      <c r="AC2408" s="109"/>
      <c r="AD2408" s="109"/>
      <c r="AE2408" s="109"/>
      <c r="AF2408" s="109"/>
      <c r="AG2408" s="109"/>
      <c r="AH2408" s="109"/>
      <c r="AI2408" s="109"/>
      <c r="AJ2408" s="109"/>
      <c r="AK2408" s="109"/>
      <c r="AL2408" s="109"/>
      <c r="AM2408" s="109"/>
      <c r="AN2408" s="109"/>
      <c r="AO2408" s="109"/>
      <c r="AP2408" s="109"/>
      <c r="AQ2408" s="109"/>
      <c r="AR2408" s="109"/>
      <c r="AS2408" s="109"/>
    </row>
    <row r="2409" spans="1:45" ht="12.6" customHeight="1" x14ac:dyDescent="0.3">
      <c r="A2409" s="68"/>
      <c r="B2409" s="97" t="str">
        <f>" Q  (시간당 작업량) = "&amp;Z2409&amp;" * P * f * E / Cm = "&amp;AJ2409&amp;" m3/hr "</f>
        <v xml:space="preserve"> Q  (시간당 작업량) = 60 * P * f * E / Cm = 58.19 m3/hr </v>
      </c>
      <c r="C2409" s="78"/>
      <c r="D2409" s="78"/>
      <c r="E2409" s="78"/>
      <c r="F2409" s="78"/>
      <c r="G2409" s="16" t="s">
        <v>1896</v>
      </c>
      <c r="Z2409" s="111">
        <v>60</v>
      </c>
      <c r="AA2409" s="20" t="s">
        <v>1390</v>
      </c>
      <c r="AB2409" s="112" t="str">
        <f>AD2403</f>
        <v>2.94</v>
      </c>
      <c r="AC2409" s="20" t="s">
        <v>1390</v>
      </c>
      <c r="AD2409" s="112" t="str">
        <f>AD2393</f>
        <v>0.82</v>
      </c>
      <c r="AE2409" s="20" t="s">
        <v>1390</v>
      </c>
      <c r="AF2409" s="112">
        <f>AB2395</f>
        <v>0.35</v>
      </c>
      <c r="AG2409" s="20" t="s">
        <v>1387</v>
      </c>
      <c r="AH2409" s="112" t="str">
        <f>AJ2407</f>
        <v>0.87</v>
      </c>
      <c r="AI2409" s="20" t="s">
        <v>1326</v>
      </c>
      <c r="AJ2409" s="112" t="str">
        <f>TEXT(ROUND(Z2409*AD2403*AD2393*AB2395/AJ2407,2),"0.00")</f>
        <v>58.19</v>
      </c>
      <c r="AK2409" s="109"/>
      <c r="AL2409" s="109"/>
      <c r="AM2409" s="109"/>
      <c r="AN2409" s="109"/>
      <c r="AO2409" s="109"/>
      <c r="AP2409" s="109"/>
      <c r="AQ2409" s="109"/>
      <c r="AR2409" s="109"/>
      <c r="AS2409" s="109"/>
    </row>
    <row r="2410" spans="1:45" ht="12.6" customHeight="1" x14ac:dyDescent="0.3">
      <c r="A2410" s="78"/>
      <c r="B2410" s="78"/>
      <c r="C2410" s="78"/>
      <c r="D2410" s="78"/>
      <c r="E2410" s="78"/>
      <c r="F2410" s="78"/>
      <c r="G2410" s="16" t="s">
        <v>1317</v>
      </c>
      <c r="Z2410" s="109"/>
      <c r="AA2410" s="109"/>
      <c r="AB2410" s="109"/>
      <c r="AC2410" s="109"/>
      <c r="AD2410" s="109"/>
      <c r="AE2410" s="109"/>
      <c r="AF2410" s="109"/>
      <c r="AG2410" s="109"/>
      <c r="AH2410" s="109"/>
      <c r="AI2410" s="109"/>
      <c r="AJ2410" s="109"/>
      <c r="AK2410" s="109"/>
      <c r="AL2410" s="109"/>
      <c r="AM2410" s="109"/>
      <c r="AN2410" s="109"/>
      <c r="AO2410" s="109"/>
      <c r="AP2410" s="109"/>
      <c r="AQ2410" s="109"/>
      <c r="AR2410" s="109"/>
      <c r="AS2410" s="109"/>
    </row>
    <row r="2411" spans="1:45" ht="12.6" customHeight="1" x14ac:dyDescent="0.3">
      <c r="A2411" s="78"/>
      <c r="B2411" s="78"/>
      <c r="C2411" s="78"/>
      <c r="D2411" s="78"/>
      <c r="E2411" s="78"/>
      <c r="F2411" s="78"/>
      <c r="G2411" s="16" t="s">
        <v>1317</v>
      </c>
      <c r="Z2411" s="109"/>
      <c r="AA2411" s="109"/>
      <c r="AB2411" s="109"/>
      <c r="AC2411" s="109"/>
      <c r="AD2411" s="109"/>
      <c r="AE2411" s="109"/>
      <c r="AF2411" s="109"/>
      <c r="AG2411" s="109"/>
      <c r="AH2411" s="109"/>
      <c r="AI2411" s="109"/>
      <c r="AJ2411" s="109"/>
      <c r="AK2411" s="109"/>
      <c r="AL2411" s="109"/>
      <c r="AM2411" s="109"/>
      <c r="AN2411" s="109"/>
      <c r="AO2411" s="109"/>
      <c r="AP2411" s="109"/>
      <c r="AQ2411" s="109"/>
      <c r="AR2411" s="109"/>
      <c r="AS2411" s="109"/>
    </row>
    <row r="2412" spans="1:45" ht="12.6" customHeight="1" x14ac:dyDescent="0.3">
      <c r="A2412" s="68" t="s">
        <v>1898</v>
      </c>
      <c r="B2412" s="97" t="str">
        <f>" 노 무 비  :   "&amp;TEXT(I2412,"#,##0"&amp;IF(I2412&lt;&gt;INT(I2412),".###",""))&amp;" / Q = "&amp;TEXT(C2412,"#,##0.0")&amp;""</f>
        <v xml:space="preserve"> 노 무 비  :   55,700 / Q = 957.2</v>
      </c>
      <c r="C2412" s="99">
        <f>E2412+D2412+F2412</f>
        <v>957.2</v>
      </c>
      <c r="D2412" s="99">
        <f>IF(H2412=0,0,ROUNDDOWN(J2412*H2412,1))</f>
        <v>957.2</v>
      </c>
      <c r="E2412" s="99">
        <f>IF(H2412=0,0,ROUNDDOWN(K2412*H2412,1))</f>
        <v>0</v>
      </c>
      <c r="F2412" s="99">
        <f>IF(H2412=0,0,ROUNDDOWN(L2412*H2412,1))</f>
        <v>0</v>
      </c>
      <c r="G2412" s="16" t="s">
        <v>1897</v>
      </c>
      <c r="H2412" s="105">
        <f>AC2412</f>
        <v>1.7185083347654236E-2</v>
      </c>
      <c r="I2412" s="106">
        <f>K2412+J2412+L2412</f>
        <v>55700</v>
      </c>
      <c r="J2412" s="39">
        <f>중기목록표!F20</f>
        <v>55700</v>
      </c>
      <c r="M2412" s="20" t="s">
        <v>1899</v>
      </c>
      <c r="N2412" s="20" t="s">
        <v>1332</v>
      </c>
      <c r="X2412" s="108" t="str">
        <f>중기목록표!B20&amp;" / "&amp;중기목록표!C20</f>
        <v>불도우저19ton / (암)</v>
      </c>
      <c r="Y2412" s="19" t="str">
        <f ca="1">HYPERLINK("#"&amp;중기목록표!J2&amp;"!A"&amp;ROW(중기목록표!A20),"중기   17 →")</f>
        <v>중기   17 →</v>
      </c>
      <c r="Z2412" s="20" t="s">
        <v>1393</v>
      </c>
      <c r="AA2412" s="112" t="str">
        <f>AJ2409</f>
        <v>58.19</v>
      </c>
      <c r="AB2412" s="20" t="s">
        <v>1326</v>
      </c>
      <c r="AC2412" s="113">
        <f>1/AJ2409</f>
        <v>1.7185083347654236E-2</v>
      </c>
      <c r="AD2412" s="109"/>
      <c r="AE2412" s="109"/>
      <c r="AF2412" s="109"/>
      <c r="AG2412" s="109"/>
      <c r="AH2412" s="109"/>
      <c r="AI2412" s="109"/>
      <c r="AJ2412" s="109"/>
      <c r="AK2412" s="109"/>
      <c r="AL2412" s="109"/>
      <c r="AM2412" s="109"/>
      <c r="AN2412" s="109"/>
      <c r="AO2412" s="109"/>
      <c r="AP2412" s="109"/>
      <c r="AQ2412" s="109"/>
      <c r="AR2412" s="109"/>
      <c r="AS2412" s="109"/>
    </row>
    <row r="2413" spans="1:45" ht="12.6" customHeight="1" x14ac:dyDescent="0.3">
      <c r="A2413" s="78"/>
      <c r="B2413" s="78"/>
      <c r="C2413" s="78"/>
      <c r="D2413" s="78"/>
      <c r="E2413" s="78"/>
      <c r="F2413" s="78"/>
      <c r="G2413" s="16" t="s">
        <v>1317</v>
      </c>
      <c r="Z2413" s="109"/>
      <c r="AA2413" s="109"/>
      <c r="AB2413" s="109"/>
      <c r="AC2413" s="109"/>
      <c r="AD2413" s="109"/>
      <c r="AE2413" s="109"/>
      <c r="AF2413" s="109"/>
      <c r="AG2413" s="109"/>
      <c r="AH2413" s="109"/>
      <c r="AI2413" s="109"/>
      <c r="AJ2413" s="109"/>
      <c r="AK2413" s="109"/>
      <c r="AL2413" s="109"/>
      <c r="AM2413" s="109"/>
      <c r="AN2413" s="109"/>
      <c r="AO2413" s="109"/>
      <c r="AP2413" s="109"/>
      <c r="AQ2413" s="109"/>
      <c r="AR2413" s="109"/>
      <c r="AS2413" s="109"/>
    </row>
    <row r="2414" spans="1:45" ht="12.6" customHeight="1" x14ac:dyDescent="0.3">
      <c r="A2414" s="68" t="s">
        <v>1901</v>
      </c>
      <c r="B2414" s="97" t="str">
        <f>" 재 료 비  :   "&amp;TEXT(I2414,"#,##0"&amp;IF(I2414&lt;&gt;INT(I2414),".###",""))&amp;" / Q = "&amp;TEXT(C2414,"#,##0.0")&amp;""</f>
        <v xml:space="preserve"> 재 료 비  :   36,888 / Q = 633.9</v>
      </c>
      <c r="C2414" s="99">
        <f>E2414+D2414+F2414</f>
        <v>633.9</v>
      </c>
      <c r="D2414" s="99">
        <f>IF(H2414=0,0,ROUNDDOWN(J2414*H2414,1))</f>
        <v>0</v>
      </c>
      <c r="E2414" s="99">
        <f>IF(H2414=0,0,ROUNDDOWN(K2414*H2414,1))</f>
        <v>633.9</v>
      </c>
      <c r="F2414" s="99">
        <f>IF(H2414=0,0,ROUNDDOWN(L2414*H2414,1))</f>
        <v>0</v>
      </c>
      <c r="G2414" s="16" t="s">
        <v>1900</v>
      </c>
      <c r="H2414" s="105">
        <f>AC2414</f>
        <v>1.7185083347654236E-2</v>
      </c>
      <c r="I2414" s="106">
        <f>K2414+J2414+L2414</f>
        <v>36888</v>
      </c>
      <c r="K2414" s="39">
        <f>중기목록표!G20</f>
        <v>36888</v>
      </c>
      <c r="M2414" s="20" t="s">
        <v>1899</v>
      </c>
      <c r="N2414" s="20" t="s">
        <v>1332</v>
      </c>
      <c r="X2414" s="108" t="str">
        <f>중기목록표!B20&amp;" / "&amp;중기목록표!C20</f>
        <v>불도우저19ton / (암)</v>
      </c>
      <c r="Y2414" s="19" t="str">
        <f ca="1">HYPERLINK("#"&amp;중기목록표!J2&amp;"!A"&amp;ROW(중기목록표!A20),"중기   17 →")</f>
        <v>중기   17 →</v>
      </c>
      <c r="Z2414" s="20" t="s">
        <v>1393</v>
      </c>
      <c r="AA2414" s="112" t="str">
        <f>AJ2409</f>
        <v>58.19</v>
      </c>
      <c r="AB2414" s="20" t="s">
        <v>1326</v>
      </c>
      <c r="AC2414" s="113">
        <f>1/AJ2409</f>
        <v>1.7185083347654236E-2</v>
      </c>
      <c r="AD2414" s="109"/>
      <c r="AE2414" s="109"/>
      <c r="AF2414" s="109"/>
      <c r="AG2414" s="109"/>
      <c r="AH2414" s="109"/>
      <c r="AI2414" s="109"/>
      <c r="AJ2414" s="109"/>
      <c r="AK2414" s="109"/>
      <c r="AL2414" s="109"/>
      <c r="AM2414" s="109"/>
      <c r="AN2414" s="109"/>
      <c r="AO2414" s="109"/>
      <c r="AP2414" s="109"/>
      <c r="AQ2414" s="109"/>
      <c r="AR2414" s="109"/>
      <c r="AS2414" s="109"/>
    </row>
    <row r="2415" spans="1:45" ht="12.6" customHeight="1" x14ac:dyDescent="0.3">
      <c r="A2415" s="78"/>
      <c r="B2415" s="78"/>
      <c r="C2415" s="78"/>
      <c r="D2415" s="78"/>
      <c r="E2415" s="78"/>
      <c r="F2415" s="78"/>
      <c r="G2415" s="16" t="s">
        <v>1317</v>
      </c>
      <c r="Z2415" s="109"/>
      <c r="AA2415" s="109"/>
      <c r="AB2415" s="109"/>
      <c r="AC2415" s="109"/>
      <c r="AD2415" s="109"/>
      <c r="AE2415" s="109"/>
      <c r="AF2415" s="109"/>
      <c r="AG2415" s="109"/>
      <c r="AH2415" s="109"/>
      <c r="AI2415" s="109"/>
      <c r="AJ2415" s="109"/>
      <c r="AK2415" s="109"/>
      <c r="AL2415" s="109"/>
      <c r="AM2415" s="109"/>
      <c r="AN2415" s="109"/>
      <c r="AO2415" s="109"/>
      <c r="AP2415" s="109"/>
      <c r="AQ2415" s="109"/>
      <c r="AR2415" s="109"/>
      <c r="AS2415" s="109"/>
    </row>
    <row r="2416" spans="1:45" ht="12.6" customHeight="1" x14ac:dyDescent="0.3">
      <c r="A2416" s="68" t="s">
        <v>1903</v>
      </c>
      <c r="B2416" s="97" t="str">
        <f>" 경    비  :   "&amp;TEXT(I2416,"#,##0"&amp;IF(I2416&lt;&gt;INT(I2416),".###",""))&amp;" / Q = "&amp;TEXT(C2416,"#,##0.0")&amp;""</f>
        <v xml:space="preserve"> 경    비  :   38,320 / Q = 658.5</v>
      </c>
      <c r="C2416" s="99">
        <f>E2416+D2416+F2416</f>
        <v>658.5</v>
      </c>
      <c r="D2416" s="99">
        <f>IF(H2416=0,0,ROUNDDOWN(J2416*H2416,1))</f>
        <v>0</v>
      </c>
      <c r="E2416" s="99">
        <f>IF(H2416=0,0,ROUNDDOWN(K2416*H2416,1))</f>
        <v>0</v>
      </c>
      <c r="F2416" s="99">
        <f>IF(H2416=0,0,ROUNDDOWN(L2416*H2416,1))</f>
        <v>658.5</v>
      </c>
      <c r="G2416" s="16" t="s">
        <v>1902</v>
      </c>
      <c r="H2416" s="105">
        <f>AC2416</f>
        <v>1.7185083347654236E-2</v>
      </c>
      <c r="I2416" s="106">
        <f>K2416+J2416+L2416</f>
        <v>38320</v>
      </c>
      <c r="L2416" s="39">
        <f>중기목록표!H20</f>
        <v>38320</v>
      </c>
      <c r="M2416" s="20" t="s">
        <v>1899</v>
      </c>
      <c r="N2416" s="20" t="s">
        <v>1332</v>
      </c>
      <c r="X2416" s="108" t="str">
        <f>중기목록표!B20&amp;" / "&amp;중기목록표!C20</f>
        <v>불도우저19ton / (암)</v>
      </c>
      <c r="Y2416" s="19" t="str">
        <f ca="1">HYPERLINK("#"&amp;중기목록표!J2&amp;"!A"&amp;ROW(중기목록표!A20),"중기   17 →")</f>
        <v>중기   17 →</v>
      </c>
      <c r="Z2416" s="20" t="s">
        <v>1393</v>
      </c>
      <c r="AA2416" s="112" t="str">
        <f>AJ2409</f>
        <v>58.19</v>
      </c>
      <c r="AB2416" s="20" t="s">
        <v>1326</v>
      </c>
      <c r="AC2416" s="113">
        <f>1/AJ2409</f>
        <v>1.7185083347654236E-2</v>
      </c>
      <c r="AD2416" s="109"/>
      <c r="AE2416" s="109"/>
      <c r="AF2416" s="109"/>
      <c r="AG2416" s="109"/>
      <c r="AH2416" s="109"/>
      <c r="AI2416" s="109"/>
      <c r="AJ2416" s="109"/>
      <c r="AK2416" s="109"/>
      <c r="AL2416" s="109"/>
      <c r="AM2416" s="109"/>
      <c r="AN2416" s="109"/>
      <c r="AO2416" s="109"/>
      <c r="AP2416" s="109"/>
      <c r="AQ2416" s="109"/>
      <c r="AR2416" s="109"/>
      <c r="AS2416" s="109"/>
    </row>
    <row r="2417" spans="1:45" ht="12.6" customHeight="1" x14ac:dyDescent="0.3">
      <c r="A2417" s="78"/>
      <c r="B2417" s="78"/>
      <c r="C2417" s="78"/>
      <c r="D2417" s="78"/>
      <c r="E2417" s="78"/>
      <c r="F2417" s="78"/>
      <c r="G2417" s="16" t="s">
        <v>1317</v>
      </c>
      <c r="Z2417" s="109"/>
      <c r="AA2417" s="109"/>
      <c r="AB2417" s="109"/>
      <c r="AC2417" s="109"/>
      <c r="AD2417" s="109"/>
      <c r="AE2417" s="109"/>
      <c r="AF2417" s="109"/>
      <c r="AG2417" s="109"/>
      <c r="AH2417" s="109"/>
      <c r="AI2417" s="109"/>
      <c r="AJ2417" s="109"/>
      <c r="AK2417" s="109"/>
      <c r="AL2417" s="109"/>
      <c r="AM2417" s="109"/>
      <c r="AN2417" s="109"/>
      <c r="AO2417" s="109"/>
      <c r="AP2417" s="109"/>
      <c r="AQ2417" s="109"/>
      <c r="AR2417" s="109"/>
      <c r="AS2417" s="109"/>
    </row>
    <row r="2418" spans="1:45" ht="12.6" customHeight="1" x14ac:dyDescent="0.3">
      <c r="A2418" s="78"/>
      <c r="B2418" s="78"/>
      <c r="C2418" s="78"/>
      <c r="D2418" s="78"/>
      <c r="E2418" s="78"/>
      <c r="F2418" s="78"/>
      <c r="G2418" s="16" t="s">
        <v>1317</v>
      </c>
      <c r="Z2418" s="109"/>
      <c r="AA2418" s="109"/>
      <c r="AB2418" s="109"/>
      <c r="AC2418" s="109"/>
      <c r="AD2418" s="109"/>
      <c r="AE2418" s="109"/>
      <c r="AF2418" s="109"/>
      <c r="AG2418" s="109"/>
      <c r="AH2418" s="109"/>
      <c r="AI2418" s="109"/>
      <c r="AJ2418" s="109"/>
      <c r="AK2418" s="109"/>
      <c r="AL2418" s="109"/>
      <c r="AM2418" s="109"/>
      <c r="AN2418" s="109"/>
      <c r="AO2418" s="109"/>
      <c r="AP2418" s="109"/>
      <c r="AQ2418" s="109"/>
      <c r="AR2418" s="109"/>
      <c r="AS2418" s="109"/>
    </row>
    <row r="2419" spans="1:45" ht="12.6" customHeight="1" x14ac:dyDescent="0.3">
      <c r="A2419" s="68"/>
      <c r="B2419" s="77" t="s">
        <v>1331</v>
      </c>
      <c r="C2419" s="100">
        <f>E2419+D2419+F2419</f>
        <v>2249.6</v>
      </c>
      <c r="D2419" s="100">
        <f>SUMIF(N2387:N2418,M2419,D2387:D2418)</f>
        <v>957.2</v>
      </c>
      <c r="E2419" s="100">
        <f>SUMIF(N2387:N2418,M2419,E2387:E2418)</f>
        <v>633.9</v>
      </c>
      <c r="F2419" s="100">
        <f>SUMIF(N2387:N2418,M2419,F2387:F2418)</f>
        <v>658.5</v>
      </c>
      <c r="G2419" s="16" t="s">
        <v>1415</v>
      </c>
      <c r="M2419" s="20" t="s">
        <v>1332</v>
      </c>
      <c r="N2419" s="20" t="s">
        <v>1128</v>
      </c>
      <c r="Z2419" s="109"/>
      <c r="AA2419" s="109"/>
      <c r="AB2419" s="109"/>
      <c r="AC2419" s="109"/>
      <c r="AD2419" s="109"/>
      <c r="AE2419" s="109"/>
      <c r="AF2419" s="109"/>
      <c r="AG2419" s="109"/>
      <c r="AH2419" s="109"/>
      <c r="AI2419" s="109"/>
      <c r="AJ2419" s="109"/>
      <c r="AK2419" s="109"/>
      <c r="AL2419" s="109"/>
      <c r="AM2419" s="109"/>
      <c r="AN2419" s="109"/>
      <c r="AO2419" s="109"/>
      <c r="AP2419" s="109"/>
      <c r="AQ2419" s="109"/>
      <c r="AR2419" s="109"/>
      <c r="AS2419" s="109"/>
    </row>
    <row r="2420" spans="1:45" ht="12.6" customHeight="1" x14ac:dyDescent="0.3">
      <c r="A2420" s="78"/>
      <c r="B2420" s="78"/>
      <c r="C2420" s="98"/>
      <c r="D2420" s="98"/>
      <c r="E2420" s="98"/>
      <c r="F2420" s="98"/>
      <c r="Z2420" s="109"/>
      <c r="AA2420" s="109"/>
      <c r="AB2420" s="109"/>
      <c r="AC2420" s="109"/>
      <c r="AD2420" s="109"/>
      <c r="AE2420" s="109"/>
      <c r="AF2420" s="109"/>
      <c r="AG2420" s="109"/>
      <c r="AH2420" s="109"/>
      <c r="AI2420" s="109"/>
      <c r="AJ2420" s="109"/>
      <c r="AK2420" s="109"/>
      <c r="AL2420" s="109"/>
      <c r="AM2420" s="109"/>
      <c r="AN2420" s="109"/>
      <c r="AO2420" s="109"/>
      <c r="AP2420" s="109"/>
      <c r="AQ2420" s="109"/>
      <c r="AR2420" s="109"/>
      <c r="AS2420" s="109"/>
    </row>
    <row r="2421" spans="1:45" ht="12.6" customHeight="1" x14ac:dyDescent="0.3">
      <c r="A2421" s="78"/>
      <c r="B2421" s="78"/>
      <c r="C2421" s="78"/>
      <c r="D2421" s="78"/>
      <c r="E2421" s="78"/>
      <c r="F2421" s="78"/>
      <c r="Z2421" s="109"/>
      <c r="AA2421" s="109"/>
      <c r="AB2421" s="109"/>
      <c r="AC2421" s="109"/>
      <c r="AD2421" s="109"/>
      <c r="AE2421" s="109"/>
      <c r="AF2421" s="109"/>
      <c r="AG2421" s="109"/>
      <c r="AH2421" s="109"/>
      <c r="AI2421" s="109"/>
      <c r="AJ2421" s="109"/>
      <c r="AK2421" s="109"/>
      <c r="AL2421" s="109"/>
      <c r="AM2421" s="109"/>
      <c r="AN2421" s="109"/>
      <c r="AO2421" s="109"/>
      <c r="AP2421" s="109"/>
      <c r="AQ2421" s="109"/>
      <c r="AR2421" s="109"/>
      <c r="AS2421" s="109"/>
    </row>
    <row r="2422" spans="1:45" ht="12.6" customHeight="1" x14ac:dyDescent="0.3">
      <c r="A2422" s="78"/>
      <c r="B2422" s="78"/>
      <c r="C2422" s="78"/>
      <c r="D2422" s="78"/>
      <c r="E2422" s="78"/>
      <c r="F2422" s="78"/>
      <c r="Z2422" s="109"/>
      <c r="AA2422" s="109"/>
      <c r="AB2422" s="109"/>
      <c r="AC2422" s="109"/>
      <c r="AD2422" s="109"/>
      <c r="AE2422" s="109"/>
      <c r="AF2422" s="109"/>
      <c r="AG2422" s="109"/>
      <c r="AH2422" s="109"/>
      <c r="AI2422" s="109"/>
      <c r="AJ2422" s="109"/>
      <c r="AK2422" s="109"/>
      <c r="AL2422" s="109"/>
      <c r="AM2422" s="109"/>
      <c r="AN2422" s="109"/>
      <c r="AO2422" s="109"/>
      <c r="AP2422" s="109"/>
      <c r="AQ2422" s="109"/>
      <c r="AR2422" s="109"/>
      <c r="AS2422" s="109"/>
    </row>
    <row r="2423" spans="1:45" ht="12.6" customHeight="1" x14ac:dyDescent="0.3">
      <c r="A2423" s="78"/>
      <c r="B2423" s="78"/>
      <c r="C2423" s="78"/>
      <c r="D2423" s="78"/>
      <c r="E2423" s="78"/>
      <c r="F2423" s="78"/>
      <c r="Z2423" s="109"/>
      <c r="AA2423" s="109"/>
      <c r="AB2423" s="109"/>
      <c r="AC2423" s="109"/>
      <c r="AD2423" s="109"/>
      <c r="AE2423" s="109"/>
      <c r="AF2423" s="109"/>
      <c r="AG2423" s="109"/>
      <c r="AH2423" s="109"/>
      <c r="AI2423" s="109"/>
      <c r="AJ2423" s="109"/>
      <c r="AK2423" s="109"/>
      <c r="AL2423" s="109"/>
      <c r="AM2423" s="109"/>
      <c r="AN2423" s="109"/>
      <c r="AO2423" s="109"/>
      <c r="AP2423" s="109"/>
      <c r="AQ2423" s="109"/>
      <c r="AR2423" s="109"/>
      <c r="AS2423" s="109"/>
    </row>
    <row r="2424" spans="1:45" ht="12.6" customHeight="1" x14ac:dyDescent="0.3">
      <c r="A2424" s="78"/>
      <c r="B2424" s="78"/>
      <c r="C2424" s="78"/>
      <c r="D2424" s="78"/>
      <c r="E2424" s="78"/>
      <c r="F2424" s="78"/>
      <c r="Z2424" s="109"/>
      <c r="AA2424" s="109"/>
      <c r="AB2424" s="109"/>
      <c r="AC2424" s="109"/>
      <c r="AD2424" s="109"/>
      <c r="AE2424" s="109"/>
      <c r="AF2424" s="109"/>
      <c r="AG2424" s="109"/>
      <c r="AH2424" s="109"/>
      <c r="AI2424" s="109"/>
      <c r="AJ2424" s="109"/>
      <c r="AK2424" s="109"/>
      <c r="AL2424" s="109"/>
      <c r="AM2424" s="109"/>
      <c r="AN2424" s="109"/>
      <c r="AO2424" s="109"/>
      <c r="AP2424" s="109"/>
      <c r="AQ2424" s="109"/>
      <c r="AR2424" s="109"/>
      <c r="AS2424" s="109"/>
    </row>
    <row r="2425" spans="1:45" ht="12.6" customHeight="1" x14ac:dyDescent="0.3">
      <c r="A2425" s="78"/>
      <c r="B2425" s="78"/>
      <c r="C2425" s="78"/>
      <c r="D2425" s="78"/>
      <c r="E2425" s="78"/>
      <c r="F2425" s="78"/>
      <c r="Z2425" s="109"/>
      <c r="AA2425" s="109"/>
      <c r="AB2425" s="109"/>
      <c r="AC2425" s="109"/>
      <c r="AD2425" s="109"/>
      <c r="AE2425" s="109"/>
      <c r="AF2425" s="109"/>
      <c r="AG2425" s="109"/>
      <c r="AH2425" s="109"/>
      <c r="AI2425" s="109"/>
      <c r="AJ2425" s="109"/>
      <c r="AK2425" s="109"/>
      <c r="AL2425" s="109"/>
      <c r="AM2425" s="109"/>
      <c r="AN2425" s="109"/>
      <c r="AO2425" s="109"/>
      <c r="AP2425" s="109"/>
      <c r="AQ2425" s="109"/>
      <c r="AR2425" s="109"/>
      <c r="AS2425" s="109"/>
    </row>
    <row r="2426" spans="1:45" ht="12.6" customHeight="1" x14ac:dyDescent="0.3">
      <c r="A2426" s="78"/>
      <c r="B2426" s="78"/>
      <c r="C2426" s="78"/>
      <c r="D2426" s="78"/>
      <c r="E2426" s="78"/>
      <c r="F2426" s="78"/>
      <c r="Z2426" s="109"/>
      <c r="AA2426" s="109"/>
      <c r="AB2426" s="109"/>
      <c r="AC2426" s="109"/>
      <c r="AD2426" s="109"/>
      <c r="AE2426" s="109"/>
      <c r="AF2426" s="109"/>
      <c r="AG2426" s="109"/>
      <c r="AH2426" s="109"/>
      <c r="AI2426" s="109"/>
      <c r="AJ2426" s="109"/>
      <c r="AK2426" s="109"/>
      <c r="AL2426" s="109"/>
      <c r="AM2426" s="109"/>
      <c r="AN2426" s="109"/>
      <c r="AO2426" s="109"/>
      <c r="AP2426" s="109"/>
      <c r="AQ2426" s="109"/>
      <c r="AR2426" s="109"/>
      <c r="AS2426" s="109"/>
    </row>
    <row r="2427" spans="1:45" ht="12.6" customHeight="1" x14ac:dyDescent="0.3">
      <c r="A2427" s="78"/>
      <c r="B2427" s="78"/>
      <c r="C2427" s="78"/>
      <c r="D2427" s="78"/>
      <c r="E2427" s="78"/>
      <c r="F2427" s="78"/>
      <c r="Z2427" s="109"/>
      <c r="AA2427" s="109"/>
      <c r="AB2427" s="109"/>
      <c r="AC2427" s="109"/>
      <c r="AD2427" s="109"/>
      <c r="AE2427" s="109"/>
      <c r="AF2427" s="109"/>
      <c r="AG2427" s="109"/>
      <c r="AH2427" s="109"/>
      <c r="AI2427" s="109"/>
      <c r="AJ2427" s="109"/>
      <c r="AK2427" s="109"/>
      <c r="AL2427" s="109"/>
      <c r="AM2427" s="109"/>
      <c r="AN2427" s="109"/>
      <c r="AO2427" s="109"/>
      <c r="AP2427" s="109"/>
      <c r="AQ2427" s="109"/>
      <c r="AR2427" s="109"/>
      <c r="AS2427" s="109"/>
    </row>
    <row r="2428" spans="1:45" ht="12.6" customHeight="1" x14ac:dyDescent="0.3">
      <c r="A2428" s="78"/>
      <c r="B2428" s="78"/>
      <c r="C2428" s="78"/>
      <c r="D2428" s="78"/>
      <c r="E2428" s="78"/>
      <c r="F2428" s="78"/>
      <c r="Z2428" s="109"/>
      <c r="AA2428" s="109"/>
      <c r="AB2428" s="109"/>
      <c r="AC2428" s="109"/>
      <c r="AD2428" s="109"/>
      <c r="AE2428" s="109"/>
      <c r="AF2428" s="109"/>
      <c r="AG2428" s="109"/>
      <c r="AH2428" s="109"/>
      <c r="AI2428" s="109"/>
      <c r="AJ2428" s="109"/>
      <c r="AK2428" s="109"/>
      <c r="AL2428" s="109"/>
      <c r="AM2428" s="109"/>
      <c r="AN2428" s="109"/>
      <c r="AO2428" s="109"/>
      <c r="AP2428" s="109"/>
      <c r="AQ2428" s="109"/>
      <c r="AR2428" s="109"/>
      <c r="AS2428" s="109"/>
    </row>
    <row r="2429" spans="1:45" ht="12.6" customHeight="1" x14ac:dyDescent="0.3">
      <c r="A2429" s="78"/>
      <c r="B2429" s="78"/>
      <c r="C2429" s="78"/>
      <c r="D2429" s="78"/>
      <c r="E2429" s="78"/>
      <c r="F2429" s="78"/>
      <c r="Z2429" s="109"/>
      <c r="AA2429" s="109"/>
      <c r="AB2429" s="109"/>
      <c r="AC2429" s="109"/>
      <c r="AD2429" s="109"/>
      <c r="AE2429" s="109"/>
      <c r="AF2429" s="109"/>
      <c r="AG2429" s="109"/>
      <c r="AH2429" s="109"/>
      <c r="AI2429" s="109"/>
      <c r="AJ2429" s="109"/>
      <c r="AK2429" s="109"/>
      <c r="AL2429" s="109"/>
      <c r="AM2429" s="109"/>
      <c r="AN2429" s="109"/>
      <c r="AO2429" s="109"/>
      <c r="AP2429" s="109"/>
      <c r="AQ2429" s="109"/>
      <c r="AR2429" s="109"/>
      <c r="AS2429" s="109"/>
    </row>
    <row r="2430" spans="1:45" ht="12.6" customHeight="1" x14ac:dyDescent="0.3">
      <c r="A2430" s="78"/>
      <c r="B2430" s="78"/>
      <c r="C2430" s="78"/>
      <c r="D2430" s="78"/>
      <c r="E2430" s="78"/>
      <c r="F2430" s="78"/>
      <c r="Z2430" s="109"/>
      <c r="AA2430" s="109"/>
      <c r="AB2430" s="109"/>
      <c r="AC2430" s="109"/>
      <c r="AD2430" s="109"/>
      <c r="AE2430" s="109"/>
      <c r="AF2430" s="109"/>
      <c r="AG2430" s="109"/>
      <c r="AH2430" s="109"/>
      <c r="AI2430" s="109"/>
      <c r="AJ2430" s="109"/>
      <c r="AK2430" s="109"/>
      <c r="AL2430" s="109"/>
      <c r="AM2430" s="109"/>
      <c r="AN2430" s="109"/>
      <c r="AO2430" s="109"/>
      <c r="AP2430" s="109"/>
      <c r="AQ2430" s="109"/>
      <c r="AR2430" s="109"/>
      <c r="AS2430" s="109"/>
    </row>
    <row r="2431" spans="1:45" ht="12.6" customHeight="1" x14ac:dyDescent="0.3">
      <c r="A2431" s="78"/>
      <c r="B2431" s="78"/>
      <c r="C2431" s="78"/>
      <c r="D2431" s="78"/>
      <c r="E2431" s="78"/>
      <c r="F2431" s="78"/>
      <c r="Z2431" s="109"/>
      <c r="AA2431" s="109"/>
      <c r="AB2431" s="109"/>
      <c r="AC2431" s="109"/>
      <c r="AD2431" s="109"/>
      <c r="AE2431" s="109"/>
      <c r="AF2431" s="109"/>
      <c r="AG2431" s="109"/>
      <c r="AH2431" s="109"/>
      <c r="AI2431" s="109"/>
      <c r="AJ2431" s="109"/>
      <c r="AK2431" s="109"/>
      <c r="AL2431" s="109"/>
      <c r="AM2431" s="109"/>
      <c r="AN2431" s="109"/>
      <c r="AO2431" s="109"/>
      <c r="AP2431" s="109"/>
      <c r="AQ2431" s="109"/>
      <c r="AR2431" s="109"/>
      <c r="AS2431" s="109"/>
    </row>
    <row r="2432" spans="1:45" ht="12.6" customHeight="1" x14ac:dyDescent="0.3">
      <c r="A2432" s="78"/>
      <c r="B2432" s="78"/>
      <c r="C2432" s="78"/>
      <c r="D2432" s="78"/>
      <c r="E2432" s="78"/>
      <c r="F2432" s="78"/>
      <c r="Z2432" s="109"/>
      <c r="AA2432" s="109"/>
      <c r="AB2432" s="109"/>
      <c r="AC2432" s="109"/>
      <c r="AD2432" s="109"/>
      <c r="AE2432" s="109"/>
      <c r="AF2432" s="109"/>
      <c r="AG2432" s="109"/>
      <c r="AH2432" s="109"/>
      <c r="AI2432" s="109"/>
      <c r="AJ2432" s="109"/>
      <c r="AK2432" s="109"/>
      <c r="AL2432" s="109"/>
      <c r="AM2432" s="109"/>
      <c r="AN2432" s="109"/>
      <c r="AO2432" s="109"/>
      <c r="AP2432" s="109"/>
      <c r="AQ2432" s="109"/>
      <c r="AR2432" s="109"/>
      <c r="AS2432" s="109"/>
    </row>
    <row r="2433" spans="1:45" ht="12.6" customHeight="1" x14ac:dyDescent="0.3">
      <c r="A2433" s="78"/>
      <c r="B2433" s="78"/>
      <c r="C2433" s="78"/>
      <c r="D2433" s="78"/>
      <c r="E2433" s="78"/>
      <c r="F2433" s="78"/>
      <c r="Z2433" s="109"/>
      <c r="AA2433" s="109"/>
      <c r="AB2433" s="109"/>
      <c r="AC2433" s="109"/>
      <c r="AD2433" s="109"/>
      <c r="AE2433" s="109"/>
      <c r="AF2433" s="109"/>
      <c r="AG2433" s="109"/>
      <c r="AH2433" s="109"/>
      <c r="AI2433" s="109"/>
      <c r="AJ2433" s="109"/>
      <c r="AK2433" s="109"/>
      <c r="AL2433" s="109"/>
      <c r="AM2433" s="109"/>
      <c r="AN2433" s="109"/>
      <c r="AO2433" s="109"/>
      <c r="AP2433" s="109"/>
      <c r="AQ2433" s="109"/>
      <c r="AR2433" s="109"/>
      <c r="AS2433" s="109"/>
    </row>
    <row r="2434" spans="1:45" ht="12.6" customHeight="1" x14ac:dyDescent="0.3">
      <c r="A2434" s="78"/>
      <c r="B2434" s="78"/>
      <c r="C2434" s="78"/>
      <c r="D2434" s="78"/>
      <c r="E2434" s="78"/>
      <c r="F2434" s="78"/>
      <c r="Z2434" s="109"/>
      <c r="AA2434" s="109"/>
      <c r="AB2434" s="109"/>
      <c r="AC2434" s="109"/>
      <c r="AD2434" s="109"/>
      <c r="AE2434" s="109"/>
      <c r="AF2434" s="109"/>
      <c r="AG2434" s="109"/>
      <c r="AH2434" s="109"/>
      <c r="AI2434" s="109"/>
      <c r="AJ2434" s="109"/>
      <c r="AK2434" s="109"/>
      <c r="AL2434" s="109"/>
      <c r="AM2434" s="109"/>
      <c r="AN2434" s="109"/>
      <c r="AO2434" s="109"/>
      <c r="AP2434" s="109"/>
      <c r="AQ2434" s="109"/>
      <c r="AR2434" s="109"/>
      <c r="AS2434" s="109"/>
    </row>
    <row r="2435" spans="1:45" ht="12.6" customHeight="1" x14ac:dyDescent="0.3">
      <c r="A2435" s="78"/>
      <c r="B2435" s="78"/>
      <c r="C2435" s="78"/>
      <c r="D2435" s="78"/>
      <c r="E2435" s="78"/>
      <c r="F2435" s="78"/>
      <c r="Z2435" s="109"/>
      <c r="AA2435" s="109"/>
      <c r="AB2435" s="109"/>
      <c r="AC2435" s="109"/>
      <c r="AD2435" s="109"/>
      <c r="AE2435" s="109"/>
      <c r="AF2435" s="109"/>
      <c r="AG2435" s="109"/>
      <c r="AH2435" s="109"/>
      <c r="AI2435" s="109"/>
      <c r="AJ2435" s="109"/>
      <c r="AK2435" s="109"/>
      <c r="AL2435" s="109"/>
      <c r="AM2435" s="109"/>
      <c r="AN2435" s="109"/>
      <c r="AO2435" s="109"/>
      <c r="AP2435" s="109"/>
      <c r="AQ2435" s="109"/>
      <c r="AR2435" s="109"/>
      <c r="AS2435" s="109"/>
    </row>
    <row r="2436" spans="1:45" ht="12.6" customHeight="1" x14ac:dyDescent="0.3">
      <c r="A2436" s="78"/>
      <c r="B2436" s="78"/>
      <c r="C2436" s="78"/>
      <c r="D2436" s="78"/>
      <c r="E2436" s="78"/>
      <c r="F2436" s="78"/>
      <c r="Z2436" s="109"/>
      <c r="AA2436" s="109"/>
      <c r="AB2436" s="109"/>
      <c r="AC2436" s="109"/>
      <c r="AD2436" s="109"/>
      <c r="AE2436" s="109"/>
      <c r="AF2436" s="109"/>
      <c r="AG2436" s="109"/>
      <c r="AH2436" s="109"/>
      <c r="AI2436" s="109"/>
      <c r="AJ2436" s="109"/>
      <c r="AK2436" s="109"/>
      <c r="AL2436" s="109"/>
      <c r="AM2436" s="109"/>
      <c r="AN2436" s="109"/>
      <c r="AO2436" s="109"/>
      <c r="AP2436" s="109"/>
      <c r="AQ2436" s="109"/>
      <c r="AR2436" s="109"/>
      <c r="AS2436" s="109"/>
    </row>
    <row r="2437" spans="1:45" ht="12.6" customHeight="1" x14ac:dyDescent="0.3">
      <c r="A2437" s="78"/>
      <c r="B2437" s="78"/>
      <c r="C2437" s="78"/>
      <c r="D2437" s="78"/>
      <c r="E2437" s="78"/>
      <c r="F2437" s="78"/>
      <c r="Z2437" s="109"/>
      <c r="AA2437" s="109"/>
      <c r="AB2437" s="109"/>
      <c r="AC2437" s="109"/>
      <c r="AD2437" s="109"/>
      <c r="AE2437" s="109"/>
      <c r="AF2437" s="109"/>
      <c r="AG2437" s="109"/>
      <c r="AH2437" s="109"/>
      <c r="AI2437" s="109"/>
      <c r="AJ2437" s="109"/>
      <c r="AK2437" s="109"/>
      <c r="AL2437" s="109"/>
      <c r="AM2437" s="109"/>
      <c r="AN2437" s="109"/>
      <c r="AO2437" s="109"/>
      <c r="AP2437" s="109"/>
      <c r="AQ2437" s="109"/>
      <c r="AR2437" s="109"/>
      <c r="AS2437" s="109"/>
    </row>
    <row r="2438" spans="1:45" ht="12.6" customHeight="1" x14ac:dyDescent="0.3">
      <c r="A2438" s="78"/>
      <c r="B2438" s="78"/>
      <c r="C2438" s="78"/>
      <c r="D2438" s="78"/>
      <c r="E2438" s="78"/>
      <c r="F2438" s="78"/>
      <c r="Z2438" s="109"/>
      <c r="AA2438" s="109"/>
      <c r="AB2438" s="109"/>
      <c r="AC2438" s="109"/>
      <c r="AD2438" s="109"/>
      <c r="AE2438" s="109"/>
      <c r="AF2438" s="109"/>
      <c r="AG2438" s="109"/>
      <c r="AH2438" s="109"/>
      <c r="AI2438" s="109"/>
      <c r="AJ2438" s="109"/>
      <c r="AK2438" s="109"/>
      <c r="AL2438" s="109"/>
      <c r="AM2438" s="109"/>
      <c r="AN2438" s="109"/>
      <c r="AO2438" s="109"/>
      <c r="AP2438" s="109"/>
      <c r="AQ2438" s="109"/>
      <c r="AR2438" s="109"/>
      <c r="AS2438" s="109"/>
    </row>
    <row r="2439" spans="1:45" ht="12.6" customHeight="1" x14ac:dyDescent="0.3">
      <c r="A2439" s="78"/>
      <c r="B2439" s="78"/>
      <c r="C2439" s="78"/>
      <c r="D2439" s="78"/>
      <c r="E2439" s="78"/>
      <c r="F2439" s="78"/>
      <c r="Z2439" s="109"/>
      <c r="AA2439" s="109"/>
      <c r="AB2439" s="109"/>
      <c r="AC2439" s="109"/>
      <c r="AD2439" s="109"/>
      <c r="AE2439" s="109"/>
      <c r="AF2439" s="109"/>
      <c r="AG2439" s="109"/>
      <c r="AH2439" s="109"/>
      <c r="AI2439" s="109"/>
      <c r="AJ2439" s="109"/>
      <c r="AK2439" s="109"/>
      <c r="AL2439" s="109"/>
      <c r="AM2439" s="109"/>
      <c r="AN2439" s="109"/>
      <c r="AO2439" s="109"/>
      <c r="AP2439" s="109"/>
      <c r="AQ2439" s="109"/>
      <c r="AR2439" s="109"/>
      <c r="AS2439" s="109"/>
    </row>
    <row r="2440" spans="1:45" ht="12.6" customHeight="1" x14ac:dyDescent="0.3">
      <c r="A2440" s="78"/>
      <c r="B2440" s="78"/>
      <c r="C2440" s="78"/>
      <c r="D2440" s="78"/>
      <c r="E2440" s="78"/>
      <c r="F2440" s="78"/>
      <c r="Z2440" s="109"/>
      <c r="AA2440" s="109"/>
      <c r="AB2440" s="109"/>
      <c r="AC2440" s="109"/>
      <c r="AD2440" s="109"/>
      <c r="AE2440" s="109"/>
      <c r="AF2440" s="109"/>
      <c r="AG2440" s="109"/>
      <c r="AH2440" s="109"/>
      <c r="AI2440" s="109"/>
      <c r="AJ2440" s="109"/>
      <c r="AK2440" s="109"/>
      <c r="AL2440" s="109"/>
      <c r="AM2440" s="109"/>
      <c r="AN2440" s="109"/>
      <c r="AO2440" s="109"/>
      <c r="AP2440" s="109"/>
      <c r="AQ2440" s="109"/>
      <c r="AR2440" s="109"/>
      <c r="AS2440" s="109"/>
    </row>
    <row r="2441" spans="1:45" ht="12.6" customHeight="1" x14ac:dyDescent="0.3">
      <c r="A2441" s="78"/>
      <c r="B2441" s="78"/>
      <c r="C2441" s="78"/>
      <c r="D2441" s="78"/>
      <c r="E2441" s="78"/>
      <c r="F2441" s="78"/>
      <c r="Z2441" s="109"/>
      <c r="AA2441" s="109"/>
      <c r="AB2441" s="109"/>
      <c r="AC2441" s="109"/>
      <c r="AD2441" s="109"/>
      <c r="AE2441" s="109"/>
      <c r="AF2441" s="109"/>
      <c r="AG2441" s="109"/>
      <c r="AH2441" s="109"/>
      <c r="AI2441" s="109"/>
      <c r="AJ2441" s="109"/>
      <c r="AK2441" s="109"/>
      <c r="AL2441" s="109"/>
      <c r="AM2441" s="109"/>
      <c r="AN2441" s="109"/>
      <c r="AO2441" s="109"/>
      <c r="AP2441" s="109"/>
      <c r="AQ2441" s="109"/>
      <c r="AR2441" s="109"/>
      <c r="AS2441" s="109"/>
    </row>
    <row r="2442" spans="1:45" ht="12.6" customHeight="1" x14ac:dyDescent="0.3">
      <c r="A2442" s="78"/>
      <c r="B2442" s="78"/>
      <c r="C2442" s="78"/>
      <c r="D2442" s="78"/>
      <c r="E2442" s="78"/>
      <c r="F2442" s="78"/>
      <c r="Z2442" s="109"/>
      <c r="AA2442" s="109"/>
      <c r="AB2442" s="109"/>
      <c r="AC2442" s="109"/>
      <c r="AD2442" s="109"/>
      <c r="AE2442" s="109"/>
      <c r="AF2442" s="109"/>
      <c r="AG2442" s="109"/>
      <c r="AH2442" s="109"/>
      <c r="AI2442" s="109"/>
      <c r="AJ2442" s="109"/>
      <c r="AK2442" s="109"/>
      <c r="AL2442" s="109"/>
      <c r="AM2442" s="109"/>
      <c r="AN2442" s="109"/>
      <c r="AO2442" s="109"/>
      <c r="AP2442" s="109"/>
      <c r="AQ2442" s="109"/>
      <c r="AR2442" s="109"/>
      <c r="AS2442" s="109"/>
    </row>
    <row r="2443" spans="1:45" ht="12.6" customHeight="1" x14ac:dyDescent="0.3">
      <c r="A2443" s="78"/>
      <c r="B2443" s="78"/>
      <c r="C2443" s="78"/>
      <c r="D2443" s="78"/>
      <c r="E2443" s="78"/>
      <c r="F2443" s="78"/>
      <c r="Z2443" s="109"/>
      <c r="AA2443" s="109"/>
      <c r="AB2443" s="109"/>
      <c r="AC2443" s="109"/>
      <c r="AD2443" s="109"/>
      <c r="AE2443" s="109"/>
      <c r="AF2443" s="109"/>
      <c r="AG2443" s="109"/>
      <c r="AH2443" s="109"/>
      <c r="AI2443" s="109"/>
      <c r="AJ2443" s="109"/>
      <c r="AK2443" s="109"/>
      <c r="AL2443" s="109"/>
      <c r="AM2443" s="109"/>
      <c r="AN2443" s="109"/>
      <c r="AO2443" s="109"/>
      <c r="AP2443" s="109"/>
      <c r="AQ2443" s="109"/>
      <c r="AR2443" s="109"/>
      <c r="AS2443" s="109"/>
    </row>
    <row r="2444" spans="1:45" ht="12.6" customHeight="1" x14ac:dyDescent="0.3">
      <c r="A2444" s="78"/>
      <c r="B2444" s="78"/>
      <c r="C2444" s="78"/>
      <c r="D2444" s="78"/>
      <c r="E2444" s="78"/>
      <c r="F2444" s="78"/>
      <c r="Z2444" s="109"/>
      <c r="AA2444" s="109"/>
      <c r="AB2444" s="109"/>
      <c r="AC2444" s="109"/>
      <c r="AD2444" s="109"/>
      <c r="AE2444" s="109"/>
      <c r="AF2444" s="109"/>
      <c r="AG2444" s="109"/>
      <c r="AH2444" s="109"/>
      <c r="AI2444" s="109"/>
      <c r="AJ2444" s="109"/>
      <c r="AK2444" s="109"/>
      <c r="AL2444" s="109"/>
      <c r="AM2444" s="109"/>
      <c r="AN2444" s="109"/>
      <c r="AO2444" s="109"/>
      <c r="AP2444" s="109"/>
      <c r="AQ2444" s="109"/>
      <c r="AR2444" s="109"/>
      <c r="AS2444" s="109"/>
    </row>
    <row r="2445" spans="1:45" ht="12.6" customHeight="1" x14ac:dyDescent="0.3">
      <c r="A2445" s="78"/>
      <c r="B2445" s="78"/>
      <c r="C2445" s="78"/>
      <c r="D2445" s="78"/>
      <c r="E2445" s="78"/>
      <c r="F2445" s="78"/>
      <c r="Z2445" s="109"/>
      <c r="AA2445" s="109"/>
      <c r="AB2445" s="109"/>
      <c r="AC2445" s="109"/>
      <c r="AD2445" s="109"/>
      <c r="AE2445" s="109"/>
      <c r="AF2445" s="109"/>
      <c r="AG2445" s="109"/>
      <c r="AH2445" s="109"/>
      <c r="AI2445" s="109"/>
      <c r="AJ2445" s="109"/>
      <c r="AK2445" s="109"/>
      <c r="AL2445" s="109"/>
      <c r="AM2445" s="109"/>
      <c r="AN2445" s="109"/>
      <c r="AO2445" s="109"/>
      <c r="AP2445" s="109"/>
      <c r="AQ2445" s="109"/>
      <c r="AR2445" s="109"/>
      <c r="AS2445" s="109"/>
    </row>
    <row r="2446" spans="1:45" ht="12.6" customHeight="1" x14ac:dyDescent="0.3">
      <c r="A2446" s="78"/>
      <c r="B2446" s="78"/>
      <c r="C2446" s="78"/>
      <c r="D2446" s="78"/>
      <c r="E2446" s="78"/>
      <c r="F2446" s="78"/>
      <c r="Z2446" s="109"/>
      <c r="AA2446" s="109"/>
      <c r="AB2446" s="109"/>
      <c r="AC2446" s="109"/>
      <c r="AD2446" s="109"/>
      <c r="AE2446" s="109"/>
      <c r="AF2446" s="109"/>
      <c r="AG2446" s="109"/>
      <c r="AH2446" s="109"/>
      <c r="AI2446" s="109"/>
      <c r="AJ2446" s="109"/>
      <c r="AK2446" s="109"/>
      <c r="AL2446" s="109"/>
      <c r="AM2446" s="109"/>
      <c r="AN2446" s="109"/>
      <c r="AO2446" s="109"/>
      <c r="AP2446" s="109"/>
      <c r="AQ2446" s="109"/>
      <c r="AR2446" s="109"/>
      <c r="AS2446" s="109"/>
    </row>
    <row r="2447" spans="1:45" ht="12.6" customHeight="1" x14ac:dyDescent="0.3">
      <c r="A2447" s="78"/>
      <c r="B2447" s="78"/>
      <c r="C2447" s="78"/>
      <c r="D2447" s="78"/>
      <c r="E2447" s="78"/>
      <c r="F2447" s="78"/>
      <c r="Z2447" s="109"/>
      <c r="AA2447" s="109"/>
      <c r="AB2447" s="109"/>
      <c r="AC2447" s="109"/>
      <c r="AD2447" s="109"/>
      <c r="AE2447" s="109"/>
      <c r="AF2447" s="109"/>
      <c r="AG2447" s="109"/>
      <c r="AH2447" s="109"/>
      <c r="AI2447" s="109"/>
      <c r="AJ2447" s="109"/>
      <c r="AK2447" s="109"/>
      <c r="AL2447" s="109"/>
      <c r="AM2447" s="109"/>
      <c r="AN2447" s="109"/>
      <c r="AO2447" s="109"/>
      <c r="AP2447" s="109"/>
      <c r="AQ2447" s="109"/>
      <c r="AR2447" s="109"/>
      <c r="AS2447" s="109"/>
    </row>
    <row r="2448" spans="1:45" ht="12.6" customHeight="1" x14ac:dyDescent="0.3">
      <c r="A2448" s="78"/>
      <c r="B2448" s="78"/>
      <c r="C2448" s="78"/>
      <c r="D2448" s="78"/>
      <c r="E2448" s="78"/>
      <c r="F2448" s="78"/>
      <c r="Z2448" s="109"/>
      <c r="AA2448" s="109"/>
      <c r="AB2448" s="109"/>
      <c r="AC2448" s="109"/>
      <c r="AD2448" s="109"/>
      <c r="AE2448" s="109"/>
      <c r="AF2448" s="109"/>
      <c r="AG2448" s="109"/>
      <c r="AH2448" s="109"/>
      <c r="AI2448" s="109"/>
      <c r="AJ2448" s="109"/>
      <c r="AK2448" s="109"/>
      <c r="AL2448" s="109"/>
      <c r="AM2448" s="109"/>
      <c r="AN2448" s="109"/>
      <c r="AO2448" s="109"/>
      <c r="AP2448" s="109"/>
      <c r="AQ2448" s="109"/>
      <c r="AR2448" s="109"/>
      <c r="AS2448" s="109"/>
    </row>
    <row r="2449" spans="1:45" ht="12.6" customHeight="1" x14ac:dyDescent="0.3">
      <c r="A2449" s="78"/>
      <c r="B2449" s="78"/>
      <c r="C2449" s="78"/>
      <c r="D2449" s="78"/>
      <c r="E2449" s="78"/>
      <c r="F2449" s="78"/>
      <c r="Z2449" s="109"/>
      <c r="AA2449" s="109"/>
      <c r="AB2449" s="109"/>
      <c r="AC2449" s="109"/>
      <c r="AD2449" s="109"/>
      <c r="AE2449" s="109"/>
      <c r="AF2449" s="109"/>
      <c r="AG2449" s="109"/>
      <c r="AH2449" s="109"/>
      <c r="AI2449" s="109"/>
      <c r="AJ2449" s="109"/>
      <c r="AK2449" s="109"/>
      <c r="AL2449" s="109"/>
      <c r="AM2449" s="109"/>
      <c r="AN2449" s="109"/>
      <c r="AO2449" s="109"/>
      <c r="AP2449" s="109"/>
      <c r="AQ2449" s="109"/>
      <c r="AR2449" s="109"/>
      <c r="AS2449" s="109"/>
    </row>
    <row r="2450" spans="1:45" ht="12.6" customHeight="1" x14ac:dyDescent="0.3">
      <c r="A2450" s="78"/>
      <c r="B2450" s="78"/>
      <c r="C2450" s="78"/>
      <c r="D2450" s="78"/>
      <c r="E2450" s="78"/>
      <c r="F2450" s="78"/>
      <c r="Z2450" s="109"/>
      <c r="AA2450" s="109"/>
      <c r="AB2450" s="109"/>
      <c r="AC2450" s="109"/>
      <c r="AD2450" s="109"/>
      <c r="AE2450" s="109"/>
      <c r="AF2450" s="109"/>
      <c r="AG2450" s="109"/>
      <c r="AH2450" s="109"/>
      <c r="AI2450" s="109"/>
      <c r="AJ2450" s="109"/>
      <c r="AK2450" s="109"/>
      <c r="AL2450" s="109"/>
      <c r="AM2450" s="109"/>
      <c r="AN2450" s="109"/>
      <c r="AO2450" s="109"/>
      <c r="AP2450" s="109"/>
      <c r="AQ2450" s="109"/>
      <c r="AR2450" s="109"/>
      <c r="AS2450" s="109"/>
    </row>
    <row r="2451" spans="1:45" ht="12.6" customHeight="1" x14ac:dyDescent="0.3">
      <c r="A2451" s="78"/>
      <c r="B2451" s="78"/>
      <c r="C2451" s="78"/>
      <c r="D2451" s="78"/>
      <c r="E2451" s="78"/>
      <c r="F2451" s="78"/>
      <c r="Z2451" s="109"/>
      <c r="AA2451" s="109"/>
      <c r="AB2451" s="109"/>
      <c r="AC2451" s="109"/>
      <c r="AD2451" s="109"/>
      <c r="AE2451" s="109"/>
      <c r="AF2451" s="109"/>
      <c r="AG2451" s="109"/>
      <c r="AH2451" s="109"/>
      <c r="AI2451" s="109"/>
      <c r="AJ2451" s="109"/>
      <c r="AK2451" s="109"/>
      <c r="AL2451" s="109"/>
      <c r="AM2451" s="109"/>
      <c r="AN2451" s="109"/>
      <c r="AO2451" s="109"/>
      <c r="AP2451" s="109"/>
      <c r="AQ2451" s="109"/>
      <c r="AR2451" s="109"/>
      <c r="AS2451" s="109"/>
    </row>
    <row r="2452" spans="1:45" ht="12.6" customHeight="1" x14ac:dyDescent="0.3">
      <c r="A2452" s="78"/>
      <c r="B2452" s="78"/>
      <c r="C2452" s="78"/>
      <c r="D2452" s="78"/>
      <c r="E2452" s="78"/>
      <c r="F2452" s="78"/>
      <c r="Z2452" s="109"/>
      <c r="AA2452" s="109"/>
      <c r="AB2452" s="109"/>
      <c r="AC2452" s="109"/>
      <c r="AD2452" s="109"/>
      <c r="AE2452" s="109"/>
      <c r="AF2452" s="109"/>
      <c r="AG2452" s="109"/>
      <c r="AH2452" s="109"/>
      <c r="AI2452" s="109"/>
      <c r="AJ2452" s="109"/>
      <c r="AK2452" s="109"/>
      <c r="AL2452" s="109"/>
      <c r="AM2452" s="109"/>
      <c r="AN2452" s="109"/>
      <c r="AO2452" s="109"/>
      <c r="AP2452" s="109"/>
      <c r="AQ2452" s="109"/>
      <c r="AR2452" s="109"/>
      <c r="AS2452" s="109"/>
    </row>
    <row r="2453" spans="1:45" ht="12.6" customHeight="1" x14ac:dyDescent="0.3">
      <c r="A2453" s="58"/>
      <c r="B2453" s="58"/>
      <c r="C2453" s="58"/>
      <c r="D2453" s="58"/>
      <c r="E2453" s="58"/>
      <c r="F2453" s="58"/>
      <c r="Z2453" s="109"/>
      <c r="AA2453" s="109"/>
      <c r="AB2453" s="109"/>
      <c r="AC2453" s="109"/>
      <c r="AD2453" s="109"/>
      <c r="AE2453" s="109"/>
      <c r="AF2453" s="109"/>
      <c r="AG2453" s="109"/>
      <c r="AH2453" s="109"/>
      <c r="AI2453" s="109"/>
      <c r="AJ2453" s="109"/>
      <c r="AK2453" s="109"/>
      <c r="AL2453" s="109"/>
      <c r="AM2453" s="109"/>
      <c r="AN2453" s="109"/>
      <c r="AO2453" s="109"/>
      <c r="AP2453" s="109"/>
      <c r="AQ2453" s="109"/>
      <c r="AR2453" s="109"/>
      <c r="AS2453" s="109"/>
    </row>
    <row r="2454" spans="1:45" ht="12.6" customHeight="1" x14ac:dyDescent="0.3">
      <c r="A2454" s="159" t="s">
        <v>1401</v>
      </c>
      <c r="B2454" s="152"/>
      <c r="C2454" s="55">
        <f>E2454+D2454+F2454</f>
        <v>2248</v>
      </c>
      <c r="D2454" s="54">
        <f>ROUNDDOWN(SUMIF(N2387:N2419,M2454,D2387:D2419),0)</f>
        <v>957</v>
      </c>
      <c r="E2454" s="63">
        <f>ROUNDDOWN(SUMIF(N2387:N2419,M2454,E2387:E2419),0)</f>
        <v>633</v>
      </c>
      <c r="F2454" s="55">
        <f>ROUNDDOWN(SUMIF(N2387:N2419,M2454,F2387:F2419),0)</f>
        <v>658</v>
      </c>
      <c r="M2454" s="20" t="s">
        <v>1128</v>
      </c>
      <c r="Z2454" s="109"/>
      <c r="AA2454" s="109"/>
      <c r="AB2454" s="109"/>
      <c r="AC2454" s="109"/>
      <c r="AD2454" s="109"/>
      <c r="AE2454" s="109"/>
      <c r="AF2454" s="109"/>
      <c r="AG2454" s="109"/>
      <c r="AH2454" s="109"/>
      <c r="AI2454" s="109"/>
      <c r="AJ2454" s="109"/>
      <c r="AK2454" s="109"/>
      <c r="AL2454" s="109"/>
      <c r="AM2454" s="109"/>
      <c r="AN2454" s="109"/>
      <c r="AO2454" s="109"/>
      <c r="AP2454" s="109"/>
      <c r="AQ2454" s="109"/>
      <c r="AR2454" s="109"/>
      <c r="AS2454" s="109"/>
    </row>
    <row r="2455" spans="1:45" ht="12.6" customHeight="1" x14ac:dyDescent="0.3">
      <c r="A2455" s="95" t="s">
        <v>308</v>
      </c>
      <c r="B2455" s="96" t="s">
        <v>308</v>
      </c>
      <c r="C2455" s="158">
        <f>C2559</f>
        <v>7745</v>
      </c>
      <c r="D2455" s="158">
        <f>D2559</f>
        <v>4853</v>
      </c>
      <c r="E2455" s="158">
        <f>E2559</f>
        <v>1054</v>
      </c>
      <c r="F2455" s="158">
        <f>F2559</f>
        <v>1838</v>
      </c>
      <c r="G2455" s="36" t="str">
        <f>HYPERLINK("#G"&amp;ROW(G2534),"_x0005_`BDCOD|D02256_x0007_`POSS|"&amp;ROW(G2457)&amp;"_x0007_`POSE|"&amp;ROW(G2534)&amp;"_x0007_`")</f>
        <v>_x0005_`BDCOD|D02256_x0007_`POSS|2457_x0007_`POSE|2534_x0007_`</v>
      </c>
      <c r="Z2455" s="109"/>
      <c r="AA2455" s="109"/>
      <c r="AB2455" s="109"/>
      <c r="AC2455" s="109"/>
      <c r="AD2455" s="109"/>
      <c r="AE2455" s="109"/>
      <c r="AF2455" s="109"/>
      <c r="AG2455" s="109"/>
      <c r="AH2455" s="109"/>
      <c r="AI2455" s="109"/>
      <c r="AJ2455" s="109"/>
      <c r="AK2455" s="109"/>
      <c r="AL2455" s="109"/>
      <c r="AM2455" s="109"/>
      <c r="AN2455" s="109"/>
      <c r="AO2455" s="109"/>
      <c r="AP2455" s="109"/>
      <c r="AQ2455" s="109"/>
      <c r="AR2455" s="109"/>
      <c r="AS2455" s="109"/>
    </row>
    <row r="2456" spans="1:45" ht="12.6" customHeight="1" x14ac:dyDescent="0.3">
      <c r="A2456" s="84"/>
      <c r="B2456" s="96" t="s">
        <v>307</v>
      </c>
      <c r="C2456" s="141"/>
      <c r="D2456" s="141"/>
      <c r="E2456" s="141"/>
      <c r="F2456" s="141"/>
      <c r="M2456" s="20" t="s">
        <v>306</v>
      </c>
      <c r="Z2456" s="109"/>
      <c r="AA2456" s="109"/>
      <c r="AB2456" s="109"/>
      <c r="AC2456" s="109"/>
      <c r="AD2456" s="109"/>
      <c r="AE2456" s="109"/>
      <c r="AF2456" s="109"/>
      <c r="AG2456" s="109"/>
      <c r="AH2456" s="109"/>
      <c r="AI2456" s="109"/>
      <c r="AJ2456" s="109"/>
      <c r="AK2456" s="109"/>
      <c r="AL2456" s="109"/>
      <c r="AM2456" s="109"/>
      <c r="AN2456" s="109"/>
      <c r="AO2456" s="109"/>
      <c r="AP2456" s="109"/>
      <c r="AQ2456" s="109"/>
      <c r="AR2456" s="109"/>
      <c r="AS2456" s="109"/>
    </row>
    <row r="2457" spans="1:45" ht="12.6" customHeight="1" x14ac:dyDescent="0.3">
      <c r="A2457" s="68"/>
      <c r="B2457" s="77" t="s">
        <v>1905</v>
      </c>
      <c r="C2457" s="98"/>
      <c r="D2457" s="98"/>
      <c r="E2457" s="98"/>
      <c r="F2457" s="98"/>
      <c r="G2457" s="16" t="s">
        <v>1904</v>
      </c>
      <c r="Z2457" s="109"/>
      <c r="AA2457" s="109"/>
      <c r="AB2457" s="109"/>
      <c r="AC2457" s="109"/>
      <c r="AD2457" s="109"/>
      <c r="AE2457" s="109"/>
      <c r="AF2457" s="109"/>
      <c r="AG2457" s="109"/>
      <c r="AH2457" s="109"/>
      <c r="AI2457" s="109"/>
      <c r="AJ2457" s="109"/>
      <c r="AK2457" s="109"/>
      <c r="AL2457" s="109"/>
      <c r="AM2457" s="109"/>
      <c r="AN2457" s="109"/>
      <c r="AO2457" s="109"/>
      <c r="AP2457" s="109"/>
      <c r="AQ2457" s="109"/>
      <c r="AR2457" s="109"/>
      <c r="AS2457" s="109"/>
    </row>
    <row r="2458" spans="1:45" ht="12.6" customHeight="1" x14ac:dyDescent="0.3">
      <c r="A2458" s="78"/>
      <c r="B2458" s="78"/>
      <c r="C2458" s="78"/>
      <c r="D2458" s="78"/>
      <c r="E2458" s="78"/>
      <c r="F2458" s="78"/>
      <c r="G2458" s="16" t="s">
        <v>1317</v>
      </c>
      <c r="Z2458" s="109"/>
      <c r="AA2458" s="109"/>
      <c r="AB2458" s="109"/>
      <c r="AC2458" s="109"/>
      <c r="AD2458" s="109"/>
      <c r="AE2458" s="109"/>
      <c r="AF2458" s="109"/>
      <c r="AG2458" s="109"/>
      <c r="AH2458" s="109"/>
      <c r="AI2458" s="109"/>
      <c r="AJ2458" s="109"/>
      <c r="AK2458" s="109"/>
      <c r="AL2458" s="109"/>
      <c r="AM2458" s="109"/>
      <c r="AN2458" s="109"/>
      <c r="AO2458" s="109"/>
      <c r="AP2458" s="109"/>
      <c r="AQ2458" s="109"/>
      <c r="AR2458" s="109"/>
      <c r="AS2458" s="109"/>
    </row>
    <row r="2459" spans="1:45" ht="12.6" customHeight="1" x14ac:dyDescent="0.3">
      <c r="A2459" s="68"/>
      <c r="B2459" s="77" t="s">
        <v>1907</v>
      </c>
      <c r="C2459" s="78"/>
      <c r="D2459" s="78"/>
      <c r="E2459" s="78"/>
      <c r="F2459" s="78"/>
      <c r="G2459" s="16" t="s">
        <v>1906</v>
      </c>
      <c r="Z2459" s="109"/>
      <c r="AA2459" s="109"/>
      <c r="AB2459" s="109"/>
      <c r="AC2459" s="109"/>
      <c r="AD2459" s="109"/>
      <c r="AE2459" s="109"/>
      <c r="AF2459" s="109"/>
      <c r="AG2459" s="109"/>
      <c r="AH2459" s="109"/>
      <c r="AI2459" s="109"/>
      <c r="AJ2459" s="109"/>
      <c r="AK2459" s="109"/>
      <c r="AL2459" s="109"/>
      <c r="AM2459" s="109"/>
      <c r="AN2459" s="109"/>
      <c r="AO2459" s="109"/>
      <c r="AP2459" s="109"/>
      <c r="AQ2459" s="109"/>
      <c r="AR2459" s="109"/>
      <c r="AS2459" s="109"/>
    </row>
    <row r="2460" spans="1:45" ht="12.6" customHeight="1" x14ac:dyDescent="0.3">
      <c r="A2460" s="78"/>
      <c r="B2460" s="78"/>
      <c r="C2460" s="78"/>
      <c r="D2460" s="78"/>
      <c r="E2460" s="78"/>
      <c r="F2460" s="78"/>
      <c r="G2460" s="16" t="s">
        <v>1317</v>
      </c>
      <c r="Z2460" s="109"/>
      <c r="AA2460" s="109"/>
      <c r="AB2460" s="109"/>
      <c r="AC2460" s="109"/>
      <c r="AD2460" s="109"/>
      <c r="AE2460" s="109"/>
      <c r="AF2460" s="109"/>
      <c r="AG2460" s="109"/>
      <c r="AH2460" s="109"/>
      <c r="AI2460" s="109"/>
      <c r="AJ2460" s="109"/>
      <c r="AK2460" s="109"/>
      <c r="AL2460" s="109"/>
      <c r="AM2460" s="109"/>
      <c r="AN2460" s="109"/>
      <c r="AO2460" s="109"/>
      <c r="AP2460" s="109"/>
      <c r="AQ2460" s="109"/>
      <c r="AR2460" s="109"/>
      <c r="AS2460" s="109"/>
    </row>
    <row r="2461" spans="1:45" ht="12.6" customHeight="1" x14ac:dyDescent="0.3">
      <c r="A2461" s="68"/>
      <c r="B2461" s="97" t="str">
        <f>" 운반거리:   L = "&amp;Z2461&amp;" m "</f>
        <v xml:space="preserve"> 운반거리:   L = 0.293 m </v>
      </c>
      <c r="C2461" s="78"/>
      <c r="D2461" s="78"/>
      <c r="E2461" s="78"/>
      <c r="F2461" s="78"/>
      <c r="G2461" s="16" t="s">
        <v>2100</v>
      </c>
      <c r="Z2461" s="110">
        <v>0.29299999999999998</v>
      </c>
      <c r="AA2461" s="20" t="s">
        <v>1326</v>
      </c>
      <c r="AB2461" s="112">
        <f>Z2461</f>
        <v>0.29299999999999998</v>
      </c>
      <c r="AC2461" s="109"/>
      <c r="AD2461" s="109"/>
      <c r="AE2461" s="109"/>
      <c r="AF2461" s="109"/>
      <c r="AG2461" s="109"/>
      <c r="AH2461" s="109"/>
      <c r="AI2461" s="109"/>
      <c r="AJ2461" s="109"/>
      <c r="AK2461" s="109"/>
      <c r="AL2461" s="109"/>
      <c r="AM2461" s="109"/>
      <c r="AN2461" s="109"/>
      <c r="AO2461" s="109"/>
      <c r="AP2461" s="109"/>
      <c r="AQ2461" s="109"/>
      <c r="AR2461" s="109"/>
      <c r="AS2461" s="109"/>
    </row>
    <row r="2462" spans="1:45" ht="12.6" customHeight="1" x14ac:dyDescent="0.3">
      <c r="A2462" s="78"/>
      <c r="B2462" s="78"/>
      <c r="C2462" s="78"/>
      <c r="D2462" s="78"/>
      <c r="E2462" s="78"/>
      <c r="F2462" s="78"/>
      <c r="G2462" s="16" t="s">
        <v>1317</v>
      </c>
      <c r="Z2462" s="109"/>
      <c r="AA2462" s="109"/>
      <c r="AB2462" s="109"/>
      <c r="AC2462" s="109"/>
      <c r="AD2462" s="109"/>
      <c r="AE2462" s="109"/>
      <c r="AF2462" s="109"/>
      <c r="AG2462" s="109"/>
      <c r="AH2462" s="109"/>
      <c r="AI2462" s="109"/>
      <c r="AJ2462" s="109"/>
      <c r="AK2462" s="109"/>
      <c r="AL2462" s="109"/>
      <c r="AM2462" s="109"/>
      <c r="AN2462" s="109"/>
      <c r="AO2462" s="109"/>
      <c r="AP2462" s="109"/>
      <c r="AQ2462" s="109"/>
      <c r="AR2462" s="109"/>
      <c r="AS2462" s="109"/>
    </row>
    <row r="2463" spans="1:45" ht="12.6" customHeight="1" x14ac:dyDescent="0.3">
      <c r="A2463" s="68"/>
      <c r="B2463" s="77" t="s">
        <v>1910</v>
      </c>
      <c r="C2463" s="78"/>
      <c r="D2463" s="78"/>
      <c r="E2463" s="78"/>
      <c r="F2463" s="78"/>
      <c r="G2463" s="16" t="s">
        <v>1909</v>
      </c>
      <c r="Z2463" s="109"/>
      <c r="AA2463" s="109"/>
      <c r="AB2463" s="109"/>
      <c r="AC2463" s="109"/>
      <c r="AD2463" s="109"/>
      <c r="AE2463" s="109"/>
      <c r="AF2463" s="109"/>
      <c r="AG2463" s="109"/>
      <c r="AH2463" s="109"/>
      <c r="AI2463" s="109"/>
      <c r="AJ2463" s="109"/>
      <c r="AK2463" s="109"/>
      <c r="AL2463" s="109"/>
      <c r="AM2463" s="109"/>
      <c r="AN2463" s="109"/>
      <c r="AO2463" s="109"/>
      <c r="AP2463" s="109"/>
      <c r="AQ2463" s="109"/>
      <c r="AR2463" s="109"/>
      <c r="AS2463" s="109"/>
    </row>
    <row r="2464" spans="1:45" ht="12.6" customHeight="1" x14ac:dyDescent="0.3">
      <c r="A2464" s="78"/>
      <c r="B2464" s="78"/>
      <c r="C2464" s="78"/>
      <c r="D2464" s="78"/>
      <c r="E2464" s="78"/>
      <c r="F2464" s="78"/>
      <c r="G2464" s="16" t="s">
        <v>1317</v>
      </c>
      <c r="Z2464" s="109"/>
      <c r="AA2464" s="109"/>
      <c r="AB2464" s="109"/>
      <c r="AC2464" s="109"/>
      <c r="AD2464" s="109"/>
      <c r="AE2464" s="109"/>
      <c r="AF2464" s="109"/>
      <c r="AG2464" s="109"/>
      <c r="AH2464" s="109"/>
      <c r="AI2464" s="109"/>
      <c r="AJ2464" s="109"/>
      <c r="AK2464" s="109"/>
      <c r="AL2464" s="109"/>
      <c r="AM2464" s="109"/>
      <c r="AN2464" s="109"/>
      <c r="AO2464" s="109"/>
      <c r="AP2464" s="109"/>
      <c r="AQ2464" s="109"/>
      <c r="AR2464" s="109"/>
      <c r="AS2464" s="109"/>
    </row>
    <row r="2465" spans="1:45" ht="12.6" customHeight="1" x14ac:dyDescent="0.3">
      <c r="A2465" s="68"/>
      <c r="B2465" s="97" t="str">
        <f>"q (버킷용량) = "&amp;Z2465&amp;" , k (버킷계수) = "&amp;AD2465&amp;""</f>
        <v>q (버킷용량) = 0.7 , k (버킷계수) = 0.7</v>
      </c>
      <c r="C2465" s="78"/>
      <c r="D2465" s="78"/>
      <c r="E2465" s="78"/>
      <c r="F2465" s="78"/>
      <c r="G2465" s="16" t="s">
        <v>1911</v>
      </c>
      <c r="Z2465" s="110">
        <v>0.7</v>
      </c>
      <c r="AA2465" s="20" t="s">
        <v>1326</v>
      </c>
      <c r="AB2465" s="112">
        <f>Z2465</f>
        <v>0.7</v>
      </c>
      <c r="AC2465" s="20" t="s">
        <v>1385</v>
      </c>
      <c r="AD2465" s="110">
        <v>0.7</v>
      </c>
      <c r="AE2465" s="20" t="s">
        <v>1326</v>
      </c>
      <c r="AF2465" s="112">
        <f>AD2465</f>
        <v>0.7</v>
      </c>
      <c r="AG2465" s="20" t="s">
        <v>1385</v>
      </c>
      <c r="AH2465" s="109"/>
      <c r="AI2465" s="109"/>
      <c r="AJ2465" s="109"/>
      <c r="AK2465" s="109"/>
      <c r="AL2465" s="109"/>
      <c r="AM2465" s="109"/>
      <c r="AN2465" s="109"/>
      <c r="AO2465" s="109"/>
      <c r="AP2465" s="109"/>
      <c r="AQ2465" s="109"/>
      <c r="AR2465" s="109"/>
      <c r="AS2465" s="109"/>
    </row>
    <row r="2466" spans="1:45" ht="12.6" customHeight="1" x14ac:dyDescent="0.3">
      <c r="A2466" s="78"/>
      <c r="B2466" s="78"/>
      <c r="C2466" s="78"/>
      <c r="D2466" s="78"/>
      <c r="E2466" s="78"/>
      <c r="F2466" s="78"/>
      <c r="G2466" s="16" t="s">
        <v>1317</v>
      </c>
      <c r="Z2466" s="109"/>
      <c r="AA2466" s="109"/>
      <c r="AB2466" s="109"/>
      <c r="AC2466" s="109"/>
      <c r="AD2466" s="109"/>
      <c r="AE2466" s="109"/>
      <c r="AF2466" s="109"/>
      <c r="AG2466" s="109"/>
      <c r="AH2466" s="109"/>
      <c r="AI2466" s="109"/>
      <c r="AJ2466" s="109"/>
      <c r="AK2466" s="109"/>
      <c r="AL2466" s="109"/>
      <c r="AM2466" s="109"/>
      <c r="AN2466" s="109"/>
      <c r="AO2466" s="109"/>
      <c r="AP2466" s="109"/>
      <c r="AQ2466" s="109"/>
      <c r="AR2466" s="109"/>
      <c r="AS2466" s="109"/>
    </row>
    <row r="2467" spans="1:45" ht="12.6" customHeight="1" x14ac:dyDescent="0.3">
      <c r="A2467" s="68"/>
      <c r="B2467" s="97" t="str">
        <f>"f (토량의체적환산계수) = "&amp;Z2467&amp;"/"&amp;AB2467&amp;" = "&amp;AD2467&amp;""</f>
        <v>f (토량의체적환산계수) = 0.9/1.25 = 0.72</v>
      </c>
      <c r="C2467" s="78"/>
      <c r="D2467" s="78"/>
      <c r="E2467" s="78"/>
      <c r="F2467" s="78"/>
      <c r="G2467" s="16" t="s">
        <v>1912</v>
      </c>
      <c r="Z2467" s="110">
        <v>0.9</v>
      </c>
      <c r="AA2467" s="20" t="s">
        <v>1387</v>
      </c>
      <c r="AB2467" s="110">
        <v>1.25</v>
      </c>
      <c r="AC2467" s="20" t="s">
        <v>1326</v>
      </c>
      <c r="AD2467" s="112" t="str">
        <f>TEXT(ROUND(Z2467/AB2467,2),"0.00")</f>
        <v>0.72</v>
      </c>
      <c r="AE2467" s="109"/>
      <c r="AF2467" s="109"/>
      <c r="AG2467" s="109"/>
      <c r="AH2467" s="109"/>
      <c r="AI2467" s="109"/>
      <c r="AJ2467" s="109"/>
      <c r="AK2467" s="109"/>
      <c r="AL2467" s="109"/>
      <c r="AM2467" s="109"/>
      <c r="AN2467" s="109"/>
      <c r="AO2467" s="109"/>
      <c r="AP2467" s="109"/>
      <c r="AQ2467" s="109"/>
      <c r="AR2467" s="109"/>
      <c r="AS2467" s="109"/>
    </row>
    <row r="2468" spans="1:45" ht="12.6" customHeight="1" x14ac:dyDescent="0.3">
      <c r="A2468" s="78"/>
      <c r="B2468" s="78"/>
      <c r="C2468" s="78"/>
      <c r="D2468" s="78"/>
      <c r="E2468" s="78"/>
      <c r="F2468" s="78"/>
      <c r="G2468" s="16" t="s">
        <v>1317</v>
      </c>
      <c r="Z2468" s="109"/>
      <c r="AA2468" s="109"/>
      <c r="AB2468" s="109"/>
      <c r="AC2468" s="109"/>
      <c r="AD2468" s="109"/>
      <c r="AE2468" s="109"/>
      <c r="AF2468" s="109"/>
      <c r="AG2468" s="109"/>
      <c r="AH2468" s="109"/>
      <c r="AI2468" s="109"/>
      <c r="AJ2468" s="109"/>
      <c r="AK2468" s="109"/>
      <c r="AL2468" s="109"/>
      <c r="AM2468" s="109"/>
      <c r="AN2468" s="109"/>
      <c r="AO2468" s="109"/>
      <c r="AP2468" s="109"/>
      <c r="AQ2468" s="109"/>
      <c r="AR2468" s="109"/>
      <c r="AS2468" s="109"/>
    </row>
    <row r="2469" spans="1:45" ht="12.6" customHeight="1" x14ac:dyDescent="0.3">
      <c r="A2469" s="68"/>
      <c r="B2469" s="97" t="str">
        <f>"E (작업효율) = "&amp;Z2469&amp;" , Cm (1회 사이클 시간(초))  = "&amp;AD2469&amp;"  sec(135) "</f>
        <v xml:space="preserve">E (작업효율) = 0.5 , Cm (1회 사이클 시간(초))  = 20  sec(135) </v>
      </c>
      <c r="C2469" s="78"/>
      <c r="D2469" s="78"/>
      <c r="E2469" s="78"/>
      <c r="F2469" s="78"/>
      <c r="G2469" s="16" t="s">
        <v>1913</v>
      </c>
      <c r="Z2469" s="110">
        <v>0.5</v>
      </c>
      <c r="AA2469" s="20" t="s">
        <v>1326</v>
      </c>
      <c r="AB2469" s="112">
        <f>Z2469</f>
        <v>0.5</v>
      </c>
      <c r="AC2469" s="20" t="s">
        <v>1385</v>
      </c>
      <c r="AD2469" s="111">
        <v>20</v>
      </c>
      <c r="AE2469" s="20" t="s">
        <v>1326</v>
      </c>
      <c r="AF2469" s="112">
        <f>AD2469</f>
        <v>20</v>
      </c>
      <c r="AG2469" s="20" t="s">
        <v>1385</v>
      </c>
      <c r="AH2469" s="109"/>
      <c r="AI2469" s="109"/>
      <c r="AJ2469" s="109"/>
      <c r="AK2469" s="109"/>
      <c r="AL2469" s="109"/>
      <c r="AM2469" s="109"/>
      <c r="AN2469" s="109"/>
      <c r="AO2469" s="109"/>
      <c r="AP2469" s="109"/>
      <c r="AQ2469" s="109"/>
      <c r="AR2469" s="109"/>
      <c r="AS2469" s="109"/>
    </row>
    <row r="2470" spans="1:45" ht="12.6" customHeight="1" x14ac:dyDescent="0.3">
      <c r="A2470" s="78"/>
      <c r="B2470" s="78"/>
      <c r="C2470" s="78"/>
      <c r="D2470" s="78"/>
      <c r="E2470" s="78"/>
      <c r="F2470" s="78"/>
      <c r="G2470" s="16" t="s">
        <v>1317</v>
      </c>
      <c r="Z2470" s="109"/>
      <c r="AA2470" s="109"/>
      <c r="AB2470" s="109"/>
      <c r="AC2470" s="109"/>
      <c r="AD2470" s="109"/>
      <c r="AE2470" s="109"/>
      <c r="AF2470" s="109"/>
      <c r="AG2470" s="109"/>
      <c r="AH2470" s="109"/>
      <c r="AI2470" s="109"/>
      <c r="AJ2470" s="109"/>
      <c r="AK2470" s="109"/>
      <c r="AL2470" s="109"/>
      <c r="AM2470" s="109"/>
      <c r="AN2470" s="109"/>
      <c r="AO2470" s="109"/>
      <c r="AP2470" s="109"/>
      <c r="AQ2470" s="109"/>
      <c r="AR2470" s="109"/>
      <c r="AS2470" s="109"/>
    </row>
    <row r="2471" spans="1:45" ht="12.6" customHeight="1" x14ac:dyDescent="0.3">
      <c r="A2471" s="68"/>
      <c r="B2471" s="97" t="str">
        <f>"Q (시간당 작업량)  = "&amp;Z2471&amp;"*q*k*E*f/Cm = "&amp;AL2471&amp;" m3/hr "</f>
        <v xml:space="preserve">Q (시간당 작업량)  = 3600*q*k*E*f/Cm = 31.75 m3/hr </v>
      </c>
      <c r="C2471" s="78"/>
      <c r="D2471" s="78"/>
      <c r="E2471" s="78"/>
      <c r="F2471" s="78"/>
      <c r="G2471" s="16" t="s">
        <v>1757</v>
      </c>
      <c r="Z2471" s="111">
        <v>3600</v>
      </c>
      <c r="AA2471" s="20" t="s">
        <v>1390</v>
      </c>
      <c r="AB2471" s="112">
        <f>AB2465</f>
        <v>0.7</v>
      </c>
      <c r="AC2471" s="20" t="s">
        <v>1390</v>
      </c>
      <c r="AD2471" s="112">
        <f>AF2465</f>
        <v>0.7</v>
      </c>
      <c r="AE2471" s="20" t="s">
        <v>1390</v>
      </c>
      <c r="AF2471" s="112">
        <f>AB2469</f>
        <v>0.5</v>
      </c>
      <c r="AG2471" s="20" t="s">
        <v>1390</v>
      </c>
      <c r="AH2471" s="112" t="str">
        <f>AD2467</f>
        <v>0.72</v>
      </c>
      <c r="AI2471" s="20" t="s">
        <v>1387</v>
      </c>
      <c r="AJ2471" s="112">
        <f>AF2469</f>
        <v>20</v>
      </c>
      <c r="AK2471" s="20" t="s">
        <v>1326</v>
      </c>
      <c r="AL2471" s="112" t="str">
        <f>TEXT(ROUND(Z2471*AB2465*AF2465*AB2469*AD2467/AF2469,2),"0.00")</f>
        <v>31.75</v>
      </c>
      <c r="AM2471" s="109"/>
      <c r="AN2471" s="109"/>
      <c r="AO2471" s="109"/>
      <c r="AP2471" s="109"/>
      <c r="AQ2471" s="109"/>
      <c r="AR2471" s="109"/>
      <c r="AS2471" s="109"/>
    </row>
    <row r="2472" spans="1:45" ht="12.6" customHeight="1" x14ac:dyDescent="0.3">
      <c r="A2472" s="78"/>
      <c r="B2472" s="78"/>
      <c r="C2472" s="78"/>
      <c r="D2472" s="78"/>
      <c r="E2472" s="78"/>
      <c r="F2472" s="78"/>
      <c r="G2472" s="16" t="s">
        <v>1317</v>
      </c>
      <c r="Z2472" s="109"/>
      <c r="AA2472" s="109"/>
      <c r="AB2472" s="109"/>
      <c r="AC2472" s="109"/>
      <c r="AD2472" s="109"/>
      <c r="AE2472" s="109"/>
      <c r="AF2472" s="109"/>
      <c r="AG2472" s="109"/>
      <c r="AH2472" s="109"/>
      <c r="AI2472" s="109"/>
      <c r="AJ2472" s="109"/>
      <c r="AK2472" s="109"/>
      <c r="AL2472" s="109"/>
      <c r="AM2472" s="109"/>
      <c r="AN2472" s="109"/>
      <c r="AO2472" s="109"/>
      <c r="AP2472" s="109"/>
      <c r="AQ2472" s="109"/>
      <c r="AR2472" s="109"/>
      <c r="AS2472" s="109"/>
    </row>
    <row r="2473" spans="1:45" ht="12.6" customHeight="1" x14ac:dyDescent="0.3">
      <c r="A2473" s="68" t="s">
        <v>1473</v>
      </c>
      <c r="B2473" s="97" t="str">
        <f>" 노 무 비  :   "&amp;TEXT(I2473,"#,##0"&amp;IF(I2473&lt;&gt;INT(I2473),".###",""))&amp;" / Q  = "&amp;TEXT(C2473,"#,##0.0")&amp;""</f>
        <v xml:space="preserve"> 노 무 비  :   55,700 / Q  = 1,754.3</v>
      </c>
      <c r="C2473" s="99">
        <f>E2473+D2473+F2473</f>
        <v>1754.3</v>
      </c>
      <c r="D2473" s="99">
        <f>IF(H2473=0,0,ROUNDDOWN(J2473*H2473,1))</f>
        <v>1754.3</v>
      </c>
      <c r="E2473" s="99">
        <f>IF(H2473=0,0,ROUNDDOWN(K2473*H2473,1))</f>
        <v>0</v>
      </c>
      <c r="F2473" s="99">
        <f>IF(H2473=0,0,ROUNDDOWN(L2473*H2473,1))</f>
        <v>0</v>
      </c>
      <c r="G2473" s="16" t="s">
        <v>1758</v>
      </c>
      <c r="H2473" s="105">
        <f>AC2473</f>
        <v>3.1496062992125984E-2</v>
      </c>
      <c r="I2473" s="106">
        <f>K2473+J2473+L2473</f>
        <v>55700</v>
      </c>
      <c r="J2473" s="39">
        <f>중기목록표!F7</f>
        <v>55700</v>
      </c>
      <c r="M2473" s="20" t="s">
        <v>1193</v>
      </c>
      <c r="N2473" s="20" t="s">
        <v>1332</v>
      </c>
      <c r="X2473" s="108" t="str">
        <f>중기목록표!B7&amp;" / "&amp;중기목록표!C7</f>
        <v xml:space="preserve">굴삭기(0.7m3) / </v>
      </c>
      <c r="Y2473" s="19" t="str">
        <f ca="1">HYPERLINK("#"&amp;중기목록표!J2&amp;"!A"&amp;ROW(중기목록표!A7),"중기    4 →")</f>
        <v>중기    4 →</v>
      </c>
      <c r="Z2473" s="20" t="s">
        <v>1393</v>
      </c>
      <c r="AA2473" s="112" t="str">
        <f>AL2471</f>
        <v>31.75</v>
      </c>
      <c r="AB2473" s="20" t="s">
        <v>1326</v>
      </c>
      <c r="AC2473" s="113">
        <f>1/AL2471</f>
        <v>3.1496062992125984E-2</v>
      </c>
      <c r="AD2473" s="109"/>
      <c r="AE2473" s="109"/>
      <c r="AF2473" s="109"/>
      <c r="AG2473" s="109"/>
      <c r="AH2473" s="109"/>
      <c r="AI2473" s="109"/>
      <c r="AJ2473" s="109"/>
      <c r="AK2473" s="109"/>
      <c r="AL2473" s="109"/>
      <c r="AM2473" s="109"/>
      <c r="AN2473" s="109"/>
      <c r="AO2473" s="109"/>
      <c r="AP2473" s="109"/>
      <c r="AQ2473" s="109"/>
      <c r="AR2473" s="109"/>
      <c r="AS2473" s="109"/>
    </row>
    <row r="2474" spans="1:45" ht="12.6" customHeight="1" x14ac:dyDescent="0.3">
      <c r="A2474" s="78"/>
      <c r="B2474" s="78"/>
      <c r="C2474" s="78"/>
      <c r="D2474" s="78"/>
      <c r="E2474" s="78"/>
      <c r="F2474" s="78"/>
      <c r="G2474" s="16" t="s">
        <v>1317</v>
      </c>
      <c r="Z2474" s="109"/>
      <c r="AA2474" s="109"/>
      <c r="AB2474" s="109"/>
      <c r="AC2474" s="109"/>
      <c r="AD2474" s="109"/>
      <c r="AE2474" s="109"/>
      <c r="AF2474" s="109"/>
      <c r="AG2474" s="109"/>
      <c r="AH2474" s="109"/>
      <c r="AI2474" s="109"/>
      <c r="AJ2474" s="109"/>
      <c r="AK2474" s="109"/>
      <c r="AL2474" s="109"/>
      <c r="AM2474" s="109"/>
      <c r="AN2474" s="109"/>
      <c r="AO2474" s="109"/>
      <c r="AP2474" s="109"/>
      <c r="AQ2474" s="109"/>
      <c r="AR2474" s="109"/>
      <c r="AS2474" s="109"/>
    </row>
    <row r="2475" spans="1:45" ht="12.6" customHeight="1" x14ac:dyDescent="0.3">
      <c r="A2475" s="68" t="s">
        <v>1475</v>
      </c>
      <c r="B2475" s="97" t="str">
        <f>" 재 료 비  :   "&amp;TEXT(I2475,"#,##0"&amp;IF(I2475&lt;&gt;INT(I2475),".###",""))&amp;" / Q  = "&amp;TEXT(C2475,"#,##0.0")&amp;""</f>
        <v xml:space="preserve"> 재 료 비  :   18,001 / Q  = 566.9</v>
      </c>
      <c r="C2475" s="99">
        <f>E2475+D2475+F2475</f>
        <v>566.9</v>
      </c>
      <c r="D2475" s="99">
        <f>IF(H2475=0,0,ROUNDDOWN(J2475*H2475,1))</f>
        <v>0</v>
      </c>
      <c r="E2475" s="99">
        <f>IF(H2475=0,0,ROUNDDOWN(K2475*H2475,1))</f>
        <v>566.9</v>
      </c>
      <c r="F2475" s="99">
        <f>IF(H2475=0,0,ROUNDDOWN(L2475*H2475,1))</f>
        <v>0</v>
      </c>
      <c r="G2475" s="16" t="s">
        <v>1759</v>
      </c>
      <c r="H2475" s="105">
        <f>AC2475</f>
        <v>3.1496062992125984E-2</v>
      </c>
      <c r="I2475" s="106">
        <f>K2475+J2475+L2475</f>
        <v>18001</v>
      </c>
      <c r="K2475" s="39">
        <f>중기목록표!G7</f>
        <v>18001</v>
      </c>
      <c r="M2475" s="20" t="s">
        <v>1193</v>
      </c>
      <c r="N2475" s="20" t="s">
        <v>1332</v>
      </c>
      <c r="X2475" s="108" t="str">
        <f>중기목록표!B7&amp;" / "&amp;중기목록표!C7</f>
        <v xml:space="preserve">굴삭기(0.7m3) / </v>
      </c>
      <c r="Y2475" s="19" t="str">
        <f ca="1">HYPERLINK("#"&amp;중기목록표!J2&amp;"!A"&amp;ROW(중기목록표!A7),"중기    4 →")</f>
        <v>중기    4 →</v>
      </c>
      <c r="Z2475" s="20" t="s">
        <v>1393</v>
      </c>
      <c r="AA2475" s="112" t="str">
        <f>AL2471</f>
        <v>31.75</v>
      </c>
      <c r="AB2475" s="20" t="s">
        <v>1326</v>
      </c>
      <c r="AC2475" s="113">
        <f>1/AL2471</f>
        <v>3.1496062992125984E-2</v>
      </c>
      <c r="AD2475" s="109"/>
      <c r="AE2475" s="109"/>
      <c r="AF2475" s="109"/>
      <c r="AG2475" s="109"/>
      <c r="AH2475" s="109"/>
      <c r="AI2475" s="109"/>
      <c r="AJ2475" s="109"/>
      <c r="AK2475" s="109"/>
      <c r="AL2475" s="109"/>
      <c r="AM2475" s="109"/>
      <c r="AN2475" s="109"/>
      <c r="AO2475" s="109"/>
      <c r="AP2475" s="109"/>
      <c r="AQ2475" s="109"/>
      <c r="AR2475" s="109"/>
      <c r="AS2475" s="109"/>
    </row>
    <row r="2476" spans="1:45" ht="12.6" customHeight="1" x14ac:dyDescent="0.3">
      <c r="A2476" s="78"/>
      <c r="B2476" s="78"/>
      <c r="C2476" s="78"/>
      <c r="D2476" s="78"/>
      <c r="E2476" s="78"/>
      <c r="F2476" s="78"/>
      <c r="G2476" s="16" t="s">
        <v>1317</v>
      </c>
      <c r="Z2476" s="109"/>
      <c r="AA2476" s="109"/>
      <c r="AB2476" s="109"/>
      <c r="AC2476" s="109"/>
      <c r="AD2476" s="109"/>
      <c r="AE2476" s="109"/>
      <c r="AF2476" s="109"/>
      <c r="AG2476" s="109"/>
      <c r="AH2476" s="109"/>
      <c r="AI2476" s="109"/>
      <c r="AJ2476" s="109"/>
      <c r="AK2476" s="109"/>
      <c r="AL2476" s="109"/>
      <c r="AM2476" s="109"/>
      <c r="AN2476" s="109"/>
      <c r="AO2476" s="109"/>
      <c r="AP2476" s="109"/>
      <c r="AQ2476" s="109"/>
      <c r="AR2476" s="109"/>
      <c r="AS2476" s="109"/>
    </row>
    <row r="2477" spans="1:45" ht="12.6" customHeight="1" x14ac:dyDescent="0.3">
      <c r="A2477" s="68" t="s">
        <v>1477</v>
      </c>
      <c r="B2477" s="97" t="str">
        <f>" 경    비  :   "&amp;TEXT(I2477,"#,##0"&amp;IF(I2477&lt;&gt;INT(I2477),".###",""))&amp;" / Q  = "&amp;TEXT(C2477,"#,##0.0")&amp;""</f>
        <v xml:space="preserve"> 경    비  :   23,128 / Q  = 728.4</v>
      </c>
      <c r="C2477" s="99">
        <f>E2477+D2477+F2477</f>
        <v>728.4</v>
      </c>
      <c r="D2477" s="99">
        <f>IF(H2477=0,0,ROUNDDOWN(J2477*H2477,1))</f>
        <v>0</v>
      </c>
      <c r="E2477" s="99">
        <f>IF(H2477=0,0,ROUNDDOWN(K2477*H2477,1))</f>
        <v>0</v>
      </c>
      <c r="F2477" s="99">
        <f>IF(H2477=0,0,ROUNDDOWN(L2477*H2477,1))</f>
        <v>728.4</v>
      </c>
      <c r="G2477" s="16" t="s">
        <v>1760</v>
      </c>
      <c r="H2477" s="105">
        <f>AC2477</f>
        <v>3.1496062992125984E-2</v>
      </c>
      <c r="I2477" s="106">
        <f>K2477+J2477+L2477</f>
        <v>23128</v>
      </c>
      <c r="L2477" s="39">
        <f>중기목록표!H7</f>
        <v>23128</v>
      </c>
      <c r="M2477" s="20" t="s">
        <v>1193</v>
      </c>
      <c r="N2477" s="20" t="s">
        <v>1332</v>
      </c>
      <c r="X2477" s="108" t="str">
        <f>중기목록표!B7&amp;" / "&amp;중기목록표!C7</f>
        <v xml:space="preserve">굴삭기(0.7m3) / </v>
      </c>
      <c r="Y2477" s="19" t="str">
        <f ca="1">HYPERLINK("#"&amp;중기목록표!J2&amp;"!A"&amp;ROW(중기목록표!A7),"중기    4 →")</f>
        <v>중기    4 →</v>
      </c>
      <c r="Z2477" s="20" t="s">
        <v>1393</v>
      </c>
      <c r="AA2477" s="112" t="str">
        <f>AL2471</f>
        <v>31.75</v>
      </c>
      <c r="AB2477" s="20" t="s">
        <v>1326</v>
      </c>
      <c r="AC2477" s="113">
        <f>1/AL2471</f>
        <v>3.1496062992125984E-2</v>
      </c>
      <c r="AD2477" s="109"/>
      <c r="AE2477" s="109"/>
      <c r="AF2477" s="109"/>
      <c r="AG2477" s="109"/>
      <c r="AH2477" s="109"/>
      <c r="AI2477" s="109"/>
      <c r="AJ2477" s="109"/>
      <c r="AK2477" s="109"/>
      <c r="AL2477" s="109"/>
      <c r="AM2477" s="109"/>
      <c r="AN2477" s="109"/>
      <c r="AO2477" s="109"/>
      <c r="AP2477" s="109"/>
      <c r="AQ2477" s="109"/>
      <c r="AR2477" s="109"/>
      <c r="AS2477" s="109"/>
    </row>
    <row r="2478" spans="1:45" ht="12.6" customHeight="1" x14ac:dyDescent="0.3">
      <c r="A2478" s="78"/>
      <c r="B2478" s="78"/>
      <c r="C2478" s="78"/>
      <c r="D2478" s="78"/>
      <c r="E2478" s="78"/>
      <c r="F2478" s="78"/>
      <c r="G2478" s="16" t="s">
        <v>1317</v>
      </c>
      <c r="Z2478" s="109"/>
      <c r="AA2478" s="109"/>
      <c r="AB2478" s="109"/>
      <c r="AC2478" s="109"/>
      <c r="AD2478" s="109"/>
      <c r="AE2478" s="109"/>
      <c r="AF2478" s="109"/>
      <c r="AG2478" s="109"/>
      <c r="AH2478" s="109"/>
      <c r="AI2478" s="109"/>
      <c r="AJ2478" s="109"/>
      <c r="AK2478" s="109"/>
      <c r="AL2478" s="109"/>
      <c r="AM2478" s="109"/>
      <c r="AN2478" s="109"/>
      <c r="AO2478" s="109"/>
      <c r="AP2478" s="109"/>
      <c r="AQ2478" s="109"/>
      <c r="AR2478" s="109"/>
      <c r="AS2478" s="109"/>
    </row>
    <row r="2479" spans="1:45" ht="12.6" customHeight="1" x14ac:dyDescent="0.3">
      <c r="A2479" s="68"/>
      <c r="B2479" s="77" t="s">
        <v>1331</v>
      </c>
      <c r="C2479" s="100">
        <f>E2479+D2479+F2479</f>
        <v>3049.6</v>
      </c>
      <c r="D2479" s="100">
        <f>SUMIF(N2457:N2478,M2479,D2457:D2478)</f>
        <v>1754.3</v>
      </c>
      <c r="E2479" s="100">
        <f>SUMIF(N2457:N2478,M2479,E2457:E2478)</f>
        <v>566.9</v>
      </c>
      <c r="F2479" s="100">
        <f>SUMIF(N2457:N2478,M2479,F2457:F2478)</f>
        <v>728.4</v>
      </c>
      <c r="G2479" s="16" t="s">
        <v>1415</v>
      </c>
      <c r="M2479" s="20" t="s">
        <v>1332</v>
      </c>
      <c r="N2479" s="20" t="s">
        <v>1341</v>
      </c>
      <c r="Z2479" s="109"/>
      <c r="AA2479" s="109"/>
      <c r="AB2479" s="109"/>
      <c r="AC2479" s="109"/>
      <c r="AD2479" s="109"/>
      <c r="AE2479" s="109"/>
      <c r="AF2479" s="109"/>
      <c r="AG2479" s="109"/>
      <c r="AH2479" s="109"/>
      <c r="AI2479" s="109"/>
      <c r="AJ2479" s="109"/>
      <c r="AK2479" s="109"/>
      <c r="AL2479" s="109"/>
      <c r="AM2479" s="109"/>
      <c r="AN2479" s="109"/>
      <c r="AO2479" s="109"/>
      <c r="AP2479" s="109"/>
      <c r="AQ2479" s="109"/>
      <c r="AR2479" s="109"/>
      <c r="AS2479" s="109"/>
    </row>
    <row r="2480" spans="1:45" ht="12.6" customHeight="1" x14ac:dyDescent="0.3">
      <c r="A2480" s="78"/>
      <c r="B2480" s="78"/>
      <c r="C2480" s="98"/>
      <c r="D2480" s="98"/>
      <c r="E2480" s="98"/>
      <c r="F2480" s="98"/>
      <c r="G2480" s="16" t="s">
        <v>1317</v>
      </c>
      <c r="Z2480" s="109"/>
      <c r="AA2480" s="109"/>
      <c r="AB2480" s="109"/>
      <c r="AC2480" s="109"/>
      <c r="AD2480" s="109"/>
      <c r="AE2480" s="109"/>
      <c r="AF2480" s="109"/>
      <c r="AG2480" s="109"/>
      <c r="AH2480" s="109"/>
      <c r="AI2480" s="109"/>
      <c r="AJ2480" s="109"/>
      <c r="AK2480" s="109"/>
      <c r="AL2480" s="109"/>
      <c r="AM2480" s="109"/>
      <c r="AN2480" s="109"/>
      <c r="AO2480" s="109"/>
      <c r="AP2480" s="109"/>
      <c r="AQ2480" s="109"/>
      <c r="AR2480" s="109"/>
      <c r="AS2480" s="109"/>
    </row>
    <row r="2481" spans="1:45" ht="12.6" customHeight="1" x14ac:dyDescent="0.3">
      <c r="A2481" s="68"/>
      <c r="B2481" s="77" t="s">
        <v>1915</v>
      </c>
      <c r="C2481" s="78"/>
      <c r="D2481" s="78"/>
      <c r="E2481" s="78"/>
      <c r="F2481" s="78"/>
      <c r="G2481" s="16" t="s">
        <v>1914</v>
      </c>
      <c r="Z2481" s="109"/>
      <c r="AA2481" s="109"/>
      <c r="AB2481" s="109"/>
      <c r="AC2481" s="109"/>
      <c r="AD2481" s="109"/>
      <c r="AE2481" s="109"/>
      <c r="AF2481" s="109"/>
      <c r="AG2481" s="109"/>
      <c r="AH2481" s="109"/>
      <c r="AI2481" s="109"/>
      <c r="AJ2481" s="109"/>
      <c r="AK2481" s="109"/>
      <c r="AL2481" s="109"/>
      <c r="AM2481" s="109"/>
      <c r="AN2481" s="109"/>
      <c r="AO2481" s="109"/>
      <c r="AP2481" s="109"/>
      <c r="AQ2481" s="109"/>
      <c r="AR2481" s="109"/>
      <c r="AS2481" s="109"/>
    </row>
    <row r="2482" spans="1:45" ht="12.6" customHeight="1" x14ac:dyDescent="0.3">
      <c r="A2482" s="78"/>
      <c r="B2482" s="78"/>
      <c r="C2482" s="78"/>
      <c r="D2482" s="78"/>
      <c r="E2482" s="78"/>
      <c r="F2482" s="78"/>
      <c r="G2482" s="16" t="s">
        <v>1317</v>
      </c>
      <c r="Z2482" s="109"/>
      <c r="AA2482" s="109"/>
      <c r="AB2482" s="109"/>
      <c r="AC2482" s="109"/>
      <c r="AD2482" s="109"/>
      <c r="AE2482" s="109"/>
      <c r="AF2482" s="109"/>
      <c r="AG2482" s="109"/>
      <c r="AH2482" s="109"/>
      <c r="AI2482" s="109"/>
      <c r="AJ2482" s="109"/>
      <c r="AK2482" s="109"/>
      <c r="AL2482" s="109"/>
      <c r="AM2482" s="109"/>
      <c r="AN2482" s="109"/>
      <c r="AO2482" s="109"/>
      <c r="AP2482" s="109"/>
      <c r="AQ2482" s="109"/>
      <c r="AR2482" s="109"/>
      <c r="AS2482" s="109"/>
    </row>
    <row r="2483" spans="1:45" ht="12.6" customHeight="1" x14ac:dyDescent="0.3">
      <c r="A2483" s="68"/>
      <c r="B2483" s="77" t="s">
        <v>1917</v>
      </c>
      <c r="C2483" s="78"/>
      <c r="D2483" s="78"/>
      <c r="E2483" s="78"/>
      <c r="F2483" s="78"/>
      <c r="G2483" s="16" t="s">
        <v>1916</v>
      </c>
      <c r="Z2483" s="109"/>
      <c r="AA2483" s="109"/>
      <c r="AB2483" s="109"/>
      <c r="AC2483" s="109"/>
      <c r="AD2483" s="109"/>
      <c r="AE2483" s="109"/>
      <c r="AF2483" s="109"/>
      <c r="AG2483" s="109"/>
      <c r="AH2483" s="109"/>
      <c r="AI2483" s="109"/>
      <c r="AJ2483" s="109"/>
      <c r="AK2483" s="109"/>
      <c r="AL2483" s="109"/>
      <c r="AM2483" s="109"/>
      <c r="AN2483" s="109"/>
      <c r="AO2483" s="109"/>
      <c r="AP2483" s="109"/>
      <c r="AQ2483" s="109"/>
      <c r="AR2483" s="109"/>
      <c r="AS2483" s="109"/>
    </row>
    <row r="2484" spans="1:45" ht="12.6" customHeight="1" x14ac:dyDescent="0.3">
      <c r="A2484" s="78"/>
      <c r="B2484" s="78"/>
      <c r="C2484" s="78"/>
      <c r="D2484" s="78"/>
      <c r="E2484" s="78"/>
      <c r="F2484" s="78"/>
      <c r="G2484" s="16" t="s">
        <v>1317</v>
      </c>
      <c r="Z2484" s="109"/>
      <c r="AA2484" s="109"/>
      <c r="AB2484" s="109"/>
      <c r="AC2484" s="109"/>
      <c r="AD2484" s="109"/>
      <c r="AE2484" s="109"/>
      <c r="AF2484" s="109"/>
      <c r="AG2484" s="109"/>
      <c r="AH2484" s="109"/>
      <c r="AI2484" s="109"/>
      <c r="AJ2484" s="109"/>
      <c r="AK2484" s="109"/>
      <c r="AL2484" s="109"/>
      <c r="AM2484" s="109"/>
      <c r="AN2484" s="109"/>
      <c r="AO2484" s="109"/>
      <c r="AP2484" s="109"/>
      <c r="AQ2484" s="109"/>
      <c r="AR2484" s="109"/>
      <c r="AS2484" s="109"/>
    </row>
    <row r="2485" spans="1:45" ht="12.6" customHeight="1" x14ac:dyDescent="0.3">
      <c r="A2485" s="68"/>
      <c r="B2485" s="97" t="str">
        <f>" k (버킷계수) = "&amp;Z2485&amp;" , E (작업효율) = "&amp;AD2485&amp;""</f>
        <v xml:space="preserve"> k (버킷계수) = 0.7 , E (작업효율) = 0.9</v>
      </c>
      <c r="C2485" s="78"/>
      <c r="D2485" s="78"/>
      <c r="E2485" s="78"/>
      <c r="F2485" s="78"/>
      <c r="G2485" s="16" t="s">
        <v>1918</v>
      </c>
      <c r="Z2485" s="110">
        <v>0.7</v>
      </c>
      <c r="AA2485" s="20" t="s">
        <v>1326</v>
      </c>
      <c r="AB2485" s="112">
        <f>Z2485</f>
        <v>0.7</v>
      </c>
      <c r="AC2485" s="20" t="s">
        <v>1385</v>
      </c>
      <c r="AD2485" s="110">
        <v>0.9</v>
      </c>
      <c r="AE2485" s="20" t="s">
        <v>1326</v>
      </c>
      <c r="AF2485" s="112">
        <f>AD2485</f>
        <v>0.9</v>
      </c>
      <c r="AG2485" s="20" t="s">
        <v>1385</v>
      </c>
      <c r="AH2485" s="109"/>
      <c r="AI2485" s="109"/>
      <c r="AJ2485" s="109"/>
      <c r="AK2485" s="109"/>
      <c r="AL2485" s="109"/>
      <c r="AM2485" s="109"/>
      <c r="AN2485" s="109"/>
      <c r="AO2485" s="109"/>
      <c r="AP2485" s="109"/>
      <c r="AQ2485" s="109"/>
      <c r="AR2485" s="109"/>
      <c r="AS2485" s="109"/>
    </row>
    <row r="2486" spans="1:45" ht="12.6" customHeight="1" x14ac:dyDescent="0.3">
      <c r="A2486" s="78"/>
      <c r="B2486" s="78"/>
      <c r="C2486" s="78"/>
      <c r="D2486" s="78"/>
      <c r="E2486" s="78"/>
      <c r="F2486" s="78"/>
      <c r="G2486" s="16" t="s">
        <v>1317</v>
      </c>
      <c r="Z2486" s="109"/>
      <c r="AA2486" s="109"/>
      <c r="AB2486" s="109"/>
      <c r="AC2486" s="109"/>
      <c r="AD2486" s="109"/>
      <c r="AE2486" s="109"/>
      <c r="AF2486" s="109"/>
      <c r="AG2486" s="109"/>
      <c r="AH2486" s="109"/>
      <c r="AI2486" s="109"/>
      <c r="AJ2486" s="109"/>
      <c r="AK2486" s="109"/>
      <c r="AL2486" s="109"/>
      <c r="AM2486" s="109"/>
      <c r="AN2486" s="109"/>
      <c r="AO2486" s="109"/>
      <c r="AP2486" s="109"/>
      <c r="AQ2486" s="109"/>
      <c r="AR2486" s="109"/>
      <c r="AS2486" s="109"/>
    </row>
    <row r="2487" spans="1:45" ht="12.6" customHeight="1" x14ac:dyDescent="0.3">
      <c r="A2487" s="68"/>
      <c r="B2487" s="97" t="str">
        <f>" F (체적환산계수) = "&amp;Z2487&amp;"/"&amp;AB2487&amp;" = "&amp;AD2487&amp;""</f>
        <v xml:space="preserve"> F (체적환산계수) = 0.9/1.3 = 0.69</v>
      </c>
      <c r="C2487" s="78"/>
      <c r="D2487" s="78"/>
      <c r="E2487" s="78"/>
      <c r="F2487" s="78"/>
      <c r="G2487" s="16" t="s">
        <v>1919</v>
      </c>
      <c r="Z2487" s="110">
        <v>0.9</v>
      </c>
      <c r="AA2487" s="20" t="s">
        <v>1387</v>
      </c>
      <c r="AB2487" s="110">
        <v>1.3</v>
      </c>
      <c r="AC2487" s="20" t="s">
        <v>1326</v>
      </c>
      <c r="AD2487" s="112" t="str">
        <f>TEXT(ROUND(Z2487/AB2487,2),"0.00")</f>
        <v>0.69</v>
      </c>
      <c r="AE2487" s="109"/>
      <c r="AF2487" s="109"/>
      <c r="AG2487" s="109"/>
      <c r="AH2487" s="109"/>
      <c r="AI2487" s="109"/>
      <c r="AJ2487" s="109"/>
      <c r="AK2487" s="109"/>
      <c r="AL2487" s="109"/>
      <c r="AM2487" s="109"/>
      <c r="AN2487" s="109"/>
      <c r="AO2487" s="109"/>
      <c r="AP2487" s="109"/>
      <c r="AQ2487" s="109"/>
      <c r="AR2487" s="109"/>
      <c r="AS2487" s="109"/>
    </row>
    <row r="2488" spans="1:45" ht="12.6" customHeight="1" x14ac:dyDescent="0.3">
      <c r="A2488" s="78"/>
      <c r="B2488" s="78"/>
      <c r="C2488" s="78"/>
      <c r="D2488" s="78"/>
      <c r="E2488" s="78"/>
      <c r="F2488" s="78"/>
      <c r="G2488" s="16" t="s">
        <v>1317</v>
      </c>
      <c r="Z2488" s="109"/>
      <c r="AA2488" s="109"/>
      <c r="AB2488" s="109"/>
      <c r="AC2488" s="109"/>
      <c r="AD2488" s="109"/>
      <c r="AE2488" s="109"/>
      <c r="AF2488" s="109"/>
      <c r="AG2488" s="109"/>
      <c r="AH2488" s="109"/>
      <c r="AI2488" s="109"/>
      <c r="AJ2488" s="109"/>
      <c r="AK2488" s="109"/>
      <c r="AL2488" s="109"/>
      <c r="AM2488" s="109"/>
      <c r="AN2488" s="109"/>
      <c r="AO2488" s="109"/>
      <c r="AP2488" s="109"/>
      <c r="AQ2488" s="109"/>
      <c r="AR2488" s="109"/>
      <c r="AS2488" s="109"/>
    </row>
    <row r="2489" spans="1:45" ht="12.6" customHeight="1" x14ac:dyDescent="0.3">
      <c r="A2489" s="68"/>
      <c r="B2489" s="97" t="str">
        <f>" q1 (흐트러진 상태의 덤프트럭 1회 적재량) = ("&amp;AA2489&amp;"/"&amp;AC2489&amp;") * "&amp;AE2489&amp;" = "&amp;AG2489&amp;""</f>
        <v xml:space="preserve"> q1 (흐트러진 상태의 덤프트럭 1회 적재량) = (15/1.7) * 1.425 = 12.57</v>
      </c>
      <c r="C2489" s="78"/>
      <c r="D2489" s="78"/>
      <c r="E2489" s="78"/>
      <c r="F2489" s="78"/>
      <c r="G2489" s="16" t="s">
        <v>1920</v>
      </c>
      <c r="Z2489" s="20" t="s">
        <v>1526</v>
      </c>
      <c r="AA2489" s="111">
        <v>15</v>
      </c>
      <c r="AB2489" s="20" t="s">
        <v>1387</v>
      </c>
      <c r="AC2489" s="110">
        <v>1.7</v>
      </c>
      <c r="AD2489" s="20" t="s">
        <v>1527</v>
      </c>
      <c r="AE2489" s="110">
        <v>1.425</v>
      </c>
      <c r="AF2489" s="20" t="s">
        <v>1326</v>
      </c>
      <c r="AG2489" s="112" t="str">
        <f>TEXT(ROUND((AA2489/AC2489)*AE2489,2),"0.00")</f>
        <v>12.57</v>
      </c>
      <c r="AH2489" s="109"/>
      <c r="AI2489" s="109"/>
      <c r="AJ2489" s="109"/>
      <c r="AK2489" s="109"/>
      <c r="AL2489" s="109"/>
      <c r="AM2489" s="109"/>
      <c r="AN2489" s="109"/>
      <c r="AO2489" s="109"/>
      <c r="AP2489" s="109"/>
      <c r="AQ2489" s="109"/>
      <c r="AR2489" s="109"/>
      <c r="AS2489" s="109"/>
    </row>
    <row r="2490" spans="1:45" ht="12.6" customHeight="1" x14ac:dyDescent="0.3">
      <c r="A2490" s="78"/>
      <c r="B2490" s="78"/>
      <c r="C2490" s="78"/>
      <c r="D2490" s="78"/>
      <c r="E2490" s="78"/>
      <c r="F2490" s="78"/>
      <c r="G2490" s="16" t="s">
        <v>1317</v>
      </c>
      <c r="Z2490" s="109"/>
      <c r="AA2490" s="109"/>
      <c r="AB2490" s="109"/>
      <c r="AC2490" s="109"/>
      <c r="AD2490" s="109"/>
      <c r="AE2490" s="109"/>
      <c r="AF2490" s="109"/>
      <c r="AG2490" s="109"/>
      <c r="AH2490" s="109"/>
      <c r="AI2490" s="109"/>
      <c r="AJ2490" s="109"/>
      <c r="AK2490" s="109"/>
      <c r="AL2490" s="109"/>
      <c r="AM2490" s="109"/>
      <c r="AN2490" s="109"/>
      <c r="AO2490" s="109"/>
      <c r="AP2490" s="109"/>
      <c r="AQ2490" s="109"/>
      <c r="AR2490" s="109"/>
      <c r="AS2490" s="109"/>
    </row>
    <row r="2491" spans="1:45" ht="12.6" customHeight="1" x14ac:dyDescent="0.3">
      <c r="A2491" s="68"/>
      <c r="B2491" s="77" t="s">
        <v>1528</v>
      </c>
      <c r="C2491" s="78"/>
      <c r="D2491" s="78"/>
      <c r="E2491" s="78"/>
      <c r="F2491" s="78"/>
      <c r="G2491" s="16" t="s">
        <v>1803</v>
      </c>
      <c r="Z2491" s="109"/>
      <c r="AA2491" s="109"/>
      <c r="AB2491" s="109"/>
      <c r="AC2491" s="109"/>
      <c r="AD2491" s="109"/>
      <c r="AE2491" s="109"/>
      <c r="AF2491" s="109"/>
      <c r="AG2491" s="109"/>
      <c r="AH2491" s="109"/>
      <c r="AI2491" s="109"/>
      <c r="AJ2491" s="109"/>
      <c r="AK2491" s="109"/>
      <c r="AL2491" s="109"/>
      <c r="AM2491" s="109"/>
      <c r="AN2491" s="109"/>
      <c r="AO2491" s="109"/>
      <c r="AP2491" s="109"/>
      <c r="AQ2491" s="109"/>
      <c r="AR2491" s="109"/>
      <c r="AS2491" s="109"/>
    </row>
    <row r="2492" spans="1:45" ht="12.6" customHeight="1" x14ac:dyDescent="0.3">
      <c r="A2492" s="78"/>
      <c r="B2492" s="78"/>
      <c r="C2492" s="78"/>
      <c r="D2492" s="78"/>
      <c r="E2492" s="78"/>
      <c r="F2492" s="78"/>
      <c r="G2492" s="16" t="s">
        <v>1317</v>
      </c>
      <c r="Z2492" s="109"/>
      <c r="AA2492" s="109"/>
      <c r="AB2492" s="109"/>
      <c r="AC2492" s="109"/>
      <c r="AD2492" s="109"/>
      <c r="AE2492" s="109"/>
      <c r="AF2492" s="109"/>
      <c r="AG2492" s="109"/>
      <c r="AH2492" s="109"/>
      <c r="AI2492" s="109"/>
      <c r="AJ2492" s="109"/>
      <c r="AK2492" s="109"/>
      <c r="AL2492" s="109"/>
      <c r="AM2492" s="109"/>
      <c r="AN2492" s="109"/>
      <c r="AO2492" s="109"/>
      <c r="AP2492" s="109"/>
      <c r="AQ2492" s="109"/>
      <c r="AR2492" s="109"/>
      <c r="AS2492" s="109"/>
    </row>
    <row r="2493" spans="1:45" ht="12.6" customHeight="1" x14ac:dyDescent="0.3">
      <c r="A2493" s="68"/>
      <c r="B2493" s="97" t="str">
        <f>" n = q1 / ("&amp;AB2493&amp;" * k) = "&amp;AG2493&amp;"  회 "</f>
        <v xml:space="preserve"> n = q1 / (0.7 * k) = 25.65  회 </v>
      </c>
      <c r="C2493" s="78"/>
      <c r="D2493" s="78"/>
      <c r="E2493" s="78"/>
      <c r="F2493" s="78"/>
      <c r="G2493" s="16" t="s">
        <v>1921</v>
      </c>
      <c r="Z2493" s="112" t="str">
        <f>AG2489</f>
        <v>12.57</v>
      </c>
      <c r="AA2493" s="20" t="s">
        <v>1531</v>
      </c>
      <c r="AB2493" s="110">
        <v>0.7</v>
      </c>
      <c r="AC2493" s="20" t="s">
        <v>1390</v>
      </c>
      <c r="AD2493" s="112">
        <f>AB2485</f>
        <v>0.7</v>
      </c>
      <c r="AE2493" s="20" t="s">
        <v>1532</v>
      </c>
      <c r="AF2493" s="20" t="s">
        <v>1326</v>
      </c>
      <c r="AG2493" s="112" t="str">
        <f>TEXT(ROUND(AG2489/(AB2493*AB2485),2),"0.00")</f>
        <v>25.65</v>
      </c>
      <c r="AH2493" s="109"/>
      <c r="AI2493" s="109"/>
      <c r="AJ2493" s="109"/>
      <c r="AK2493" s="109"/>
      <c r="AL2493" s="109"/>
      <c r="AM2493" s="109"/>
      <c r="AN2493" s="109"/>
      <c r="AO2493" s="109"/>
      <c r="AP2493" s="109"/>
      <c r="AQ2493" s="109"/>
      <c r="AR2493" s="109"/>
      <c r="AS2493" s="109"/>
    </row>
    <row r="2494" spans="1:45" ht="12.6" customHeight="1" x14ac:dyDescent="0.3">
      <c r="A2494" s="78"/>
      <c r="B2494" s="78"/>
      <c r="C2494" s="78"/>
      <c r="D2494" s="78"/>
      <c r="E2494" s="78"/>
      <c r="F2494" s="78"/>
      <c r="G2494" s="16" t="s">
        <v>1317</v>
      </c>
      <c r="Z2494" s="109"/>
      <c r="AA2494" s="109"/>
      <c r="AB2494" s="109"/>
      <c r="AC2494" s="109"/>
      <c r="AD2494" s="109"/>
      <c r="AE2494" s="109"/>
      <c r="AF2494" s="109"/>
      <c r="AG2494" s="109"/>
      <c r="AH2494" s="109"/>
      <c r="AI2494" s="109"/>
      <c r="AJ2494" s="109"/>
      <c r="AK2494" s="109"/>
      <c r="AL2494" s="109"/>
      <c r="AM2494" s="109"/>
      <c r="AN2494" s="109"/>
      <c r="AO2494" s="109"/>
      <c r="AP2494" s="109"/>
      <c r="AQ2494" s="109"/>
      <c r="AR2494" s="109"/>
      <c r="AS2494" s="109"/>
    </row>
    <row r="2495" spans="1:45" ht="12.6" customHeight="1" x14ac:dyDescent="0.3">
      <c r="A2495" s="68"/>
      <c r="B2495" s="97" t="str">
        <f>" t1 (적재시간) = "&amp;Z2495&amp;" * n / ("&amp;AD2495&amp;" * "&amp;AF2495&amp;") = "&amp;AI2495&amp;" 분 "</f>
        <v xml:space="preserve"> t1 (적재시간) = 20 * n / (60 * 0.5) = 17.10 분 </v>
      </c>
      <c r="C2495" s="78"/>
      <c r="D2495" s="78"/>
      <c r="E2495" s="78"/>
      <c r="F2495" s="78"/>
      <c r="G2495" s="16" t="s">
        <v>1922</v>
      </c>
      <c r="Z2495" s="111">
        <v>20</v>
      </c>
      <c r="AA2495" s="20" t="s">
        <v>1390</v>
      </c>
      <c r="AB2495" s="112" t="str">
        <f>AG2493</f>
        <v>25.65</v>
      </c>
      <c r="AC2495" s="20" t="s">
        <v>1531</v>
      </c>
      <c r="AD2495" s="111">
        <v>60</v>
      </c>
      <c r="AE2495" s="20" t="s">
        <v>1390</v>
      </c>
      <c r="AF2495" s="110">
        <v>0.5</v>
      </c>
      <c r="AG2495" s="20" t="s">
        <v>1532</v>
      </c>
      <c r="AH2495" s="20" t="s">
        <v>1326</v>
      </c>
      <c r="AI2495" s="112" t="str">
        <f>TEXT(ROUND(Z2495*AG2493/(AD2495*AF2495),2),"0.00")</f>
        <v>17.10</v>
      </c>
      <c r="AJ2495" s="109"/>
      <c r="AK2495" s="109"/>
      <c r="AL2495" s="109"/>
      <c r="AM2495" s="109"/>
      <c r="AN2495" s="109"/>
      <c r="AO2495" s="109"/>
      <c r="AP2495" s="109"/>
      <c r="AQ2495" s="109"/>
      <c r="AR2495" s="109"/>
      <c r="AS2495" s="109"/>
    </row>
    <row r="2496" spans="1:45" ht="12.6" customHeight="1" x14ac:dyDescent="0.3">
      <c r="A2496" s="78"/>
      <c r="B2496" s="78"/>
      <c r="C2496" s="78"/>
      <c r="D2496" s="78"/>
      <c r="E2496" s="78"/>
      <c r="F2496" s="78"/>
      <c r="G2496" s="16" t="s">
        <v>1317</v>
      </c>
      <c r="Z2496" s="109"/>
      <c r="AA2496" s="109"/>
      <c r="AB2496" s="109"/>
      <c r="AC2496" s="109"/>
      <c r="AD2496" s="109"/>
      <c r="AE2496" s="109"/>
      <c r="AF2496" s="109"/>
      <c r="AG2496" s="109"/>
      <c r="AH2496" s="109"/>
      <c r="AI2496" s="109"/>
      <c r="AJ2496" s="109"/>
      <c r="AK2496" s="109"/>
      <c r="AL2496" s="109"/>
      <c r="AM2496" s="109"/>
      <c r="AN2496" s="109"/>
      <c r="AO2496" s="109"/>
      <c r="AP2496" s="109"/>
      <c r="AQ2496" s="109"/>
      <c r="AR2496" s="109"/>
      <c r="AS2496" s="109"/>
    </row>
    <row r="2497" spans="1:45" ht="12.6" customHeight="1" x14ac:dyDescent="0.3">
      <c r="A2497" s="68"/>
      <c r="B2497" s="97" t="str">
        <f>" t2 (왕복시간) = (L/"&amp;AC2497&amp;"+L/"&amp;AG2497&amp;")* "&amp;AI2497&amp;" = "&amp;AK2497&amp;" 분 "</f>
        <v xml:space="preserve"> t2 (왕복시간) = (L/7+L/8)* 60 = 4.71 분 </v>
      </c>
      <c r="C2497" s="78"/>
      <c r="D2497" s="78"/>
      <c r="E2497" s="78"/>
      <c r="F2497" s="78"/>
      <c r="G2497" s="16" t="s">
        <v>1923</v>
      </c>
      <c r="Z2497" s="20" t="s">
        <v>1526</v>
      </c>
      <c r="AA2497" s="112">
        <f>AB2461</f>
        <v>0.29299999999999998</v>
      </c>
      <c r="AB2497" s="20" t="s">
        <v>1387</v>
      </c>
      <c r="AC2497" s="111">
        <v>7</v>
      </c>
      <c r="AD2497" s="20" t="s">
        <v>1535</v>
      </c>
      <c r="AE2497" s="112">
        <f>AB2461</f>
        <v>0.29299999999999998</v>
      </c>
      <c r="AF2497" s="20" t="s">
        <v>1387</v>
      </c>
      <c r="AG2497" s="111">
        <v>8</v>
      </c>
      <c r="AH2497" s="20" t="s">
        <v>1527</v>
      </c>
      <c r="AI2497" s="111">
        <v>60</v>
      </c>
      <c r="AJ2497" s="20" t="s">
        <v>1326</v>
      </c>
      <c r="AK2497" s="112" t="str">
        <f>TEXT(ROUND((AB2461/AC2497+AB2461/AG2497)*AI2497,2),"0.00")</f>
        <v>4.71</v>
      </c>
      <c r="AL2497" s="109"/>
      <c r="AM2497" s="109"/>
      <c r="AN2497" s="109"/>
      <c r="AO2497" s="109"/>
      <c r="AP2497" s="109"/>
      <c r="AQ2497" s="109"/>
      <c r="AR2497" s="109"/>
      <c r="AS2497" s="109"/>
    </row>
    <row r="2498" spans="1:45" ht="12.6" customHeight="1" x14ac:dyDescent="0.3">
      <c r="A2498" s="78"/>
      <c r="B2498" s="78"/>
      <c r="C2498" s="78"/>
      <c r="D2498" s="78"/>
      <c r="E2498" s="78"/>
      <c r="F2498" s="78"/>
      <c r="G2498" s="16" t="s">
        <v>1317</v>
      </c>
      <c r="Z2498" s="109"/>
      <c r="AA2498" s="109"/>
      <c r="AB2498" s="109"/>
      <c r="AC2498" s="109"/>
      <c r="AD2498" s="109"/>
      <c r="AE2498" s="109"/>
      <c r="AF2498" s="109"/>
      <c r="AG2498" s="109"/>
      <c r="AH2498" s="109"/>
      <c r="AI2498" s="109"/>
      <c r="AJ2498" s="109"/>
      <c r="AK2498" s="109"/>
      <c r="AL2498" s="109"/>
      <c r="AM2498" s="109"/>
      <c r="AN2498" s="109"/>
      <c r="AO2498" s="109"/>
      <c r="AP2498" s="109"/>
      <c r="AQ2498" s="109"/>
      <c r="AR2498" s="109"/>
      <c r="AS2498" s="109"/>
    </row>
    <row r="2499" spans="1:45" ht="12.6" customHeight="1" x14ac:dyDescent="0.3">
      <c r="A2499" s="68"/>
      <c r="B2499" s="97" t="str">
        <f>" t3 (적하시간) = "&amp;Z2499&amp;""</f>
        <v xml:space="preserve"> t3 (적하시간) = 1.1</v>
      </c>
      <c r="C2499" s="78"/>
      <c r="D2499" s="78"/>
      <c r="E2499" s="78"/>
      <c r="F2499" s="78"/>
      <c r="G2499" s="16" t="s">
        <v>1924</v>
      </c>
      <c r="Z2499" s="110">
        <v>1.1000000000000001</v>
      </c>
      <c r="AA2499" s="20" t="s">
        <v>1326</v>
      </c>
      <c r="AB2499" s="112">
        <f>Z2499</f>
        <v>1.1000000000000001</v>
      </c>
      <c r="AC2499" s="109"/>
      <c r="AD2499" s="109"/>
      <c r="AE2499" s="109"/>
      <c r="AF2499" s="109"/>
      <c r="AG2499" s="109"/>
      <c r="AH2499" s="109"/>
      <c r="AI2499" s="109"/>
      <c r="AJ2499" s="109"/>
      <c r="AK2499" s="109"/>
      <c r="AL2499" s="109"/>
      <c r="AM2499" s="109"/>
      <c r="AN2499" s="109"/>
      <c r="AO2499" s="109"/>
      <c r="AP2499" s="109"/>
      <c r="AQ2499" s="109"/>
      <c r="AR2499" s="109"/>
      <c r="AS2499" s="109"/>
    </row>
    <row r="2500" spans="1:45" ht="12.6" customHeight="1" x14ac:dyDescent="0.3">
      <c r="A2500" s="78"/>
      <c r="B2500" s="78"/>
      <c r="C2500" s="78"/>
      <c r="D2500" s="78"/>
      <c r="E2500" s="78"/>
      <c r="F2500" s="78"/>
      <c r="G2500" s="16" t="s">
        <v>1317</v>
      </c>
      <c r="Z2500" s="109"/>
      <c r="AA2500" s="109"/>
      <c r="AB2500" s="109"/>
      <c r="AC2500" s="109"/>
      <c r="AD2500" s="109"/>
      <c r="AE2500" s="109"/>
      <c r="AF2500" s="109"/>
      <c r="AG2500" s="109"/>
      <c r="AH2500" s="109"/>
      <c r="AI2500" s="109"/>
      <c r="AJ2500" s="109"/>
      <c r="AK2500" s="109"/>
      <c r="AL2500" s="109"/>
      <c r="AM2500" s="109"/>
      <c r="AN2500" s="109"/>
      <c r="AO2500" s="109"/>
      <c r="AP2500" s="109"/>
      <c r="AQ2500" s="109"/>
      <c r="AR2500" s="109"/>
      <c r="AS2500" s="109"/>
    </row>
    <row r="2501" spans="1:45" ht="12.6" customHeight="1" x14ac:dyDescent="0.3">
      <c r="A2501" s="68"/>
      <c r="B2501" s="97" t="str">
        <f>" t4 (적재작업이 시작될 때까지의 시간) = "&amp;Z2501&amp;""</f>
        <v xml:space="preserve"> t4 (적재작업이 시작될 때까지의 시간) = 0.7</v>
      </c>
      <c r="C2501" s="78"/>
      <c r="D2501" s="78"/>
      <c r="E2501" s="78"/>
      <c r="F2501" s="78"/>
      <c r="G2501" s="16" t="s">
        <v>1925</v>
      </c>
      <c r="Z2501" s="110">
        <v>0.7</v>
      </c>
      <c r="AA2501" s="20" t="s">
        <v>1326</v>
      </c>
      <c r="AB2501" s="112">
        <f>Z2501</f>
        <v>0.7</v>
      </c>
      <c r="AC2501" s="109"/>
      <c r="AD2501" s="109"/>
      <c r="AE2501" s="109"/>
      <c r="AF2501" s="109"/>
      <c r="AG2501" s="109"/>
      <c r="AH2501" s="109"/>
      <c r="AI2501" s="109"/>
      <c r="AJ2501" s="109"/>
      <c r="AK2501" s="109"/>
      <c r="AL2501" s="109"/>
      <c r="AM2501" s="109"/>
      <c r="AN2501" s="109"/>
      <c r="AO2501" s="109"/>
      <c r="AP2501" s="109"/>
      <c r="AQ2501" s="109"/>
      <c r="AR2501" s="109"/>
      <c r="AS2501" s="109"/>
    </row>
    <row r="2502" spans="1:45" ht="12.6" customHeight="1" x14ac:dyDescent="0.3">
      <c r="A2502" s="78"/>
      <c r="B2502" s="78"/>
      <c r="C2502" s="78"/>
      <c r="D2502" s="78"/>
      <c r="E2502" s="78"/>
      <c r="F2502" s="78"/>
      <c r="G2502" s="16" t="s">
        <v>1317</v>
      </c>
      <c r="Z2502" s="109"/>
      <c r="AA2502" s="109"/>
      <c r="AB2502" s="109"/>
      <c r="AC2502" s="109"/>
      <c r="AD2502" s="109"/>
      <c r="AE2502" s="109"/>
      <c r="AF2502" s="109"/>
      <c r="AG2502" s="109"/>
      <c r="AH2502" s="109"/>
      <c r="AI2502" s="109"/>
      <c r="AJ2502" s="109"/>
      <c r="AK2502" s="109"/>
      <c r="AL2502" s="109"/>
      <c r="AM2502" s="109"/>
      <c r="AN2502" s="109"/>
      <c r="AO2502" s="109"/>
      <c r="AP2502" s="109"/>
      <c r="AQ2502" s="109"/>
      <c r="AR2502" s="109"/>
      <c r="AS2502" s="109"/>
    </row>
    <row r="2503" spans="1:45" ht="12.6" customHeight="1" x14ac:dyDescent="0.3">
      <c r="A2503" s="68"/>
      <c r="B2503" s="97" t="str">
        <f>" Cm (1회 사이클 시간(분)) = t1 + t2 + t3 + t4  = "&amp;AH2503&amp;""</f>
        <v xml:space="preserve"> Cm (1회 사이클 시간(분)) = t1 + t2 + t3 + t4  = 23.61</v>
      </c>
      <c r="C2503" s="78"/>
      <c r="D2503" s="78"/>
      <c r="E2503" s="78"/>
      <c r="F2503" s="78"/>
      <c r="G2503" s="16" t="s">
        <v>1926</v>
      </c>
      <c r="Z2503" s="112" t="str">
        <f>AI2495</f>
        <v>17.10</v>
      </c>
      <c r="AA2503" s="20" t="s">
        <v>1535</v>
      </c>
      <c r="AB2503" s="112" t="str">
        <f>AK2497</f>
        <v>4.71</v>
      </c>
      <c r="AC2503" s="20" t="s">
        <v>1535</v>
      </c>
      <c r="AD2503" s="112">
        <f>AB2499</f>
        <v>1.1000000000000001</v>
      </c>
      <c r="AE2503" s="20" t="s">
        <v>1535</v>
      </c>
      <c r="AF2503" s="112">
        <f>AB2501</f>
        <v>0.7</v>
      </c>
      <c r="AG2503" s="20" t="s">
        <v>1326</v>
      </c>
      <c r="AH2503" s="112" t="str">
        <f>TEXT(ROUND(AI2495+AK2497+AB2499+AB2501,2),"0.00")</f>
        <v>23.61</v>
      </c>
      <c r="AI2503" s="109"/>
      <c r="AJ2503" s="109"/>
      <c r="AK2503" s="109"/>
      <c r="AL2503" s="109"/>
      <c r="AM2503" s="109"/>
      <c r="AN2503" s="109"/>
      <c r="AO2503" s="109"/>
      <c r="AP2503" s="109"/>
      <c r="AQ2503" s="109"/>
      <c r="AR2503" s="109"/>
      <c r="AS2503" s="109"/>
    </row>
    <row r="2504" spans="1:45" ht="12.6" customHeight="1" x14ac:dyDescent="0.3">
      <c r="A2504" s="78"/>
      <c r="B2504" s="78"/>
      <c r="C2504" s="78"/>
      <c r="D2504" s="78"/>
      <c r="E2504" s="78"/>
      <c r="F2504" s="78"/>
      <c r="G2504" s="16" t="s">
        <v>1317</v>
      </c>
      <c r="Z2504" s="109"/>
      <c r="AA2504" s="109"/>
      <c r="AB2504" s="109"/>
      <c r="AC2504" s="109"/>
      <c r="AD2504" s="109"/>
      <c r="AE2504" s="109"/>
      <c r="AF2504" s="109"/>
      <c r="AG2504" s="109"/>
      <c r="AH2504" s="109"/>
      <c r="AI2504" s="109"/>
      <c r="AJ2504" s="109"/>
      <c r="AK2504" s="109"/>
      <c r="AL2504" s="109"/>
      <c r="AM2504" s="109"/>
      <c r="AN2504" s="109"/>
      <c r="AO2504" s="109"/>
      <c r="AP2504" s="109"/>
      <c r="AQ2504" s="109"/>
      <c r="AR2504" s="109"/>
      <c r="AS2504" s="109"/>
    </row>
    <row r="2505" spans="1:45" ht="12.6" customHeight="1" x14ac:dyDescent="0.3">
      <c r="A2505" s="68"/>
      <c r="B2505" s="97" t="str">
        <f>" OH (상차 10분 초과 시 운반기계의 유류보정) = (cm-t1)/Cm = "&amp;AG2505&amp;""</f>
        <v xml:space="preserve"> OH (상차 10분 초과 시 운반기계의 유류보정) = (cm-t1)/Cm = 0.28</v>
      </c>
      <c r="C2505" s="78"/>
      <c r="D2505" s="78"/>
      <c r="E2505" s="78"/>
      <c r="F2505" s="78"/>
      <c r="G2505" s="16" t="s">
        <v>1927</v>
      </c>
      <c r="Z2505" s="20" t="s">
        <v>1526</v>
      </c>
      <c r="AA2505" s="112" t="str">
        <f>AH2503</f>
        <v>23.61</v>
      </c>
      <c r="AB2505" s="20" t="s">
        <v>1407</v>
      </c>
      <c r="AC2505" s="112" t="str">
        <f>AI2495</f>
        <v>17.10</v>
      </c>
      <c r="AD2505" s="20" t="s">
        <v>1727</v>
      </c>
      <c r="AE2505" s="112" t="str">
        <f>AH2503</f>
        <v>23.61</v>
      </c>
      <c r="AF2505" s="20" t="s">
        <v>1326</v>
      </c>
      <c r="AG2505" s="112" t="str">
        <f>TEXT(ROUND((AH2503-AI2495)/AH2503,2),"0.00")</f>
        <v>0.28</v>
      </c>
      <c r="AH2505" s="109"/>
      <c r="AI2505" s="109"/>
      <c r="AJ2505" s="109"/>
      <c r="AK2505" s="109"/>
      <c r="AL2505" s="109"/>
      <c r="AM2505" s="109"/>
      <c r="AN2505" s="109"/>
      <c r="AO2505" s="109"/>
      <c r="AP2505" s="109"/>
      <c r="AQ2505" s="109"/>
      <c r="AR2505" s="109"/>
      <c r="AS2505" s="109"/>
    </row>
    <row r="2506" spans="1:45" ht="12.6" customHeight="1" x14ac:dyDescent="0.3">
      <c r="A2506" s="78"/>
      <c r="B2506" s="78"/>
      <c r="C2506" s="78"/>
      <c r="D2506" s="78"/>
      <c r="E2506" s="78"/>
      <c r="F2506" s="78"/>
      <c r="G2506" s="16" t="s">
        <v>1317</v>
      </c>
      <c r="Z2506" s="109"/>
      <c r="AA2506" s="109"/>
      <c r="AB2506" s="109"/>
      <c r="AC2506" s="109"/>
      <c r="AD2506" s="109"/>
      <c r="AE2506" s="109"/>
      <c r="AF2506" s="109"/>
      <c r="AG2506" s="109"/>
      <c r="AH2506" s="109"/>
      <c r="AI2506" s="109"/>
      <c r="AJ2506" s="109"/>
      <c r="AK2506" s="109"/>
      <c r="AL2506" s="109"/>
      <c r="AM2506" s="109"/>
      <c r="AN2506" s="109"/>
      <c r="AO2506" s="109"/>
      <c r="AP2506" s="109"/>
      <c r="AQ2506" s="109"/>
      <c r="AR2506" s="109"/>
      <c r="AS2506" s="109"/>
    </row>
    <row r="2507" spans="1:45" ht="12.6" customHeight="1" x14ac:dyDescent="0.3">
      <c r="A2507" s="68"/>
      <c r="B2507" s="97" t="str">
        <f>" Q1 (시간당 작업량) = "&amp;Z2507&amp;" * q1 * F * E / Cm = "&amp;AJ2507&amp;" m3/hr "</f>
        <v xml:space="preserve"> Q1 (시간당 작업량) = 60 * q1 * F * E / Cm = 19.84 m3/hr </v>
      </c>
      <c r="C2507" s="78"/>
      <c r="D2507" s="78"/>
      <c r="E2507" s="78"/>
      <c r="F2507" s="78"/>
      <c r="G2507" s="16" t="s">
        <v>1928</v>
      </c>
      <c r="Z2507" s="111">
        <v>60</v>
      </c>
      <c r="AA2507" s="20" t="s">
        <v>1390</v>
      </c>
      <c r="AB2507" s="112" t="str">
        <f>AG2489</f>
        <v>12.57</v>
      </c>
      <c r="AC2507" s="20" t="s">
        <v>1390</v>
      </c>
      <c r="AD2507" s="112" t="str">
        <f>AD2487</f>
        <v>0.69</v>
      </c>
      <c r="AE2507" s="20" t="s">
        <v>1390</v>
      </c>
      <c r="AF2507" s="112">
        <f>AF2485</f>
        <v>0.9</v>
      </c>
      <c r="AG2507" s="20" t="s">
        <v>1387</v>
      </c>
      <c r="AH2507" s="112" t="str">
        <f>AH2503</f>
        <v>23.61</v>
      </c>
      <c r="AI2507" s="20" t="s">
        <v>1326</v>
      </c>
      <c r="AJ2507" s="112" t="str">
        <f>TEXT(ROUND(Z2507*AG2489*AD2487*AF2485/AH2503,2),"0.00")</f>
        <v>19.84</v>
      </c>
      <c r="AK2507" s="109"/>
      <c r="AL2507" s="109"/>
      <c r="AM2507" s="109"/>
      <c r="AN2507" s="109"/>
      <c r="AO2507" s="109"/>
      <c r="AP2507" s="109"/>
      <c r="AQ2507" s="109"/>
      <c r="AR2507" s="109"/>
      <c r="AS2507" s="109"/>
    </row>
    <row r="2508" spans="1:45" ht="12.6" customHeight="1" x14ac:dyDescent="0.3">
      <c r="A2508" s="78"/>
      <c r="B2508" s="78"/>
      <c r="C2508" s="78"/>
      <c r="D2508" s="78"/>
      <c r="E2508" s="78"/>
      <c r="F2508" s="78"/>
      <c r="G2508" s="16" t="s">
        <v>1317</v>
      </c>
      <c r="Z2508" s="109"/>
      <c r="AA2508" s="109"/>
      <c r="AB2508" s="109"/>
      <c r="AC2508" s="109"/>
      <c r="AD2508" s="109"/>
      <c r="AE2508" s="109"/>
      <c r="AF2508" s="109"/>
      <c r="AG2508" s="109"/>
      <c r="AH2508" s="109"/>
      <c r="AI2508" s="109"/>
      <c r="AJ2508" s="109"/>
      <c r="AK2508" s="109"/>
      <c r="AL2508" s="109"/>
      <c r="AM2508" s="109"/>
      <c r="AN2508" s="109"/>
      <c r="AO2508" s="109"/>
      <c r="AP2508" s="109"/>
      <c r="AQ2508" s="109"/>
      <c r="AR2508" s="109"/>
      <c r="AS2508" s="109"/>
    </row>
    <row r="2509" spans="1:45" ht="12.6" customHeight="1" x14ac:dyDescent="0.3">
      <c r="A2509" s="68" t="s">
        <v>1812</v>
      </c>
      <c r="B2509" s="97" t="str">
        <f>" 노 무 비  :   "&amp;TEXT(I2509,"#,##0"&amp;IF(I2509&lt;&gt;INT(I2509),".###",""))&amp;" / Q1  = "&amp;TEXT(C2509,"#,##0.0")&amp;""</f>
        <v xml:space="preserve"> 노 무 비  :   55,700 / Q1  = 2,807.4</v>
      </c>
      <c r="C2509" s="99">
        <f>E2509+D2509+F2509</f>
        <v>2807.4</v>
      </c>
      <c r="D2509" s="99">
        <f>IF(H2509=0,0,ROUNDDOWN(J2509*H2509,1))</f>
        <v>2807.4</v>
      </c>
      <c r="E2509" s="99">
        <f>IF(H2509=0,0,ROUNDDOWN(K2509*H2509,1))</f>
        <v>0</v>
      </c>
      <c r="F2509" s="99">
        <f>IF(H2509=0,0,ROUNDDOWN(L2509*H2509,1))</f>
        <v>0</v>
      </c>
      <c r="G2509" s="16" t="s">
        <v>1929</v>
      </c>
      <c r="H2509" s="105">
        <f>AC2509</f>
        <v>5.0403225806451617E-2</v>
      </c>
      <c r="I2509" s="106">
        <f>K2509+J2509+L2509</f>
        <v>55700</v>
      </c>
      <c r="J2509" s="39">
        <f>중기목록표!F11</f>
        <v>55700</v>
      </c>
      <c r="M2509" s="20" t="s">
        <v>1813</v>
      </c>
      <c r="N2509" s="20" t="s">
        <v>1332</v>
      </c>
      <c r="X2509" s="108" t="str">
        <f>중기목록표!B11&amp;" / "&amp;중기목록표!C11</f>
        <v xml:space="preserve">덤프트럭15ton(토사) / </v>
      </c>
      <c r="Y2509" s="19" t="str">
        <f ca="1">HYPERLINK("#"&amp;중기목록표!J2&amp;"!A"&amp;ROW(중기목록표!A11),"중기    8 →")</f>
        <v>중기    8 →</v>
      </c>
      <c r="Z2509" s="20" t="s">
        <v>1393</v>
      </c>
      <c r="AA2509" s="112" t="str">
        <f>AJ2507</f>
        <v>19.84</v>
      </c>
      <c r="AB2509" s="20" t="s">
        <v>1326</v>
      </c>
      <c r="AC2509" s="113">
        <f>1/AJ2507</f>
        <v>5.0403225806451617E-2</v>
      </c>
      <c r="AD2509" s="109"/>
      <c r="AE2509" s="109"/>
      <c r="AF2509" s="109"/>
      <c r="AG2509" s="109"/>
      <c r="AH2509" s="109"/>
      <c r="AI2509" s="109"/>
      <c r="AJ2509" s="109"/>
      <c r="AK2509" s="109"/>
      <c r="AL2509" s="109"/>
      <c r="AM2509" s="109"/>
      <c r="AN2509" s="109"/>
      <c r="AO2509" s="109"/>
      <c r="AP2509" s="109"/>
      <c r="AQ2509" s="109"/>
      <c r="AR2509" s="109"/>
      <c r="AS2509" s="109"/>
    </row>
    <row r="2510" spans="1:45" ht="12.6" customHeight="1" x14ac:dyDescent="0.3">
      <c r="A2510" s="78"/>
      <c r="B2510" s="78"/>
      <c r="C2510" s="78"/>
      <c r="D2510" s="78"/>
      <c r="E2510" s="78"/>
      <c r="F2510" s="78"/>
      <c r="G2510" s="16" t="s">
        <v>1317</v>
      </c>
      <c r="Z2510" s="109"/>
      <c r="AA2510" s="109"/>
      <c r="AB2510" s="109"/>
      <c r="AC2510" s="109"/>
      <c r="AD2510" s="109"/>
      <c r="AE2510" s="109"/>
      <c r="AF2510" s="109"/>
      <c r="AG2510" s="109"/>
      <c r="AH2510" s="109"/>
      <c r="AI2510" s="109"/>
      <c r="AJ2510" s="109"/>
      <c r="AK2510" s="109"/>
      <c r="AL2510" s="109"/>
      <c r="AM2510" s="109"/>
      <c r="AN2510" s="109"/>
      <c r="AO2510" s="109"/>
      <c r="AP2510" s="109"/>
      <c r="AQ2510" s="109"/>
      <c r="AR2510" s="109"/>
      <c r="AS2510" s="109"/>
    </row>
    <row r="2511" spans="1:45" ht="12.6" customHeight="1" x14ac:dyDescent="0.3">
      <c r="A2511" s="68" t="s">
        <v>1815</v>
      </c>
      <c r="B2511" s="97" t="str">
        <f>" 재 료 비  :   "&amp;TEXT(I2511,"#,##0"&amp;IF(I2511&lt;&gt;INT(I2511),".###",""))&amp;" / Q1 * OH = "&amp;TEXT(C2511,"#,##0.0")&amp;""</f>
        <v xml:space="preserve"> 재 료 비  :   27,910 / Q1 * OH = 393.8</v>
      </c>
      <c r="C2511" s="99">
        <f>E2511+D2511+F2511</f>
        <v>393.8</v>
      </c>
      <c r="D2511" s="99">
        <f>IF(H2511=0,0,ROUNDDOWN(J2511*H2511,1))</f>
        <v>0</v>
      </c>
      <c r="E2511" s="99">
        <f>IF(H2511=0,0,ROUNDDOWN(K2511*H2511,1))</f>
        <v>393.8</v>
      </c>
      <c r="F2511" s="99">
        <f>IF(H2511=0,0,ROUNDDOWN(L2511*H2511,1))</f>
        <v>0</v>
      </c>
      <c r="G2511" s="16" t="s">
        <v>1930</v>
      </c>
      <c r="H2511" s="105">
        <f>AE2511</f>
        <v>1.4112903225806455E-2</v>
      </c>
      <c r="I2511" s="106">
        <f>K2511+J2511+L2511</f>
        <v>27910</v>
      </c>
      <c r="K2511" s="39">
        <f>중기목록표!G11</f>
        <v>27910</v>
      </c>
      <c r="M2511" s="20" t="s">
        <v>1813</v>
      </c>
      <c r="N2511" s="20" t="s">
        <v>1332</v>
      </c>
      <c r="X2511" s="108" t="str">
        <f>중기목록표!B11&amp;" / "&amp;중기목록표!C11</f>
        <v xml:space="preserve">덤프트럭15ton(토사) / </v>
      </c>
      <c r="Y2511" s="19" t="str">
        <f ca="1">HYPERLINK("#"&amp;중기목록표!J2&amp;"!A"&amp;ROW(중기목록표!A11),"중기    8 →")</f>
        <v>중기    8 →</v>
      </c>
      <c r="Z2511" s="20" t="s">
        <v>1393</v>
      </c>
      <c r="AA2511" s="112" t="str">
        <f>AJ2507</f>
        <v>19.84</v>
      </c>
      <c r="AB2511" s="20" t="s">
        <v>1390</v>
      </c>
      <c r="AC2511" s="112" t="str">
        <f>AG2505</f>
        <v>0.28</v>
      </c>
      <c r="AD2511" s="20" t="s">
        <v>1326</v>
      </c>
      <c r="AE2511" s="113">
        <f>1/AJ2507*AG2505</f>
        <v>1.4112903225806455E-2</v>
      </c>
      <c r="AF2511" s="109"/>
      <c r="AG2511" s="109"/>
      <c r="AH2511" s="109"/>
      <c r="AI2511" s="109"/>
      <c r="AJ2511" s="109"/>
      <c r="AK2511" s="109"/>
      <c r="AL2511" s="109"/>
      <c r="AM2511" s="109"/>
      <c r="AN2511" s="109"/>
      <c r="AO2511" s="109"/>
      <c r="AP2511" s="109"/>
      <c r="AQ2511" s="109"/>
      <c r="AR2511" s="109"/>
      <c r="AS2511" s="109"/>
    </row>
    <row r="2512" spans="1:45" ht="12.6" customHeight="1" x14ac:dyDescent="0.3">
      <c r="A2512" s="78"/>
      <c r="B2512" s="78"/>
      <c r="C2512" s="78"/>
      <c r="D2512" s="78"/>
      <c r="E2512" s="78"/>
      <c r="F2512" s="78"/>
      <c r="G2512" s="16" t="s">
        <v>1317</v>
      </c>
      <c r="Z2512" s="109"/>
      <c r="AA2512" s="109"/>
      <c r="AB2512" s="109"/>
      <c r="AC2512" s="109"/>
      <c r="AD2512" s="109"/>
      <c r="AE2512" s="109"/>
      <c r="AF2512" s="109"/>
      <c r="AG2512" s="109"/>
      <c r="AH2512" s="109"/>
      <c r="AI2512" s="109"/>
      <c r="AJ2512" s="109"/>
      <c r="AK2512" s="109"/>
      <c r="AL2512" s="109"/>
      <c r="AM2512" s="109"/>
      <c r="AN2512" s="109"/>
      <c r="AO2512" s="109"/>
      <c r="AP2512" s="109"/>
      <c r="AQ2512" s="109"/>
      <c r="AR2512" s="109"/>
      <c r="AS2512" s="109"/>
    </row>
    <row r="2513" spans="1:45" ht="12.6" customHeight="1" x14ac:dyDescent="0.3">
      <c r="A2513" s="68" t="s">
        <v>1817</v>
      </c>
      <c r="B2513" s="97" t="str">
        <f>" 경    비  :   "&amp;TEXT(I2513,"#,##0"&amp;IF(I2513&lt;&gt;INT(I2513),".###",""))&amp;" / Q1  = "&amp;TEXT(C2513,"#,##0.0")&amp;""</f>
        <v xml:space="preserve"> 경    비  :   19,631 / Q1  = 989.4</v>
      </c>
      <c r="C2513" s="99">
        <f>E2513+D2513+F2513</f>
        <v>989.4</v>
      </c>
      <c r="D2513" s="99">
        <f>IF(H2513=0,0,ROUNDDOWN(J2513*H2513,1))</f>
        <v>0</v>
      </c>
      <c r="E2513" s="99">
        <f>IF(H2513=0,0,ROUNDDOWN(K2513*H2513,1))</f>
        <v>0</v>
      </c>
      <c r="F2513" s="99">
        <f>IF(H2513=0,0,ROUNDDOWN(L2513*H2513,1))</f>
        <v>989.4</v>
      </c>
      <c r="G2513" s="16" t="s">
        <v>1931</v>
      </c>
      <c r="H2513" s="105">
        <f>AC2513</f>
        <v>5.0403225806451617E-2</v>
      </c>
      <c r="I2513" s="106">
        <f>K2513+J2513+L2513</f>
        <v>19631</v>
      </c>
      <c r="L2513" s="39">
        <f>중기목록표!H11</f>
        <v>19631</v>
      </c>
      <c r="M2513" s="20" t="s">
        <v>1813</v>
      </c>
      <c r="N2513" s="20" t="s">
        <v>1332</v>
      </c>
      <c r="X2513" s="108" t="str">
        <f>중기목록표!B11&amp;" / "&amp;중기목록표!C11</f>
        <v xml:space="preserve">덤프트럭15ton(토사) / </v>
      </c>
      <c r="Y2513" s="19" t="str">
        <f ca="1">HYPERLINK("#"&amp;중기목록표!J2&amp;"!A"&amp;ROW(중기목록표!A11),"중기    8 →")</f>
        <v>중기    8 →</v>
      </c>
      <c r="Z2513" s="20" t="s">
        <v>1393</v>
      </c>
      <c r="AA2513" s="112" t="str">
        <f>AJ2507</f>
        <v>19.84</v>
      </c>
      <c r="AB2513" s="20" t="s">
        <v>1326</v>
      </c>
      <c r="AC2513" s="113">
        <f>1/AJ2507</f>
        <v>5.0403225806451617E-2</v>
      </c>
      <c r="AD2513" s="109"/>
      <c r="AE2513" s="109"/>
      <c r="AF2513" s="109"/>
      <c r="AG2513" s="109"/>
      <c r="AH2513" s="109"/>
      <c r="AI2513" s="109"/>
      <c r="AJ2513" s="109"/>
      <c r="AK2513" s="109"/>
      <c r="AL2513" s="109"/>
      <c r="AM2513" s="109"/>
      <c r="AN2513" s="109"/>
      <c r="AO2513" s="109"/>
      <c r="AP2513" s="109"/>
      <c r="AQ2513" s="109"/>
      <c r="AR2513" s="109"/>
      <c r="AS2513" s="109"/>
    </row>
    <row r="2514" spans="1:45" ht="12.6" customHeight="1" x14ac:dyDescent="0.3">
      <c r="A2514" s="78"/>
      <c r="B2514" s="78"/>
      <c r="C2514" s="78"/>
      <c r="D2514" s="78"/>
      <c r="E2514" s="78"/>
      <c r="F2514" s="78"/>
      <c r="G2514" s="16" t="s">
        <v>1317</v>
      </c>
      <c r="Z2514" s="109"/>
      <c r="AA2514" s="109"/>
      <c r="AB2514" s="109"/>
      <c r="AC2514" s="109"/>
      <c r="AD2514" s="109"/>
      <c r="AE2514" s="109"/>
      <c r="AF2514" s="109"/>
      <c r="AG2514" s="109"/>
      <c r="AH2514" s="109"/>
      <c r="AI2514" s="109"/>
      <c r="AJ2514" s="109"/>
      <c r="AK2514" s="109"/>
      <c r="AL2514" s="109"/>
      <c r="AM2514" s="109"/>
      <c r="AN2514" s="109"/>
      <c r="AO2514" s="109"/>
      <c r="AP2514" s="109"/>
      <c r="AQ2514" s="109"/>
      <c r="AR2514" s="109"/>
      <c r="AS2514" s="109"/>
    </row>
    <row r="2515" spans="1:45" ht="12.6" customHeight="1" x14ac:dyDescent="0.3">
      <c r="A2515" s="68"/>
      <c r="B2515" s="77" t="s">
        <v>1331</v>
      </c>
      <c r="C2515" s="100">
        <f>E2515+D2515+F2515</f>
        <v>4190.6000000000004</v>
      </c>
      <c r="D2515" s="100">
        <f>SUMIF(N2480:N2514,M2515,D2480:D2514)</f>
        <v>2807.4</v>
      </c>
      <c r="E2515" s="100">
        <f>SUMIF(N2480:N2514,M2515,E2480:E2514)</f>
        <v>393.8</v>
      </c>
      <c r="F2515" s="100">
        <f>SUMIF(N2480:N2514,M2515,F2480:F2514)</f>
        <v>989.4</v>
      </c>
      <c r="G2515" s="16" t="s">
        <v>1363</v>
      </c>
      <c r="M2515" s="20" t="s">
        <v>1332</v>
      </c>
      <c r="N2515" s="20" t="s">
        <v>1341</v>
      </c>
      <c r="Z2515" s="109"/>
      <c r="AA2515" s="109"/>
      <c r="AB2515" s="109"/>
      <c r="AC2515" s="109"/>
      <c r="AD2515" s="109"/>
      <c r="AE2515" s="109"/>
      <c r="AF2515" s="109"/>
      <c r="AG2515" s="109"/>
      <c r="AH2515" s="109"/>
      <c r="AI2515" s="109"/>
      <c r="AJ2515" s="109"/>
      <c r="AK2515" s="109"/>
      <c r="AL2515" s="109"/>
      <c r="AM2515" s="109"/>
      <c r="AN2515" s="109"/>
      <c r="AO2515" s="109"/>
      <c r="AP2515" s="109"/>
      <c r="AQ2515" s="109"/>
      <c r="AR2515" s="109"/>
      <c r="AS2515" s="109"/>
    </row>
    <row r="2516" spans="1:45" ht="12.6" customHeight="1" x14ac:dyDescent="0.3">
      <c r="A2516" s="78"/>
      <c r="B2516" s="78"/>
      <c r="C2516" s="98"/>
      <c r="D2516" s="98"/>
      <c r="E2516" s="98"/>
      <c r="F2516" s="98"/>
      <c r="G2516" s="16" t="s">
        <v>1317</v>
      </c>
      <c r="Z2516" s="109"/>
      <c r="AA2516" s="109"/>
      <c r="AB2516" s="109"/>
      <c r="AC2516" s="109"/>
      <c r="AD2516" s="109"/>
      <c r="AE2516" s="109"/>
      <c r="AF2516" s="109"/>
      <c r="AG2516" s="109"/>
      <c r="AH2516" s="109"/>
      <c r="AI2516" s="109"/>
      <c r="AJ2516" s="109"/>
      <c r="AK2516" s="109"/>
      <c r="AL2516" s="109"/>
      <c r="AM2516" s="109"/>
      <c r="AN2516" s="109"/>
      <c r="AO2516" s="109"/>
      <c r="AP2516" s="109"/>
      <c r="AQ2516" s="109"/>
      <c r="AR2516" s="109"/>
      <c r="AS2516" s="109"/>
    </row>
    <row r="2517" spans="1:45" ht="12.6" customHeight="1" x14ac:dyDescent="0.3">
      <c r="A2517" s="78"/>
      <c r="B2517" s="78"/>
      <c r="C2517" s="78"/>
      <c r="D2517" s="78"/>
      <c r="E2517" s="78"/>
      <c r="F2517" s="78"/>
      <c r="G2517" s="16" t="s">
        <v>1317</v>
      </c>
      <c r="Z2517" s="109"/>
      <c r="AA2517" s="109"/>
      <c r="AB2517" s="109"/>
      <c r="AC2517" s="109"/>
      <c r="AD2517" s="109"/>
      <c r="AE2517" s="109"/>
      <c r="AF2517" s="109"/>
      <c r="AG2517" s="109"/>
      <c r="AH2517" s="109"/>
      <c r="AI2517" s="109"/>
      <c r="AJ2517" s="109"/>
      <c r="AK2517" s="109"/>
      <c r="AL2517" s="109"/>
      <c r="AM2517" s="109"/>
      <c r="AN2517" s="109"/>
      <c r="AO2517" s="109"/>
      <c r="AP2517" s="109"/>
      <c r="AQ2517" s="109"/>
      <c r="AR2517" s="109"/>
      <c r="AS2517" s="109"/>
    </row>
    <row r="2518" spans="1:45" ht="12.6" customHeight="1" x14ac:dyDescent="0.3">
      <c r="A2518" s="68"/>
      <c r="B2518" s="77" t="s">
        <v>1933</v>
      </c>
      <c r="C2518" s="78"/>
      <c r="D2518" s="78"/>
      <c r="E2518" s="78"/>
      <c r="F2518" s="78"/>
      <c r="G2518" s="16" t="s">
        <v>1932</v>
      </c>
      <c r="Z2518" s="109"/>
      <c r="AA2518" s="109"/>
      <c r="AB2518" s="109"/>
      <c r="AC2518" s="109"/>
      <c r="AD2518" s="109"/>
      <c r="AE2518" s="109"/>
      <c r="AF2518" s="109"/>
      <c r="AG2518" s="109"/>
      <c r="AH2518" s="109"/>
      <c r="AI2518" s="109"/>
      <c r="AJ2518" s="109"/>
      <c r="AK2518" s="109"/>
      <c r="AL2518" s="109"/>
      <c r="AM2518" s="109"/>
      <c r="AN2518" s="109"/>
      <c r="AO2518" s="109"/>
      <c r="AP2518" s="109"/>
      <c r="AQ2518" s="109"/>
      <c r="AR2518" s="109"/>
      <c r="AS2518" s="109"/>
    </row>
    <row r="2519" spans="1:45" ht="12.6" customHeight="1" x14ac:dyDescent="0.3">
      <c r="A2519" s="78"/>
      <c r="B2519" s="78"/>
      <c r="C2519" s="78"/>
      <c r="D2519" s="78"/>
      <c r="E2519" s="78"/>
      <c r="F2519" s="78"/>
      <c r="G2519" s="16" t="s">
        <v>1317</v>
      </c>
      <c r="Z2519" s="109"/>
      <c r="AA2519" s="109"/>
      <c r="AB2519" s="109"/>
      <c r="AC2519" s="109"/>
      <c r="AD2519" s="109"/>
      <c r="AE2519" s="109"/>
      <c r="AF2519" s="109"/>
      <c r="AG2519" s="109"/>
      <c r="AH2519" s="109"/>
      <c r="AI2519" s="109"/>
      <c r="AJ2519" s="109"/>
      <c r="AK2519" s="109"/>
      <c r="AL2519" s="109"/>
      <c r="AM2519" s="109"/>
      <c r="AN2519" s="109"/>
      <c r="AO2519" s="109"/>
      <c r="AP2519" s="109"/>
      <c r="AQ2519" s="109"/>
      <c r="AR2519" s="109"/>
      <c r="AS2519" s="109"/>
    </row>
    <row r="2520" spans="1:45" ht="12.6" customHeight="1" x14ac:dyDescent="0.3">
      <c r="A2520" s="68"/>
      <c r="B2520" s="97" t="str">
        <f>"q (버킷용량) = "&amp;Z2520&amp;" , k (버킷계수) = "&amp;AD2520&amp;" , f (체적환산계수) = "&amp;AH2520&amp;""</f>
        <v>q (버킷용량) = 0.7 , k (버킷계수) = 0.7 , f (체적환산계수) = 1</v>
      </c>
      <c r="C2520" s="78"/>
      <c r="D2520" s="78"/>
      <c r="E2520" s="78"/>
      <c r="F2520" s="78"/>
      <c r="G2520" s="16" t="s">
        <v>1934</v>
      </c>
      <c r="Z2520" s="110">
        <v>0.7</v>
      </c>
      <c r="AA2520" s="20" t="s">
        <v>1326</v>
      </c>
      <c r="AB2520" s="112">
        <f>Z2520</f>
        <v>0.7</v>
      </c>
      <c r="AC2520" s="20" t="s">
        <v>1385</v>
      </c>
      <c r="AD2520" s="110">
        <v>0.7</v>
      </c>
      <c r="AE2520" s="20" t="s">
        <v>1326</v>
      </c>
      <c r="AF2520" s="112">
        <f>AD2520</f>
        <v>0.7</v>
      </c>
      <c r="AG2520" s="20" t="s">
        <v>1385</v>
      </c>
      <c r="AH2520" s="111">
        <v>1</v>
      </c>
      <c r="AI2520" s="20" t="s">
        <v>1326</v>
      </c>
      <c r="AJ2520" s="112">
        <f>AH2520</f>
        <v>1</v>
      </c>
      <c r="AK2520" s="20" t="s">
        <v>1385</v>
      </c>
      <c r="AL2520" s="109"/>
      <c r="AM2520" s="109"/>
      <c r="AN2520" s="109"/>
      <c r="AO2520" s="109"/>
      <c r="AP2520" s="109"/>
      <c r="AQ2520" s="109"/>
      <c r="AR2520" s="109"/>
      <c r="AS2520" s="109"/>
    </row>
    <row r="2521" spans="1:45" ht="12.6" customHeight="1" x14ac:dyDescent="0.3">
      <c r="A2521" s="78"/>
      <c r="B2521" s="78"/>
      <c r="C2521" s="78"/>
      <c r="D2521" s="78"/>
      <c r="E2521" s="78"/>
      <c r="F2521" s="78"/>
      <c r="G2521" s="16" t="s">
        <v>1317</v>
      </c>
      <c r="Z2521" s="109"/>
      <c r="AA2521" s="109"/>
      <c r="AB2521" s="109"/>
      <c r="AC2521" s="109"/>
      <c r="AD2521" s="109"/>
      <c r="AE2521" s="109"/>
      <c r="AF2521" s="109"/>
      <c r="AG2521" s="109"/>
      <c r="AH2521" s="109"/>
      <c r="AI2521" s="109"/>
      <c r="AJ2521" s="109"/>
      <c r="AK2521" s="109"/>
      <c r="AL2521" s="109"/>
      <c r="AM2521" s="109"/>
      <c r="AN2521" s="109"/>
      <c r="AO2521" s="109"/>
      <c r="AP2521" s="109"/>
      <c r="AQ2521" s="109"/>
      <c r="AR2521" s="109"/>
      <c r="AS2521" s="109"/>
    </row>
    <row r="2522" spans="1:45" ht="12.6" customHeight="1" x14ac:dyDescent="0.3">
      <c r="A2522" s="68"/>
      <c r="B2522" s="97" t="str">
        <f>"E (작업효율) = "&amp;Z2522&amp;" , Cm (1회사이클시간(초)) = "&amp;AD2522&amp;"  sec(90) "</f>
        <v xml:space="preserve">E (작업효율) = 0.65 , Cm (1회사이클시간(초)) = 18  sec(90) </v>
      </c>
      <c r="C2522" s="78"/>
      <c r="D2522" s="78"/>
      <c r="E2522" s="78"/>
      <c r="F2522" s="78"/>
      <c r="G2522" s="16" t="s">
        <v>1935</v>
      </c>
      <c r="Z2522" s="110">
        <v>0.65</v>
      </c>
      <c r="AA2522" s="20" t="s">
        <v>1326</v>
      </c>
      <c r="AB2522" s="112">
        <f>Z2522</f>
        <v>0.65</v>
      </c>
      <c r="AC2522" s="20" t="s">
        <v>1385</v>
      </c>
      <c r="AD2522" s="111">
        <v>18</v>
      </c>
      <c r="AE2522" s="20" t="s">
        <v>1326</v>
      </c>
      <c r="AF2522" s="112">
        <f>AD2522</f>
        <v>18</v>
      </c>
      <c r="AG2522" s="20" t="s">
        <v>1385</v>
      </c>
      <c r="AH2522" s="109"/>
      <c r="AI2522" s="109"/>
      <c r="AJ2522" s="109"/>
      <c r="AK2522" s="109"/>
      <c r="AL2522" s="109"/>
      <c r="AM2522" s="109"/>
      <c r="AN2522" s="109"/>
      <c r="AO2522" s="109"/>
      <c r="AP2522" s="109"/>
      <c r="AQ2522" s="109"/>
      <c r="AR2522" s="109"/>
      <c r="AS2522" s="109"/>
    </row>
    <row r="2523" spans="1:45" ht="12.6" customHeight="1" x14ac:dyDescent="0.3">
      <c r="A2523" s="78"/>
      <c r="B2523" s="78"/>
      <c r="C2523" s="78"/>
      <c r="D2523" s="78"/>
      <c r="E2523" s="78"/>
      <c r="F2523" s="78"/>
      <c r="G2523" s="16" t="s">
        <v>1317</v>
      </c>
      <c r="Z2523" s="109"/>
      <c r="AA2523" s="109"/>
      <c r="AB2523" s="109"/>
      <c r="AC2523" s="109"/>
      <c r="AD2523" s="109"/>
      <c r="AE2523" s="109"/>
      <c r="AF2523" s="109"/>
      <c r="AG2523" s="109"/>
      <c r="AH2523" s="109"/>
      <c r="AI2523" s="109"/>
      <c r="AJ2523" s="109"/>
      <c r="AK2523" s="109"/>
      <c r="AL2523" s="109"/>
      <c r="AM2523" s="109"/>
      <c r="AN2523" s="109"/>
      <c r="AO2523" s="109"/>
      <c r="AP2523" s="109"/>
      <c r="AQ2523" s="109"/>
      <c r="AR2523" s="109"/>
      <c r="AS2523" s="109"/>
    </row>
    <row r="2524" spans="1:45" ht="12.6" customHeight="1" x14ac:dyDescent="0.3">
      <c r="A2524" s="68"/>
      <c r="B2524" s="97" t="str">
        <f>"Q (시간당 작업량) = "&amp;Z2524&amp;"*q*k*E*f/Cm = "&amp;AL2524&amp;" m3/hr "</f>
        <v xml:space="preserve">Q (시간당 작업량) = 3600*q*k*E*f/Cm = 63.70 m3/hr </v>
      </c>
      <c r="C2524" s="78"/>
      <c r="D2524" s="78"/>
      <c r="E2524" s="78"/>
      <c r="F2524" s="78"/>
      <c r="G2524" s="16" t="s">
        <v>1936</v>
      </c>
      <c r="Z2524" s="111">
        <v>3600</v>
      </c>
      <c r="AA2524" s="20" t="s">
        <v>1390</v>
      </c>
      <c r="AB2524" s="112">
        <f>AB2520</f>
        <v>0.7</v>
      </c>
      <c r="AC2524" s="20" t="s">
        <v>1390</v>
      </c>
      <c r="AD2524" s="112">
        <f>AF2520</f>
        <v>0.7</v>
      </c>
      <c r="AE2524" s="20" t="s">
        <v>1390</v>
      </c>
      <c r="AF2524" s="112">
        <f>AB2522</f>
        <v>0.65</v>
      </c>
      <c r="AG2524" s="20" t="s">
        <v>1390</v>
      </c>
      <c r="AH2524" s="112">
        <f>AJ2520</f>
        <v>1</v>
      </c>
      <c r="AI2524" s="20" t="s">
        <v>1387</v>
      </c>
      <c r="AJ2524" s="112">
        <f>AF2522</f>
        <v>18</v>
      </c>
      <c r="AK2524" s="20" t="s">
        <v>1326</v>
      </c>
      <c r="AL2524" s="112" t="str">
        <f>TEXT(ROUND(Z2524*AB2520*AF2520*AB2522*AJ2520/AF2522,2),"0.00")</f>
        <v>63.70</v>
      </c>
      <c r="AM2524" s="109"/>
      <c r="AN2524" s="109"/>
      <c r="AO2524" s="109"/>
      <c r="AP2524" s="109"/>
      <c r="AQ2524" s="109"/>
      <c r="AR2524" s="109"/>
      <c r="AS2524" s="109"/>
    </row>
    <row r="2525" spans="1:45" ht="12.6" customHeight="1" x14ac:dyDescent="0.3">
      <c r="A2525" s="78"/>
      <c r="B2525" s="78"/>
      <c r="C2525" s="78"/>
      <c r="D2525" s="78"/>
      <c r="E2525" s="78"/>
      <c r="F2525" s="78"/>
      <c r="G2525" s="16" t="s">
        <v>1317</v>
      </c>
      <c r="Z2525" s="109"/>
      <c r="AA2525" s="109"/>
      <c r="AB2525" s="109"/>
      <c r="AC2525" s="109"/>
      <c r="AD2525" s="109"/>
      <c r="AE2525" s="109"/>
      <c r="AF2525" s="109"/>
      <c r="AG2525" s="109"/>
      <c r="AH2525" s="109"/>
      <c r="AI2525" s="109"/>
      <c r="AJ2525" s="109"/>
      <c r="AK2525" s="109"/>
      <c r="AL2525" s="109"/>
      <c r="AM2525" s="109"/>
      <c r="AN2525" s="109"/>
      <c r="AO2525" s="109"/>
      <c r="AP2525" s="109"/>
      <c r="AQ2525" s="109"/>
      <c r="AR2525" s="109"/>
      <c r="AS2525" s="109"/>
    </row>
    <row r="2526" spans="1:45" ht="12.6" customHeight="1" x14ac:dyDescent="0.3">
      <c r="A2526" s="68" t="s">
        <v>1473</v>
      </c>
      <c r="B2526" s="97" t="str">
        <f>" 노 무 비  :   "&amp;TEXT(I2526,"#,##0"&amp;IF(I2526&lt;&gt;INT(I2526),".###",""))&amp;" / Q / "&amp;AC2526&amp;" = "&amp;TEXT(C2526,"#,##0.0")&amp;""</f>
        <v xml:space="preserve"> 노 무 비  :   55,700 / Q / 3 = 291.4</v>
      </c>
      <c r="C2526" s="99">
        <f>E2526+D2526+F2526</f>
        <v>291.39999999999998</v>
      </c>
      <c r="D2526" s="99">
        <f>IF(H2526=0,0,ROUNDDOWN(J2526*H2526,1))</f>
        <v>291.39999999999998</v>
      </c>
      <c r="E2526" s="99">
        <f>IF(H2526=0,0,ROUNDDOWN(K2526*H2526,1))</f>
        <v>0</v>
      </c>
      <c r="F2526" s="99">
        <f>IF(H2526=0,0,ROUNDDOWN(L2526*H2526,1))</f>
        <v>0</v>
      </c>
      <c r="G2526" s="16" t="s">
        <v>1937</v>
      </c>
      <c r="H2526" s="105">
        <f>AE2526</f>
        <v>5.2328623757195184E-3</v>
      </c>
      <c r="I2526" s="106">
        <f>K2526+J2526+L2526</f>
        <v>55700</v>
      </c>
      <c r="J2526" s="39">
        <f>중기목록표!F7</f>
        <v>55700</v>
      </c>
      <c r="M2526" s="20" t="s">
        <v>1193</v>
      </c>
      <c r="N2526" s="20" t="s">
        <v>1332</v>
      </c>
      <c r="X2526" s="108" t="str">
        <f>중기목록표!B7&amp;" / "&amp;중기목록표!C7</f>
        <v xml:space="preserve">굴삭기(0.7m3) / </v>
      </c>
      <c r="Y2526" s="19" t="str">
        <f ca="1">HYPERLINK("#"&amp;중기목록표!J2&amp;"!A"&amp;ROW(중기목록표!A7),"중기    4 →")</f>
        <v>중기    4 →</v>
      </c>
      <c r="Z2526" s="20" t="s">
        <v>1393</v>
      </c>
      <c r="AA2526" s="112" t="str">
        <f>AL2524</f>
        <v>63.70</v>
      </c>
      <c r="AB2526" s="20" t="s">
        <v>1387</v>
      </c>
      <c r="AC2526" s="111">
        <v>3</v>
      </c>
      <c r="AD2526" s="20" t="s">
        <v>1326</v>
      </c>
      <c r="AE2526" s="113">
        <f>1/AL2524/AC2526</f>
        <v>5.2328623757195184E-3</v>
      </c>
      <c r="AF2526" s="109"/>
      <c r="AG2526" s="109"/>
      <c r="AH2526" s="109"/>
      <c r="AI2526" s="109"/>
      <c r="AJ2526" s="109"/>
      <c r="AK2526" s="109"/>
      <c r="AL2526" s="109"/>
      <c r="AM2526" s="109"/>
      <c r="AN2526" s="109"/>
      <c r="AO2526" s="109"/>
      <c r="AP2526" s="109"/>
      <c r="AQ2526" s="109"/>
      <c r="AR2526" s="109"/>
      <c r="AS2526" s="109"/>
    </row>
    <row r="2527" spans="1:45" ht="12.6" customHeight="1" x14ac:dyDescent="0.3">
      <c r="A2527" s="78"/>
      <c r="B2527" s="78"/>
      <c r="C2527" s="78"/>
      <c r="D2527" s="78"/>
      <c r="E2527" s="78"/>
      <c r="F2527" s="78"/>
      <c r="G2527" s="16" t="s">
        <v>1317</v>
      </c>
      <c r="Z2527" s="109"/>
      <c r="AA2527" s="109"/>
      <c r="AB2527" s="109"/>
      <c r="AC2527" s="109"/>
      <c r="AD2527" s="109"/>
      <c r="AE2527" s="109"/>
      <c r="AF2527" s="109"/>
      <c r="AG2527" s="109"/>
      <c r="AH2527" s="109"/>
      <c r="AI2527" s="109"/>
      <c r="AJ2527" s="109"/>
      <c r="AK2527" s="109"/>
      <c r="AL2527" s="109"/>
      <c r="AM2527" s="109"/>
      <c r="AN2527" s="109"/>
      <c r="AO2527" s="109"/>
      <c r="AP2527" s="109"/>
      <c r="AQ2527" s="109"/>
      <c r="AR2527" s="109"/>
      <c r="AS2527" s="109"/>
    </row>
    <row r="2528" spans="1:45" ht="12.6" customHeight="1" x14ac:dyDescent="0.3">
      <c r="A2528" s="68" t="s">
        <v>1475</v>
      </c>
      <c r="B2528" s="97" t="str">
        <f>" 재 료 비  :   "&amp;TEXT(I2528,"#,##0"&amp;IF(I2528&lt;&gt;INT(I2528),".###",""))&amp;" / Q / "&amp;AC2528&amp;" = "&amp;TEXT(C2528,"#,##0.0")&amp;""</f>
        <v xml:space="preserve"> 재 료 비  :   18,001 / Q / 3 = 94.1</v>
      </c>
      <c r="C2528" s="99">
        <f>E2528+D2528+F2528</f>
        <v>94.1</v>
      </c>
      <c r="D2528" s="99">
        <f>IF(H2528=0,0,ROUNDDOWN(J2528*H2528,1))</f>
        <v>0</v>
      </c>
      <c r="E2528" s="99">
        <f>IF(H2528=0,0,ROUNDDOWN(K2528*H2528,1))</f>
        <v>94.1</v>
      </c>
      <c r="F2528" s="99">
        <f>IF(H2528=0,0,ROUNDDOWN(L2528*H2528,1))</f>
        <v>0</v>
      </c>
      <c r="G2528" s="16" t="s">
        <v>1938</v>
      </c>
      <c r="H2528" s="105">
        <f>AE2528</f>
        <v>5.2328623757195184E-3</v>
      </c>
      <c r="I2528" s="106">
        <f>K2528+J2528+L2528</f>
        <v>18001</v>
      </c>
      <c r="K2528" s="39">
        <f>중기목록표!G7</f>
        <v>18001</v>
      </c>
      <c r="M2528" s="20" t="s">
        <v>1193</v>
      </c>
      <c r="N2528" s="20" t="s">
        <v>1332</v>
      </c>
      <c r="X2528" s="108" t="str">
        <f>중기목록표!B7&amp;" / "&amp;중기목록표!C7</f>
        <v xml:space="preserve">굴삭기(0.7m3) / </v>
      </c>
      <c r="Y2528" s="19" t="str">
        <f ca="1">HYPERLINK("#"&amp;중기목록표!J2&amp;"!A"&amp;ROW(중기목록표!A7),"중기    4 →")</f>
        <v>중기    4 →</v>
      </c>
      <c r="Z2528" s="20" t="s">
        <v>1393</v>
      </c>
      <c r="AA2528" s="112" t="str">
        <f>AL2524</f>
        <v>63.70</v>
      </c>
      <c r="AB2528" s="20" t="s">
        <v>1387</v>
      </c>
      <c r="AC2528" s="111">
        <v>3</v>
      </c>
      <c r="AD2528" s="20" t="s">
        <v>1326</v>
      </c>
      <c r="AE2528" s="113">
        <f>1/AL2524/AC2528</f>
        <v>5.2328623757195184E-3</v>
      </c>
      <c r="AF2528" s="109"/>
      <c r="AG2528" s="109"/>
      <c r="AH2528" s="109"/>
      <c r="AI2528" s="109"/>
      <c r="AJ2528" s="109"/>
      <c r="AK2528" s="109"/>
      <c r="AL2528" s="109"/>
      <c r="AM2528" s="109"/>
      <c r="AN2528" s="109"/>
      <c r="AO2528" s="109"/>
      <c r="AP2528" s="109"/>
      <c r="AQ2528" s="109"/>
      <c r="AR2528" s="109"/>
      <c r="AS2528" s="109"/>
    </row>
    <row r="2529" spans="1:45" ht="12.6" customHeight="1" x14ac:dyDescent="0.3">
      <c r="A2529" s="78"/>
      <c r="B2529" s="78"/>
      <c r="C2529" s="78"/>
      <c r="D2529" s="78"/>
      <c r="E2529" s="78"/>
      <c r="F2529" s="78"/>
      <c r="G2529" s="16" t="s">
        <v>1317</v>
      </c>
      <c r="Z2529" s="109"/>
      <c r="AA2529" s="109"/>
      <c r="AB2529" s="109"/>
      <c r="AC2529" s="109"/>
      <c r="AD2529" s="109"/>
      <c r="AE2529" s="109"/>
      <c r="AF2529" s="109"/>
      <c r="AG2529" s="109"/>
      <c r="AH2529" s="109"/>
      <c r="AI2529" s="109"/>
      <c r="AJ2529" s="109"/>
      <c r="AK2529" s="109"/>
      <c r="AL2529" s="109"/>
      <c r="AM2529" s="109"/>
      <c r="AN2529" s="109"/>
      <c r="AO2529" s="109"/>
      <c r="AP2529" s="109"/>
      <c r="AQ2529" s="109"/>
      <c r="AR2529" s="109"/>
      <c r="AS2529" s="109"/>
    </row>
    <row r="2530" spans="1:45" ht="12.6" customHeight="1" x14ac:dyDescent="0.3">
      <c r="A2530" s="68" t="s">
        <v>1477</v>
      </c>
      <c r="B2530" s="97" t="str">
        <f>" 경    비  :   "&amp;TEXT(I2530,"#,##0"&amp;IF(I2530&lt;&gt;INT(I2530),".###",""))&amp;" / Q / "&amp;AC2530&amp;" = "&amp;TEXT(C2530,"#,##0.0")&amp;""</f>
        <v xml:space="preserve"> 경    비  :   23,128 / Q / 3 = 121.0</v>
      </c>
      <c r="C2530" s="99">
        <f>E2530+D2530+F2530</f>
        <v>121</v>
      </c>
      <c r="D2530" s="99">
        <f>IF(H2530=0,0,ROUNDDOWN(J2530*H2530,1))</f>
        <v>0</v>
      </c>
      <c r="E2530" s="99">
        <f>IF(H2530=0,0,ROUNDDOWN(K2530*H2530,1))</f>
        <v>0</v>
      </c>
      <c r="F2530" s="99">
        <f>IF(H2530=0,0,ROUNDDOWN(L2530*H2530,1))</f>
        <v>121</v>
      </c>
      <c r="G2530" s="16" t="s">
        <v>1939</v>
      </c>
      <c r="H2530" s="105">
        <f>AE2530</f>
        <v>5.2328623757195184E-3</v>
      </c>
      <c r="I2530" s="106">
        <f>K2530+J2530+L2530</f>
        <v>23128</v>
      </c>
      <c r="L2530" s="39">
        <f>중기목록표!H7</f>
        <v>23128</v>
      </c>
      <c r="M2530" s="20" t="s">
        <v>1193</v>
      </c>
      <c r="N2530" s="20" t="s">
        <v>1332</v>
      </c>
      <c r="X2530" s="108" t="str">
        <f>중기목록표!B7&amp;" / "&amp;중기목록표!C7</f>
        <v xml:space="preserve">굴삭기(0.7m3) / </v>
      </c>
      <c r="Y2530" s="19" t="str">
        <f ca="1">HYPERLINK("#"&amp;중기목록표!J2&amp;"!A"&amp;ROW(중기목록표!A7),"중기    4 →")</f>
        <v>중기    4 →</v>
      </c>
      <c r="Z2530" s="20" t="s">
        <v>1393</v>
      </c>
      <c r="AA2530" s="112" t="str">
        <f>AL2524</f>
        <v>63.70</v>
      </c>
      <c r="AB2530" s="20" t="s">
        <v>1387</v>
      </c>
      <c r="AC2530" s="111">
        <v>3</v>
      </c>
      <c r="AD2530" s="20" t="s">
        <v>1326</v>
      </c>
      <c r="AE2530" s="113">
        <f>1/AL2524/AC2530</f>
        <v>5.2328623757195184E-3</v>
      </c>
      <c r="AF2530" s="109"/>
      <c r="AG2530" s="109"/>
      <c r="AH2530" s="109"/>
      <c r="AI2530" s="109"/>
      <c r="AJ2530" s="109"/>
      <c r="AK2530" s="109"/>
      <c r="AL2530" s="109"/>
      <c r="AM2530" s="109"/>
      <c r="AN2530" s="109"/>
      <c r="AO2530" s="109"/>
      <c r="AP2530" s="109"/>
      <c r="AQ2530" s="109"/>
      <c r="AR2530" s="109"/>
      <c r="AS2530" s="109"/>
    </row>
    <row r="2531" spans="1:45" ht="12.6" customHeight="1" x14ac:dyDescent="0.3">
      <c r="A2531" s="78"/>
      <c r="B2531" s="78"/>
      <c r="C2531" s="78"/>
      <c r="D2531" s="78"/>
      <c r="E2531" s="78"/>
      <c r="F2531" s="78"/>
      <c r="G2531" s="16" t="s">
        <v>1317</v>
      </c>
      <c r="Z2531" s="109"/>
      <c r="AA2531" s="109"/>
      <c r="AB2531" s="109"/>
      <c r="AC2531" s="109"/>
      <c r="AD2531" s="109"/>
      <c r="AE2531" s="109"/>
      <c r="AF2531" s="109"/>
      <c r="AG2531" s="109"/>
      <c r="AH2531" s="109"/>
      <c r="AI2531" s="109"/>
      <c r="AJ2531" s="109"/>
      <c r="AK2531" s="109"/>
      <c r="AL2531" s="109"/>
      <c r="AM2531" s="109"/>
      <c r="AN2531" s="109"/>
      <c r="AO2531" s="109"/>
      <c r="AP2531" s="109"/>
      <c r="AQ2531" s="109"/>
      <c r="AR2531" s="109"/>
      <c r="AS2531" s="109"/>
    </row>
    <row r="2532" spans="1:45" ht="12.6" customHeight="1" x14ac:dyDescent="0.3">
      <c r="A2532" s="68"/>
      <c r="B2532" s="77" t="s">
        <v>1331</v>
      </c>
      <c r="C2532" s="100">
        <f>E2532+D2532+F2532</f>
        <v>506.5</v>
      </c>
      <c r="D2532" s="100">
        <f>SUMIF(N2516:N2531,M2532,D2516:D2531)</f>
        <v>291.39999999999998</v>
      </c>
      <c r="E2532" s="100">
        <f>SUMIF(N2516:N2531,M2532,E2516:E2531)</f>
        <v>94.1</v>
      </c>
      <c r="F2532" s="100">
        <f>SUMIF(N2516:N2531,M2532,F2516:F2531)</f>
        <v>121</v>
      </c>
      <c r="G2532" s="16" t="s">
        <v>1415</v>
      </c>
      <c r="M2532" s="20" t="s">
        <v>1332</v>
      </c>
      <c r="N2532" s="20" t="s">
        <v>1341</v>
      </c>
      <c r="Z2532" s="109"/>
      <c r="AA2532" s="109"/>
      <c r="AB2532" s="109"/>
      <c r="AC2532" s="109"/>
      <c r="AD2532" s="109"/>
      <c r="AE2532" s="109"/>
      <c r="AF2532" s="109"/>
      <c r="AG2532" s="109"/>
      <c r="AH2532" s="109"/>
      <c r="AI2532" s="109"/>
      <c r="AJ2532" s="109"/>
      <c r="AK2532" s="109"/>
      <c r="AL2532" s="109"/>
      <c r="AM2532" s="109"/>
      <c r="AN2532" s="109"/>
      <c r="AO2532" s="109"/>
      <c r="AP2532" s="109"/>
      <c r="AQ2532" s="109"/>
      <c r="AR2532" s="109"/>
      <c r="AS2532" s="109"/>
    </row>
    <row r="2533" spans="1:45" ht="12.6" customHeight="1" x14ac:dyDescent="0.3">
      <c r="A2533" s="78"/>
      <c r="B2533" s="78"/>
      <c r="C2533" s="98"/>
      <c r="D2533" s="98"/>
      <c r="E2533" s="98"/>
      <c r="F2533" s="98"/>
      <c r="G2533" s="16" t="s">
        <v>1317</v>
      </c>
      <c r="Z2533" s="109"/>
      <c r="AA2533" s="109"/>
      <c r="AB2533" s="109"/>
      <c r="AC2533" s="109"/>
      <c r="AD2533" s="109"/>
      <c r="AE2533" s="109"/>
      <c r="AF2533" s="109"/>
      <c r="AG2533" s="109"/>
      <c r="AH2533" s="109"/>
      <c r="AI2533" s="109"/>
      <c r="AJ2533" s="109"/>
      <c r="AK2533" s="109"/>
      <c r="AL2533" s="109"/>
      <c r="AM2533" s="109"/>
      <c r="AN2533" s="109"/>
      <c r="AO2533" s="109"/>
      <c r="AP2533" s="109"/>
      <c r="AQ2533" s="109"/>
      <c r="AR2533" s="109"/>
      <c r="AS2533" s="109"/>
    </row>
    <row r="2534" spans="1:45" ht="12.6" customHeight="1" x14ac:dyDescent="0.3">
      <c r="A2534" s="68"/>
      <c r="B2534" s="77" t="s">
        <v>1340</v>
      </c>
      <c r="C2534" s="100">
        <f>E2534+D2534+F2534</f>
        <v>7746.7</v>
      </c>
      <c r="D2534" s="100">
        <f>SUMIF(N2457:N2533,M2534,D2457:D2533)</f>
        <v>4853.0999999999995</v>
      </c>
      <c r="E2534" s="100">
        <f>SUMIF(N2457:N2533,M2534,E2457:E2533)</f>
        <v>1054.8</v>
      </c>
      <c r="F2534" s="100">
        <f>SUMIF(N2457:N2533,M2534,F2457:F2533)</f>
        <v>1838.8</v>
      </c>
      <c r="G2534" s="16" t="s">
        <v>1380</v>
      </c>
      <c r="M2534" s="20" t="s">
        <v>1341</v>
      </c>
      <c r="N2534" s="20" t="s">
        <v>1128</v>
      </c>
      <c r="Z2534" s="109"/>
      <c r="AA2534" s="109"/>
      <c r="AB2534" s="109"/>
      <c r="AC2534" s="109"/>
      <c r="AD2534" s="109"/>
      <c r="AE2534" s="109"/>
      <c r="AF2534" s="109"/>
      <c r="AG2534" s="109"/>
      <c r="AH2534" s="109"/>
      <c r="AI2534" s="109"/>
      <c r="AJ2534" s="109"/>
      <c r="AK2534" s="109"/>
      <c r="AL2534" s="109"/>
      <c r="AM2534" s="109"/>
      <c r="AN2534" s="109"/>
      <c r="AO2534" s="109"/>
      <c r="AP2534" s="109"/>
      <c r="AQ2534" s="109"/>
      <c r="AR2534" s="109"/>
      <c r="AS2534" s="109"/>
    </row>
    <row r="2535" spans="1:45" ht="12.6" customHeight="1" x14ac:dyDescent="0.3">
      <c r="A2535" s="78"/>
      <c r="B2535" s="78"/>
      <c r="C2535" s="98"/>
      <c r="D2535" s="98"/>
      <c r="E2535" s="98"/>
      <c r="F2535" s="98"/>
      <c r="Z2535" s="109"/>
      <c r="AA2535" s="109"/>
      <c r="AB2535" s="109"/>
      <c r="AC2535" s="109"/>
      <c r="AD2535" s="109"/>
      <c r="AE2535" s="109"/>
      <c r="AF2535" s="109"/>
      <c r="AG2535" s="109"/>
      <c r="AH2535" s="109"/>
      <c r="AI2535" s="109"/>
      <c r="AJ2535" s="109"/>
      <c r="AK2535" s="109"/>
      <c r="AL2535" s="109"/>
      <c r="AM2535" s="109"/>
      <c r="AN2535" s="109"/>
      <c r="AO2535" s="109"/>
      <c r="AP2535" s="109"/>
      <c r="AQ2535" s="109"/>
      <c r="AR2535" s="109"/>
      <c r="AS2535" s="109"/>
    </row>
    <row r="2536" spans="1:45" ht="12.6" customHeight="1" x14ac:dyDescent="0.3">
      <c r="A2536" s="78"/>
      <c r="B2536" s="78"/>
      <c r="C2536" s="78"/>
      <c r="D2536" s="78"/>
      <c r="E2536" s="78"/>
      <c r="F2536" s="78"/>
      <c r="Z2536" s="109"/>
      <c r="AA2536" s="109"/>
      <c r="AB2536" s="109"/>
      <c r="AC2536" s="109"/>
      <c r="AD2536" s="109"/>
      <c r="AE2536" s="109"/>
      <c r="AF2536" s="109"/>
      <c r="AG2536" s="109"/>
      <c r="AH2536" s="109"/>
      <c r="AI2536" s="109"/>
      <c r="AJ2536" s="109"/>
      <c r="AK2536" s="109"/>
      <c r="AL2536" s="109"/>
      <c r="AM2536" s="109"/>
      <c r="AN2536" s="109"/>
      <c r="AO2536" s="109"/>
      <c r="AP2536" s="109"/>
      <c r="AQ2536" s="109"/>
      <c r="AR2536" s="109"/>
      <c r="AS2536" s="109"/>
    </row>
    <row r="2537" spans="1:45" ht="12.6" customHeight="1" x14ac:dyDescent="0.3">
      <c r="A2537" s="78"/>
      <c r="B2537" s="78"/>
      <c r="C2537" s="78"/>
      <c r="D2537" s="78"/>
      <c r="E2537" s="78"/>
      <c r="F2537" s="78"/>
      <c r="Z2537" s="109"/>
      <c r="AA2537" s="109"/>
      <c r="AB2537" s="109"/>
      <c r="AC2537" s="109"/>
      <c r="AD2537" s="109"/>
      <c r="AE2537" s="109"/>
      <c r="AF2537" s="109"/>
      <c r="AG2537" s="109"/>
      <c r="AH2537" s="109"/>
      <c r="AI2537" s="109"/>
      <c r="AJ2537" s="109"/>
      <c r="AK2537" s="109"/>
      <c r="AL2537" s="109"/>
      <c r="AM2537" s="109"/>
      <c r="AN2537" s="109"/>
      <c r="AO2537" s="109"/>
      <c r="AP2537" s="109"/>
      <c r="AQ2537" s="109"/>
      <c r="AR2537" s="109"/>
      <c r="AS2537" s="109"/>
    </row>
    <row r="2538" spans="1:45" ht="12.6" customHeight="1" x14ac:dyDescent="0.3">
      <c r="A2538" s="78"/>
      <c r="B2538" s="78"/>
      <c r="C2538" s="78"/>
      <c r="D2538" s="78"/>
      <c r="E2538" s="78"/>
      <c r="F2538" s="78"/>
      <c r="Z2538" s="109"/>
      <c r="AA2538" s="109"/>
      <c r="AB2538" s="109"/>
      <c r="AC2538" s="109"/>
      <c r="AD2538" s="109"/>
      <c r="AE2538" s="109"/>
      <c r="AF2538" s="109"/>
      <c r="AG2538" s="109"/>
      <c r="AH2538" s="109"/>
      <c r="AI2538" s="109"/>
      <c r="AJ2538" s="109"/>
      <c r="AK2538" s="109"/>
      <c r="AL2538" s="109"/>
      <c r="AM2538" s="109"/>
      <c r="AN2538" s="109"/>
      <c r="AO2538" s="109"/>
      <c r="AP2538" s="109"/>
      <c r="AQ2538" s="109"/>
      <c r="AR2538" s="109"/>
      <c r="AS2538" s="109"/>
    </row>
    <row r="2539" spans="1:45" ht="12.6" customHeight="1" x14ac:dyDescent="0.3">
      <c r="A2539" s="78"/>
      <c r="B2539" s="78"/>
      <c r="C2539" s="78"/>
      <c r="D2539" s="78"/>
      <c r="E2539" s="78"/>
      <c r="F2539" s="78"/>
      <c r="Z2539" s="109"/>
      <c r="AA2539" s="109"/>
      <c r="AB2539" s="109"/>
      <c r="AC2539" s="109"/>
      <c r="AD2539" s="109"/>
      <c r="AE2539" s="109"/>
      <c r="AF2539" s="109"/>
      <c r="AG2539" s="109"/>
      <c r="AH2539" s="109"/>
      <c r="AI2539" s="109"/>
      <c r="AJ2539" s="109"/>
      <c r="AK2539" s="109"/>
      <c r="AL2539" s="109"/>
      <c r="AM2539" s="109"/>
      <c r="AN2539" s="109"/>
      <c r="AO2539" s="109"/>
      <c r="AP2539" s="109"/>
      <c r="AQ2539" s="109"/>
      <c r="AR2539" s="109"/>
      <c r="AS2539" s="109"/>
    </row>
    <row r="2540" spans="1:45" ht="12.6" customHeight="1" x14ac:dyDescent="0.3">
      <c r="A2540" s="78"/>
      <c r="B2540" s="78"/>
      <c r="C2540" s="78"/>
      <c r="D2540" s="78"/>
      <c r="E2540" s="78"/>
      <c r="F2540" s="78"/>
      <c r="Z2540" s="109"/>
      <c r="AA2540" s="109"/>
      <c r="AB2540" s="109"/>
      <c r="AC2540" s="109"/>
      <c r="AD2540" s="109"/>
      <c r="AE2540" s="109"/>
      <c r="AF2540" s="109"/>
      <c r="AG2540" s="109"/>
      <c r="AH2540" s="109"/>
      <c r="AI2540" s="109"/>
      <c r="AJ2540" s="109"/>
      <c r="AK2540" s="109"/>
      <c r="AL2540" s="109"/>
      <c r="AM2540" s="109"/>
      <c r="AN2540" s="109"/>
      <c r="AO2540" s="109"/>
      <c r="AP2540" s="109"/>
      <c r="AQ2540" s="109"/>
      <c r="AR2540" s="109"/>
      <c r="AS2540" s="109"/>
    </row>
    <row r="2541" spans="1:45" ht="12.6" customHeight="1" x14ac:dyDescent="0.3">
      <c r="A2541" s="78"/>
      <c r="B2541" s="78"/>
      <c r="C2541" s="78"/>
      <c r="D2541" s="78"/>
      <c r="E2541" s="78"/>
      <c r="F2541" s="78"/>
      <c r="Z2541" s="109"/>
      <c r="AA2541" s="109"/>
      <c r="AB2541" s="109"/>
      <c r="AC2541" s="109"/>
      <c r="AD2541" s="109"/>
      <c r="AE2541" s="109"/>
      <c r="AF2541" s="109"/>
      <c r="AG2541" s="109"/>
      <c r="AH2541" s="109"/>
      <c r="AI2541" s="109"/>
      <c r="AJ2541" s="109"/>
      <c r="AK2541" s="109"/>
      <c r="AL2541" s="109"/>
      <c r="AM2541" s="109"/>
      <c r="AN2541" s="109"/>
      <c r="AO2541" s="109"/>
      <c r="AP2541" s="109"/>
      <c r="AQ2541" s="109"/>
      <c r="AR2541" s="109"/>
      <c r="AS2541" s="109"/>
    </row>
    <row r="2542" spans="1:45" ht="12.6" customHeight="1" x14ac:dyDescent="0.3">
      <c r="A2542" s="78"/>
      <c r="B2542" s="78"/>
      <c r="C2542" s="78"/>
      <c r="D2542" s="78"/>
      <c r="E2542" s="78"/>
      <c r="F2542" s="78"/>
      <c r="Z2542" s="109"/>
      <c r="AA2542" s="109"/>
      <c r="AB2542" s="109"/>
      <c r="AC2542" s="109"/>
      <c r="AD2542" s="109"/>
      <c r="AE2542" s="109"/>
      <c r="AF2542" s="109"/>
      <c r="AG2542" s="109"/>
      <c r="AH2542" s="109"/>
      <c r="AI2542" s="109"/>
      <c r="AJ2542" s="109"/>
      <c r="AK2542" s="109"/>
      <c r="AL2542" s="109"/>
      <c r="AM2542" s="109"/>
      <c r="AN2542" s="109"/>
      <c r="AO2542" s="109"/>
      <c r="AP2542" s="109"/>
      <c r="AQ2542" s="109"/>
      <c r="AR2542" s="109"/>
      <c r="AS2542" s="109"/>
    </row>
    <row r="2543" spans="1:45" ht="12.6" customHeight="1" x14ac:dyDescent="0.3">
      <c r="A2543" s="78"/>
      <c r="B2543" s="78"/>
      <c r="C2543" s="78"/>
      <c r="D2543" s="78"/>
      <c r="E2543" s="78"/>
      <c r="F2543" s="78"/>
      <c r="Z2543" s="109"/>
      <c r="AA2543" s="109"/>
      <c r="AB2543" s="109"/>
      <c r="AC2543" s="109"/>
      <c r="AD2543" s="109"/>
      <c r="AE2543" s="109"/>
      <c r="AF2543" s="109"/>
      <c r="AG2543" s="109"/>
      <c r="AH2543" s="109"/>
      <c r="AI2543" s="109"/>
      <c r="AJ2543" s="109"/>
      <c r="AK2543" s="109"/>
      <c r="AL2543" s="109"/>
      <c r="AM2543" s="109"/>
      <c r="AN2543" s="109"/>
      <c r="AO2543" s="109"/>
      <c r="AP2543" s="109"/>
      <c r="AQ2543" s="109"/>
      <c r="AR2543" s="109"/>
      <c r="AS2543" s="109"/>
    </row>
    <row r="2544" spans="1:45" ht="12.6" customHeight="1" x14ac:dyDescent="0.3">
      <c r="A2544" s="78"/>
      <c r="B2544" s="78"/>
      <c r="C2544" s="78"/>
      <c r="D2544" s="78"/>
      <c r="E2544" s="78"/>
      <c r="F2544" s="78"/>
      <c r="Z2544" s="109"/>
      <c r="AA2544" s="109"/>
      <c r="AB2544" s="109"/>
      <c r="AC2544" s="109"/>
      <c r="AD2544" s="109"/>
      <c r="AE2544" s="109"/>
      <c r="AF2544" s="109"/>
      <c r="AG2544" s="109"/>
      <c r="AH2544" s="109"/>
      <c r="AI2544" s="109"/>
      <c r="AJ2544" s="109"/>
      <c r="AK2544" s="109"/>
      <c r="AL2544" s="109"/>
      <c r="AM2544" s="109"/>
      <c r="AN2544" s="109"/>
      <c r="AO2544" s="109"/>
      <c r="AP2544" s="109"/>
      <c r="AQ2544" s="109"/>
      <c r="AR2544" s="109"/>
      <c r="AS2544" s="109"/>
    </row>
    <row r="2545" spans="1:45" ht="12.6" customHeight="1" x14ac:dyDescent="0.3">
      <c r="A2545" s="78"/>
      <c r="B2545" s="78"/>
      <c r="C2545" s="78"/>
      <c r="D2545" s="78"/>
      <c r="E2545" s="78"/>
      <c r="F2545" s="78"/>
      <c r="Z2545" s="109"/>
      <c r="AA2545" s="109"/>
      <c r="AB2545" s="109"/>
      <c r="AC2545" s="109"/>
      <c r="AD2545" s="109"/>
      <c r="AE2545" s="109"/>
      <c r="AF2545" s="109"/>
      <c r="AG2545" s="109"/>
      <c r="AH2545" s="109"/>
      <c r="AI2545" s="109"/>
      <c r="AJ2545" s="109"/>
      <c r="AK2545" s="109"/>
      <c r="AL2545" s="109"/>
      <c r="AM2545" s="109"/>
      <c r="AN2545" s="109"/>
      <c r="AO2545" s="109"/>
      <c r="AP2545" s="109"/>
      <c r="AQ2545" s="109"/>
      <c r="AR2545" s="109"/>
      <c r="AS2545" s="109"/>
    </row>
    <row r="2546" spans="1:45" ht="12.6" customHeight="1" x14ac:dyDescent="0.3">
      <c r="A2546" s="78"/>
      <c r="B2546" s="78"/>
      <c r="C2546" s="78"/>
      <c r="D2546" s="78"/>
      <c r="E2546" s="78"/>
      <c r="F2546" s="78"/>
      <c r="Z2546" s="109"/>
      <c r="AA2546" s="109"/>
      <c r="AB2546" s="109"/>
      <c r="AC2546" s="109"/>
      <c r="AD2546" s="109"/>
      <c r="AE2546" s="109"/>
      <c r="AF2546" s="109"/>
      <c r="AG2546" s="109"/>
      <c r="AH2546" s="109"/>
      <c r="AI2546" s="109"/>
      <c r="AJ2546" s="109"/>
      <c r="AK2546" s="109"/>
      <c r="AL2546" s="109"/>
      <c r="AM2546" s="109"/>
      <c r="AN2546" s="109"/>
      <c r="AO2546" s="109"/>
      <c r="AP2546" s="109"/>
      <c r="AQ2546" s="109"/>
      <c r="AR2546" s="109"/>
      <c r="AS2546" s="109"/>
    </row>
    <row r="2547" spans="1:45" ht="12.6" customHeight="1" x14ac:dyDescent="0.3">
      <c r="A2547" s="78"/>
      <c r="B2547" s="78"/>
      <c r="C2547" s="78"/>
      <c r="D2547" s="78"/>
      <c r="E2547" s="78"/>
      <c r="F2547" s="78"/>
      <c r="Z2547" s="109"/>
      <c r="AA2547" s="109"/>
      <c r="AB2547" s="109"/>
      <c r="AC2547" s="109"/>
      <c r="AD2547" s="109"/>
      <c r="AE2547" s="109"/>
      <c r="AF2547" s="109"/>
      <c r="AG2547" s="109"/>
      <c r="AH2547" s="109"/>
      <c r="AI2547" s="109"/>
      <c r="AJ2547" s="109"/>
      <c r="AK2547" s="109"/>
      <c r="AL2547" s="109"/>
      <c r="AM2547" s="109"/>
      <c r="AN2547" s="109"/>
      <c r="AO2547" s="109"/>
      <c r="AP2547" s="109"/>
      <c r="AQ2547" s="109"/>
      <c r="AR2547" s="109"/>
      <c r="AS2547" s="109"/>
    </row>
    <row r="2548" spans="1:45" ht="12.6" customHeight="1" x14ac:dyDescent="0.3">
      <c r="A2548" s="78"/>
      <c r="B2548" s="78"/>
      <c r="C2548" s="78"/>
      <c r="D2548" s="78"/>
      <c r="E2548" s="78"/>
      <c r="F2548" s="78"/>
      <c r="Z2548" s="109"/>
      <c r="AA2548" s="109"/>
      <c r="AB2548" s="109"/>
      <c r="AC2548" s="109"/>
      <c r="AD2548" s="109"/>
      <c r="AE2548" s="109"/>
      <c r="AF2548" s="109"/>
      <c r="AG2548" s="109"/>
      <c r="AH2548" s="109"/>
      <c r="AI2548" s="109"/>
      <c r="AJ2548" s="109"/>
      <c r="AK2548" s="109"/>
      <c r="AL2548" s="109"/>
      <c r="AM2548" s="109"/>
      <c r="AN2548" s="109"/>
      <c r="AO2548" s="109"/>
      <c r="AP2548" s="109"/>
      <c r="AQ2548" s="109"/>
      <c r="AR2548" s="109"/>
      <c r="AS2548" s="109"/>
    </row>
    <row r="2549" spans="1:45" ht="12.6" customHeight="1" x14ac:dyDescent="0.3">
      <c r="A2549" s="78"/>
      <c r="B2549" s="78"/>
      <c r="C2549" s="78"/>
      <c r="D2549" s="78"/>
      <c r="E2549" s="78"/>
      <c r="F2549" s="78"/>
      <c r="Z2549" s="109"/>
      <c r="AA2549" s="109"/>
      <c r="AB2549" s="109"/>
      <c r="AC2549" s="109"/>
      <c r="AD2549" s="109"/>
      <c r="AE2549" s="109"/>
      <c r="AF2549" s="109"/>
      <c r="AG2549" s="109"/>
      <c r="AH2549" s="109"/>
      <c r="AI2549" s="109"/>
      <c r="AJ2549" s="109"/>
      <c r="AK2549" s="109"/>
      <c r="AL2549" s="109"/>
      <c r="AM2549" s="109"/>
      <c r="AN2549" s="109"/>
      <c r="AO2549" s="109"/>
      <c r="AP2549" s="109"/>
      <c r="AQ2549" s="109"/>
      <c r="AR2549" s="109"/>
      <c r="AS2549" s="109"/>
    </row>
    <row r="2550" spans="1:45" ht="12.6" customHeight="1" x14ac:dyDescent="0.3">
      <c r="A2550" s="78"/>
      <c r="B2550" s="78"/>
      <c r="C2550" s="78"/>
      <c r="D2550" s="78"/>
      <c r="E2550" s="78"/>
      <c r="F2550" s="78"/>
      <c r="Z2550" s="109"/>
      <c r="AA2550" s="109"/>
      <c r="AB2550" s="109"/>
      <c r="AC2550" s="109"/>
      <c r="AD2550" s="109"/>
      <c r="AE2550" s="109"/>
      <c r="AF2550" s="109"/>
      <c r="AG2550" s="109"/>
      <c r="AH2550" s="109"/>
      <c r="AI2550" s="109"/>
      <c r="AJ2550" s="109"/>
      <c r="AK2550" s="109"/>
      <c r="AL2550" s="109"/>
      <c r="AM2550" s="109"/>
      <c r="AN2550" s="109"/>
      <c r="AO2550" s="109"/>
      <c r="AP2550" s="109"/>
      <c r="AQ2550" s="109"/>
      <c r="AR2550" s="109"/>
      <c r="AS2550" s="109"/>
    </row>
    <row r="2551" spans="1:45" ht="12.6" customHeight="1" x14ac:dyDescent="0.3">
      <c r="A2551" s="78"/>
      <c r="B2551" s="78"/>
      <c r="C2551" s="78"/>
      <c r="D2551" s="78"/>
      <c r="E2551" s="78"/>
      <c r="F2551" s="78"/>
      <c r="Z2551" s="109"/>
      <c r="AA2551" s="109"/>
      <c r="AB2551" s="109"/>
      <c r="AC2551" s="109"/>
      <c r="AD2551" s="109"/>
      <c r="AE2551" s="109"/>
      <c r="AF2551" s="109"/>
      <c r="AG2551" s="109"/>
      <c r="AH2551" s="109"/>
      <c r="AI2551" s="109"/>
      <c r="AJ2551" s="109"/>
      <c r="AK2551" s="109"/>
      <c r="AL2551" s="109"/>
      <c r="AM2551" s="109"/>
      <c r="AN2551" s="109"/>
      <c r="AO2551" s="109"/>
      <c r="AP2551" s="109"/>
      <c r="AQ2551" s="109"/>
      <c r="AR2551" s="109"/>
      <c r="AS2551" s="109"/>
    </row>
    <row r="2552" spans="1:45" ht="12.6" customHeight="1" x14ac:dyDescent="0.3">
      <c r="A2552" s="78"/>
      <c r="B2552" s="78"/>
      <c r="C2552" s="78"/>
      <c r="D2552" s="78"/>
      <c r="E2552" s="78"/>
      <c r="F2552" s="78"/>
      <c r="Z2552" s="109"/>
      <c r="AA2552" s="109"/>
      <c r="AB2552" s="109"/>
      <c r="AC2552" s="109"/>
      <c r="AD2552" s="109"/>
      <c r="AE2552" s="109"/>
      <c r="AF2552" s="109"/>
      <c r="AG2552" s="109"/>
      <c r="AH2552" s="109"/>
      <c r="AI2552" s="109"/>
      <c r="AJ2552" s="109"/>
      <c r="AK2552" s="109"/>
      <c r="AL2552" s="109"/>
      <c r="AM2552" s="109"/>
      <c r="AN2552" s="109"/>
      <c r="AO2552" s="109"/>
      <c r="AP2552" s="109"/>
      <c r="AQ2552" s="109"/>
      <c r="AR2552" s="109"/>
      <c r="AS2552" s="109"/>
    </row>
    <row r="2553" spans="1:45" ht="12.6" customHeight="1" x14ac:dyDescent="0.3">
      <c r="A2553" s="78"/>
      <c r="B2553" s="78"/>
      <c r="C2553" s="78"/>
      <c r="D2553" s="78"/>
      <c r="E2553" s="78"/>
      <c r="F2553" s="78"/>
      <c r="Z2553" s="109"/>
      <c r="AA2553" s="109"/>
      <c r="AB2553" s="109"/>
      <c r="AC2553" s="109"/>
      <c r="AD2553" s="109"/>
      <c r="AE2553" s="109"/>
      <c r="AF2553" s="109"/>
      <c r="AG2553" s="109"/>
      <c r="AH2553" s="109"/>
      <c r="AI2553" s="109"/>
      <c r="AJ2553" s="109"/>
      <c r="AK2553" s="109"/>
      <c r="AL2553" s="109"/>
      <c r="AM2553" s="109"/>
      <c r="AN2553" s="109"/>
      <c r="AO2553" s="109"/>
      <c r="AP2553" s="109"/>
      <c r="AQ2553" s="109"/>
      <c r="AR2553" s="109"/>
      <c r="AS2553" s="109"/>
    </row>
    <row r="2554" spans="1:45" ht="12.6" customHeight="1" x14ac:dyDescent="0.3">
      <c r="A2554" s="78"/>
      <c r="B2554" s="78"/>
      <c r="C2554" s="78"/>
      <c r="D2554" s="78"/>
      <c r="E2554" s="78"/>
      <c r="F2554" s="78"/>
      <c r="Z2554" s="109"/>
      <c r="AA2554" s="109"/>
      <c r="AB2554" s="109"/>
      <c r="AC2554" s="109"/>
      <c r="AD2554" s="109"/>
      <c r="AE2554" s="109"/>
      <c r="AF2554" s="109"/>
      <c r="AG2554" s="109"/>
      <c r="AH2554" s="109"/>
      <c r="AI2554" s="109"/>
      <c r="AJ2554" s="109"/>
      <c r="AK2554" s="109"/>
      <c r="AL2554" s="109"/>
      <c r="AM2554" s="109"/>
      <c r="AN2554" s="109"/>
      <c r="AO2554" s="109"/>
      <c r="AP2554" s="109"/>
      <c r="AQ2554" s="109"/>
      <c r="AR2554" s="109"/>
      <c r="AS2554" s="109"/>
    </row>
    <row r="2555" spans="1:45" ht="12.6" customHeight="1" x14ac:dyDescent="0.3">
      <c r="A2555" s="78"/>
      <c r="B2555" s="78"/>
      <c r="C2555" s="78"/>
      <c r="D2555" s="78"/>
      <c r="E2555" s="78"/>
      <c r="F2555" s="78"/>
      <c r="Z2555" s="109"/>
      <c r="AA2555" s="109"/>
      <c r="AB2555" s="109"/>
      <c r="AC2555" s="109"/>
      <c r="AD2555" s="109"/>
      <c r="AE2555" s="109"/>
      <c r="AF2555" s="109"/>
      <c r="AG2555" s="109"/>
      <c r="AH2555" s="109"/>
      <c r="AI2555" s="109"/>
      <c r="AJ2555" s="109"/>
      <c r="AK2555" s="109"/>
      <c r="AL2555" s="109"/>
      <c r="AM2555" s="109"/>
      <c r="AN2555" s="109"/>
      <c r="AO2555" s="109"/>
      <c r="AP2555" s="109"/>
      <c r="AQ2555" s="109"/>
      <c r="AR2555" s="109"/>
      <c r="AS2555" s="109"/>
    </row>
    <row r="2556" spans="1:45" ht="12.6" customHeight="1" x14ac:dyDescent="0.3">
      <c r="A2556" s="78"/>
      <c r="B2556" s="78"/>
      <c r="C2556" s="78"/>
      <c r="D2556" s="78"/>
      <c r="E2556" s="78"/>
      <c r="F2556" s="78"/>
      <c r="Z2556" s="109"/>
      <c r="AA2556" s="109"/>
      <c r="AB2556" s="109"/>
      <c r="AC2556" s="109"/>
      <c r="AD2556" s="109"/>
      <c r="AE2556" s="109"/>
      <c r="AF2556" s="109"/>
      <c r="AG2556" s="109"/>
      <c r="AH2556" s="109"/>
      <c r="AI2556" s="109"/>
      <c r="AJ2556" s="109"/>
      <c r="AK2556" s="109"/>
      <c r="AL2556" s="109"/>
      <c r="AM2556" s="109"/>
      <c r="AN2556" s="109"/>
      <c r="AO2556" s="109"/>
      <c r="AP2556" s="109"/>
      <c r="AQ2556" s="109"/>
      <c r="AR2556" s="109"/>
      <c r="AS2556" s="109"/>
    </row>
    <row r="2557" spans="1:45" ht="12.6" customHeight="1" x14ac:dyDescent="0.3">
      <c r="A2557" s="78"/>
      <c r="B2557" s="78"/>
      <c r="C2557" s="78"/>
      <c r="D2557" s="78"/>
      <c r="E2557" s="78"/>
      <c r="F2557" s="78"/>
      <c r="Z2557" s="109"/>
      <c r="AA2557" s="109"/>
      <c r="AB2557" s="109"/>
      <c r="AC2557" s="109"/>
      <c r="AD2557" s="109"/>
      <c r="AE2557" s="109"/>
      <c r="AF2557" s="109"/>
      <c r="AG2557" s="109"/>
      <c r="AH2557" s="109"/>
      <c r="AI2557" s="109"/>
      <c r="AJ2557" s="109"/>
      <c r="AK2557" s="109"/>
      <c r="AL2557" s="109"/>
      <c r="AM2557" s="109"/>
      <c r="AN2557" s="109"/>
      <c r="AO2557" s="109"/>
      <c r="AP2557" s="109"/>
      <c r="AQ2557" s="109"/>
      <c r="AR2557" s="109"/>
      <c r="AS2557" s="109"/>
    </row>
    <row r="2558" spans="1:45" ht="12.6" customHeight="1" x14ac:dyDescent="0.3">
      <c r="A2558" s="58"/>
      <c r="B2558" s="58"/>
      <c r="C2558" s="58"/>
      <c r="D2558" s="58"/>
      <c r="E2558" s="58"/>
      <c r="F2558" s="58"/>
      <c r="Z2558" s="109"/>
      <c r="AA2558" s="109"/>
      <c r="AB2558" s="109"/>
      <c r="AC2558" s="109"/>
      <c r="AD2558" s="109"/>
      <c r="AE2558" s="109"/>
      <c r="AF2558" s="109"/>
      <c r="AG2558" s="109"/>
      <c r="AH2558" s="109"/>
      <c r="AI2558" s="109"/>
      <c r="AJ2558" s="109"/>
      <c r="AK2558" s="109"/>
      <c r="AL2558" s="109"/>
      <c r="AM2558" s="109"/>
      <c r="AN2558" s="109"/>
      <c r="AO2558" s="109"/>
      <c r="AP2558" s="109"/>
      <c r="AQ2558" s="109"/>
      <c r="AR2558" s="109"/>
      <c r="AS2558" s="109"/>
    </row>
    <row r="2559" spans="1:45" ht="12.6" customHeight="1" x14ac:dyDescent="0.3">
      <c r="A2559" s="159" t="s">
        <v>1401</v>
      </c>
      <c r="B2559" s="152"/>
      <c r="C2559" s="55">
        <f>E2559+D2559+F2559</f>
        <v>7745</v>
      </c>
      <c r="D2559" s="54">
        <f>ROUNDDOWN(SUMIF(N2457:N2534,M2559,D2457:D2534),0)</f>
        <v>4853</v>
      </c>
      <c r="E2559" s="63">
        <f>ROUNDDOWN(SUMIF(N2457:N2534,M2559,E2457:E2534),0)</f>
        <v>1054</v>
      </c>
      <c r="F2559" s="55">
        <f>ROUNDDOWN(SUMIF(N2457:N2534,M2559,F2457:F2534),0)</f>
        <v>1838</v>
      </c>
      <c r="M2559" s="20" t="s">
        <v>1128</v>
      </c>
      <c r="Z2559" s="109"/>
      <c r="AA2559" s="109"/>
      <c r="AB2559" s="109"/>
      <c r="AC2559" s="109"/>
      <c r="AD2559" s="109"/>
      <c r="AE2559" s="109"/>
      <c r="AF2559" s="109"/>
      <c r="AG2559" s="109"/>
      <c r="AH2559" s="109"/>
      <c r="AI2559" s="109"/>
      <c r="AJ2559" s="109"/>
      <c r="AK2559" s="109"/>
      <c r="AL2559" s="109"/>
      <c r="AM2559" s="109"/>
      <c r="AN2559" s="109"/>
      <c r="AO2559" s="109"/>
      <c r="AP2559" s="109"/>
      <c r="AQ2559" s="109"/>
      <c r="AR2559" s="109"/>
      <c r="AS2559" s="109"/>
    </row>
    <row r="2560" spans="1:45" ht="12.6" customHeight="1" x14ac:dyDescent="0.3">
      <c r="A2560" s="95" t="s">
        <v>312</v>
      </c>
      <c r="B2560" s="96" t="s">
        <v>312</v>
      </c>
      <c r="C2560" s="158">
        <f>C2699</f>
        <v>8750</v>
      </c>
      <c r="D2560" s="158">
        <f>D2699</f>
        <v>5514</v>
      </c>
      <c r="E2560" s="158">
        <f>E2699</f>
        <v>1176</v>
      </c>
      <c r="F2560" s="158">
        <f>F2699</f>
        <v>2060</v>
      </c>
      <c r="G2560" s="36" t="str">
        <f>HYPERLINK("#G"&amp;ROW(G2668),"_x0005_`BDCOD|D02257_x0007_`POSS|"&amp;ROW(G2562)&amp;"_x0007_`POSE|"&amp;ROW(G2668)&amp;"_x0007_`")</f>
        <v>_x0005_`BDCOD|D02257_x0007_`POSS|2562_x0007_`POSE|2668_x0007_`</v>
      </c>
      <c r="Z2560" s="109"/>
      <c r="AA2560" s="109"/>
      <c r="AB2560" s="109"/>
      <c r="AC2560" s="109"/>
      <c r="AD2560" s="109"/>
      <c r="AE2560" s="109"/>
      <c r="AF2560" s="109"/>
      <c r="AG2560" s="109"/>
      <c r="AH2560" s="109"/>
      <c r="AI2560" s="109"/>
      <c r="AJ2560" s="109"/>
      <c r="AK2560" s="109"/>
      <c r="AL2560" s="109"/>
      <c r="AM2560" s="109"/>
      <c r="AN2560" s="109"/>
      <c r="AO2560" s="109"/>
      <c r="AP2560" s="109"/>
      <c r="AQ2560" s="109"/>
      <c r="AR2560" s="109"/>
      <c r="AS2560" s="109"/>
    </row>
    <row r="2561" spans="1:45" ht="12.6" customHeight="1" x14ac:dyDescent="0.3">
      <c r="A2561" s="84"/>
      <c r="B2561" s="96" t="s">
        <v>311</v>
      </c>
      <c r="C2561" s="141"/>
      <c r="D2561" s="141"/>
      <c r="E2561" s="141"/>
      <c r="F2561" s="141"/>
      <c r="M2561" s="20" t="s">
        <v>310</v>
      </c>
      <c r="Z2561" s="109"/>
      <c r="AA2561" s="109"/>
      <c r="AB2561" s="109"/>
      <c r="AC2561" s="109"/>
      <c r="AD2561" s="109"/>
      <c r="AE2561" s="109"/>
      <c r="AF2561" s="109"/>
      <c r="AG2561" s="109"/>
      <c r="AH2561" s="109"/>
      <c r="AI2561" s="109"/>
      <c r="AJ2561" s="109"/>
      <c r="AK2561" s="109"/>
      <c r="AL2561" s="109"/>
      <c r="AM2561" s="109"/>
      <c r="AN2561" s="109"/>
      <c r="AO2561" s="109"/>
      <c r="AP2561" s="109"/>
      <c r="AQ2561" s="109"/>
      <c r="AR2561" s="109"/>
      <c r="AS2561" s="109"/>
    </row>
    <row r="2562" spans="1:45" ht="12.6" customHeight="1" x14ac:dyDescent="0.3">
      <c r="A2562" s="68"/>
      <c r="B2562" s="77" t="s">
        <v>1905</v>
      </c>
      <c r="C2562" s="98"/>
      <c r="D2562" s="98"/>
      <c r="E2562" s="98"/>
      <c r="F2562" s="98"/>
      <c r="G2562" s="16" t="s">
        <v>1904</v>
      </c>
      <c r="Z2562" s="109"/>
      <c r="AA2562" s="109"/>
      <c r="AB2562" s="109"/>
      <c r="AC2562" s="109"/>
      <c r="AD2562" s="109"/>
      <c r="AE2562" s="109"/>
      <c r="AF2562" s="109"/>
      <c r="AG2562" s="109"/>
      <c r="AH2562" s="109"/>
      <c r="AI2562" s="109"/>
      <c r="AJ2562" s="109"/>
      <c r="AK2562" s="109"/>
      <c r="AL2562" s="109"/>
      <c r="AM2562" s="109"/>
      <c r="AN2562" s="109"/>
      <c r="AO2562" s="109"/>
      <c r="AP2562" s="109"/>
      <c r="AQ2562" s="109"/>
      <c r="AR2562" s="109"/>
      <c r="AS2562" s="109"/>
    </row>
    <row r="2563" spans="1:45" ht="12.6" customHeight="1" x14ac:dyDescent="0.3">
      <c r="A2563" s="78"/>
      <c r="B2563" s="78"/>
      <c r="C2563" s="78"/>
      <c r="D2563" s="78"/>
      <c r="E2563" s="78"/>
      <c r="F2563" s="78"/>
      <c r="G2563" s="16" t="s">
        <v>1317</v>
      </c>
      <c r="Z2563" s="109"/>
      <c r="AA2563" s="109"/>
      <c r="AB2563" s="109"/>
      <c r="AC2563" s="109"/>
      <c r="AD2563" s="109"/>
      <c r="AE2563" s="109"/>
      <c r="AF2563" s="109"/>
      <c r="AG2563" s="109"/>
      <c r="AH2563" s="109"/>
      <c r="AI2563" s="109"/>
      <c r="AJ2563" s="109"/>
      <c r="AK2563" s="109"/>
      <c r="AL2563" s="109"/>
      <c r="AM2563" s="109"/>
      <c r="AN2563" s="109"/>
      <c r="AO2563" s="109"/>
      <c r="AP2563" s="109"/>
      <c r="AQ2563" s="109"/>
      <c r="AR2563" s="109"/>
      <c r="AS2563" s="109"/>
    </row>
    <row r="2564" spans="1:45" ht="12.6" customHeight="1" x14ac:dyDescent="0.3">
      <c r="A2564" s="68"/>
      <c r="B2564" s="77" t="s">
        <v>1907</v>
      </c>
      <c r="C2564" s="78"/>
      <c r="D2564" s="78"/>
      <c r="E2564" s="78"/>
      <c r="F2564" s="78"/>
      <c r="G2564" s="16" t="s">
        <v>1906</v>
      </c>
      <c r="Z2564" s="109"/>
      <c r="AA2564" s="109"/>
      <c r="AB2564" s="109"/>
      <c r="AC2564" s="109"/>
      <c r="AD2564" s="109"/>
      <c r="AE2564" s="109"/>
      <c r="AF2564" s="109"/>
      <c r="AG2564" s="109"/>
      <c r="AH2564" s="109"/>
      <c r="AI2564" s="109"/>
      <c r="AJ2564" s="109"/>
      <c r="AK2564" s="109"/>
      <c r="AL2564" s="109"/>
      <c r="AM2564" s="109"/>
      <c r="AN2564" s="109"/>
      <c r="AO2564" s="109"/>
      <c r="AP2564" s="109"/>
      <c r="AQ2564" s="109"/>
      <c r="AR2564" s="109"/>
      <c r="AS2564" s="109"/>
    </row>
    <row r="2565" spans="1:45" ht="12.6" customHeight="1" x14ac:dyDescent="0.3">
      <c r="A2565" s="78"/>
      <c r="B2565" s="78"/>
      <c r="C2565" s="78"/>
      <c r="D2565" s="78"/>
      <c r="E2565" s="78"/>
      <c r="F2565" s="78"/>
      <c r="G2565" s="16" t="s">
        <v>1317</v>
      </c>
      <c r="Z2565" s="109"/>
      <c r="AA2565" s="109"/>
      <c r="AB2565" s="109"/>
      <c r="AC2565" s="109"/>
      <c r="AD2565" s="109"/>
      <c r="AE2565" s="109"/>
      <c r="AF2565" s="109"/>
      <c r="AG2565" s="109"/>
      <c r="AH2565" s="109"/>
      <c r="AI2565" s="109"/>
      <c r="AJ2565" s="109"/>
      <c r="AK2565" s="109"/>
      <c r="AL2565" s="109"/>
      <c r="AM2565" s="109"/>
      <c r="AN2565" s="109"/>
      <c r="AO2565" s="109"/>
      <c r="AP2565" s="109"/>
      <c r="AQ2565" s="109"/>
      <c r="AR2565" s="109"/>
      <c r="AS2565" s="109"/>
    </row>
    <row r="2566" spans="1:45" ht="12.6" customHeight="1" x14ac:dyDescent="0.3">
      <c r="A2566" s="68"/>
      <c r="B2566" s="97" t="str">
        <f>" 운반거리:   L = "&amp;Z2566&amp;" m "</f>
        <v xml:space="preserve"> 운반거리:   L = 0.318 m </v>
      </c>
      <c r="C2566" s="78"/>
      <c r="D2566" s="78"/>
      <c r="E2566" s="78"/>
      <c r="F2566" s="78"/>
      <c r="G2566" s="16" t="s">
        <v>2101</v>
      </c>
      <c r="Z2566" s="110">
        <v>0.318</v>
      </c>
      <c r="AA2566" s="20" t="s">
        <v>1326</v>
      </c>
      <c r="AB2566" s="112">
        <f>Z2566</f>
        <v>0.318</v>
      </c>
      <c r="AC2566" s="109"/>
      <c r="AD2566" s="109"/>
      <c r="AE2566" s="109"/>
      <c r="AF2566" s="109"/>
      <c r="AG2566" s="109"/>
      <c r="AH2566" s="109"/>
      <c r="AI2566" s="109"/>
      <c r="AJ2566" s="109"/>
      <c r="AK2566" s="109"/>
      <c r="AL2566" s="109"/>
      <c r="AM2566" s="109"/>
      <c r="AN2566" s="109"/>
      <c r="AO2566" s="109"/>
      <c r="AP2566" s="109"/>
      <c r="AQ2566" s="109"/>
      <c r="AR2566" s="109"/>
      <c r="AS2566" s="109"/>
    </row>
    <row r="2567" spans="1:45" ht="12.6" customHeight="1" x14ac:dyDescent="0.3">
      <c r="A2567" s="78"/>
      <c r="B2567" s="78"/>
      <c r="C2567" s="78"/>
      <c r="D2567" s="78"/>
      <c r="E2567" s="78"/>
      <c r="F2567" s="78"/>
      <c r="G2567" s="16" t="s">
        <v>1317</v>
      </c>
      <c r="Z2567" s="109"/>
      <c r="AA2567" s="109"/>
      <c r="AB2567" s="109"/>
      <c r="AC2567" s="109"/>
      <c r="AD2567" s="109"/>
      <c r="AE2567" s="109"/>
      <c r="AF2567" s="109"/>
      <c r="AG2567" s="109"/>
      <c r="AH2567" s="109"/>
      <c r="AI2567" s="109"/>
      <c r="AJ2567" s="109"/>
      <c r="AK2567" s="109"/>
      <c r="AL2567" s="109"/>
      <c r="AM2567" s="109"/>
      <c r="AN2567" s="109"/>
      <c r="AO2567" s="109"/>
      <c r="AP2567" s="109"/>
      <c r="AQ2567" s="109"/>
      <c r="AR2567" s="109"/>
      <c r="AS2567" s="109"/>
    </row>
    <row r="2568" spans="1:45" ht="12.6" customHeight="1" x14ac:dyDescent="0.3">
      <c r="A2568" s="68"/>
      <c r="B2568" s="77" t="s">
        <v>1910</v>
      </c>
      <c r="C2568" s="78"/>
      <c r="D2568" s="78"/>
      <c r="E2568" s="78"/>
      <c r="F2568" s="78"/>
      <c r="G2568" s="16" t="s">
        <v>1909</v>
      </c>
      <c r="Z2568" s="109"/>
      <c r="AA2568" s="109"/>
      <c r="AB2568" s="109"/>
      <c r="AC2568" s="109"/>
      <c r="AD2568" s="109"/>
      <c r="AE2568" s="109"/>
      <c r="AF2568" s="109"/>
      <c r="AG2568" s="109"/>
      <c r="AH2568" s="109"/>
      <c r="AI2568" s="109"/>
      <c r="AJ2568" s="109"/>
      <c r="AK2568" s="109"/>
      <c r="AL2568" s="109"/>
      <c r="AM2568" s="109"/>
      <c r="AN2568" s="109"/>
      <c r="AO2568" s="109"/>
      <c r="AP2568" s="109"/>
      <c r="AQ2568" s="109"/>
      <c r="AR2568" s="109"/>
      <c r="AS2568" s="109"/>
    </row>
    <row r="2569" spans="1:45" ht="12.6" customHeight="1" x14ac:dyDescent="0.3">
      <c r="A2569" s="78"/>
      <c r="B2569" s="78"/>
      <c r="C2569" s="78"/>
      <c r="D2569" s="78"/>
      <c r="E2569" s="78"/>
      <c r="F2569" s="78"/>
      <c r="G2569" s="16" t="s">
        <v>1317</v>
      </c>
      <c r="Z2569" s="109"/>
      <c r="AA2569" s="109"/>
      <c r="AB2569" s="109"/>
      <c r="AC2569" s="109"/>
      <c r="AD2569" s="109"/>
      <c r="AE2569" s="109"/>
      <c r="AF2569" s="109"/>
      <c r="AG2569" s="109"/>
      <c r="AH2569" s="109"/>
      <c r="AI2569" s="109"/>
      <c r="AJ2569" s="109"/>
      <c r="AK2569" s="109"/>
      <c r="AL2569" s="109"/>
      <c r="AM2569" s="109"/>
      <c r="AN2569" s="109"/>
      <c r="AO2569" s="109"/>
      <c r="AP2569" s="109"/>
      <c r="AQ2569" s="109"/>
      <c r="AR2569" s="109"/>
      <c r="AS2569" s="109"/>
    </row>
    <row r="2570" spans="1:45" ht="12.6" customHeight="1" x14ac:dyDescent="0.3">
      <c r="A2570" s="68"/>
      <c r="B2570" s="97" t="str">
        <f>"q (버킷용량) = "&amp;Z2570&amp;" , k (버킷계수) = "&amp;AD2570&amp;" , E (작업효율) = "&amp;AH2570&amp;""</f>
        <v>q (버킷용량) = 0.7 , k (버킷계수) = 0.55 , E (작업효율) = 0.45</v>
      </c>
      <c r="C2570" s="78"/>
      <c r="D2570" s="78"/>
      <c r="E2570" s="78"/>
      <c r="F2570" s="78"/>
      <c r="G2570" s="16" t="s">
        <v>1940</v>
      </c>
      <c r="Z2570" s="110">
        <v>0.7</v>
      </c>
      <c r="AA2570" s="20" t="s">
        <v>1326</v>
      </c>
      <c r="AB2570" s="112">
        <f>Z2570</f>
        <v>0.7</v>
      </c>
      <c r="AC2570" s="20" t="s">
        <v>1385</v>
      </c>
      <c r="AD2570" s="110">
        <v>0.55000000000000004</v>
      </c>
      <c r="AE2570" s="20" t="s">
        <v>1326</v>
      </c>
      <c r="AF2570" s="112">
        <f>AD2570</f>
        <v>0.55000000000000004</v>
      </c>
      <c r="AG2570" s="20" t="s">
        <v>1385</v>
      </c>
      <c r="AH2570" s="110">
        <v>0.45</v>
      </c>
      <c r="AI2570" s="20" t="s">
        <v>1326</v>
      </c>
      <c r="AJ2570" s="112">
        <f>AH2570</f>
        <v>0.45</v>
      </c>
      <c r="AK2570" s="20" t="s">
        <v>1385</v>
      </c>
      <c r="AL2570" s="109"/>
      <c r="AM2570" s="109"/>
      <c r="AN2570" s="109"/>
      <c r="AO2570" s="109"/>
      <c r="AP2570" s="109"/>
      <c r="AQ2570" s="109"/>
      <c r="AR2570" s="109"/>
      <c r="AS2570" s="109"/>
    </row>
    <row r="2571" spans="1:45" ht="12.6" customHeight="1" x14ac:dyDescent="0.3">
      <c r="A2571" s="78"/>
      <c r="B2571" s="78"/>
      <c r="C2571" s="78"/>
      <c r="D2571" s="78"/>
      <c r="E2571" s="78"/>
      <c r="F2571" s="78"/>
      <c r="G2571" s="16" t="s">
        <v>1317</v>
      </c>
      <c r="Z2571" s="109"/>
      <c r="AA2571" s="109"/>
      <c r="AB2571" s="109"/>
      <c r="AC2571" s="109"/>
      <c r="AD2571" s="109"/>
      <c r="AE2571" s="109"/>
      <c r="AF2571" s="109"/>
      <c r="AG2571" s="109"/>
      <c r="AH2571" s="109"/>
      <c r="AI2571" s="109"/>
      <c r="AJ2571" s="109"/>
      <c r="AK2571" s="109"/>
      <c r="AL2571" s="109"/>
      <c r="AM2571" s="109"/>
      <c r="AN2571" s="109"/>
      <c r="AO2571" s="109"/>
      <c r="AP2571" s="109"/>
      <c r="AQ2571" s="109"/>
      <c r="AR2571" s="109"/>
      <c r="AS2571" s="109"/>
    </row>
    <row r="2572" spans="1:45" ht="12.6" customHeight="1" x14ac:dyDescent="0.3">
      <c r="A2572" s="68"/>
      <c r="B2572" s="97" t="str">
        <f>"f (체적환산계수) = "&amp;Z2572&amp;"/"&amp;AB2572&amp;" = "&amp;AD2572&amp;""</f>
        <v>f (체적환산계수) = 1.15/1.4 = 0.82</v>
      </c>
      <c r="C2572" s="78"/>
      <c r="D2572" s="78"/>
      <c r="E2572" s="78"/>
      <c r="F2572" s="78"/>
      <c r="G2572" s="16" t="s">
        <v>1941</v>
      </c>
      <c r="Z2572" s="110">
        <v>1.1499999999999999</v>
      </c>
      <c r="AA2572" s="20" t="s">
        <v>1387</v>
      </c>
      <c r="AB2572" s="110">
        <v>1.4</v>
      </c>
      <c r="AC2572" s="20" t="s">
        <v>1326</v>
      </c>
      <c r="AD2572" s="112" t="str">
        <f>TEXT(ROUND(Z2572/AB2572,2),"0.00")</f>
        <v>0.82</v>
      </c>
      <c r="AE2572" s="109"/>
      <c r="AF2572" s="109"/>
      <c r="AG2572" s="109"/>
      <c r="AH2572" s="109"/>
      <c r="AI2572" s="109"/>
      <c r="AJ2572" s="109"/>
      <c r="AK2572" s="109"/>
      <c r="AL2572" s="109"/>
      <c r="AM2572" s="109"/>
      <c r="AN2572" s="109"/>
      <c r="AO2572" s="109"/>
      <c r="AP2572" s="109"/>
      <c r="AQ2572" s="109"/>
      <c r="AR2572" s="109"/>
      <c r="AS2572" s="109"/>
    </row>
    <row r="2573" spans="1:45" ht="12.6" customHeight="1" x14ac:dyDescent="0.3">
      <c r="A2573" s="78"/>
      <c r="B2573" s="78"/>
      <c r="C2573" s="78"/>
      <c r="D2573" s="78"/>
      <c r="E2573" s="78"/>
      <c r="F2573" s="78"/>
      <c r="G2573" s="16" t="s">
        <v>1317</v>
      </c>
      <c r="Z2573" s="109"/>
      <c r="AA2573" s="109"/>
      <c r="AB2573" s="109"/>
      <c r="AC2573" s="109"/>
      <c r="AD2573" s="109"/>
      <c r="AE2573" s="109"/>
      <c r="AF2573" s="109"/>
      <c r="AG2573" s="109"/>
      <c r="AH2573" s="109"/>
      <c r="AI2573" s="109"/>
      <c r="AJ2573" s="109"/>
      <c r="AK2573" s="109"/>
      <c r="AL2573" s="109"/>
      <c r="AM2573" s="109"/>
      <c r="AN2573" s="109"/>
      <c r="AO2573" s="109"/>
      <c r="AP2573" s="109"/>
      <c r="AQ2573" s="109"/>
      <c r="AR2573" s="109"/>
      <c r="AS2573" s="109"/>
    </row>
    <row r="2574" spans="1:45" ht="12.6" customHeight="1" x14ac:dyDescent="0.3">
      <c r="A2574" s="68"/>
      <c r="B2574" s="97" t="str">
        <f>"Cm (1회 사이클 시간(초)) = "&amp;Z2574&amp;"  sec(135) "</f>
        <v xml:space="preserve">Cm (1회 사이클 시간(초)) = 20  sec(135) </v>
      </c>
      <c r="C2574" s="78"/>
      <c r="D2574" s="78"/>
      <c r="E2574" s="78"/>
      <c r="F2574" s="78"/>
      <c r="G2574" s="16" t="s">
        <v>1942</v>
      </c>
      <c r="Z2574" s="111">
        <v>20</v>
      </c>
      <c r="AA2574" s="20" t="s">
        <v>1326</v>
      </c>
      <c r="AB2574" s="112">
        <f>Z2574</f>
        <v>20</v>
      </c>
      <c r="AC2574" s="109"/>
      <c r="AD2574" s="109"/>
      <c r="AE2574" s="109"/>
      <c r="AF2574" s="109"/>
      <c r="AG2574" s="109"/>
      <c r="AH2574" s="109"/>
      <c r="AI2574" s="109"/>
      <c r="AJ2574" s="109"/>
      <c r="AK2574" s="109"/>
      <c r="AL2574" s="109"/>
      <c r="AM2574" s="109"/>
      <c r="AN2574" s="109"/>
      <c r="AO2574" s="109"/>
      <c r="AP2574" s="109"/>
      <c r="AQ2574" s="109"/>
      <c r="AR2574" s="109"/>
      <c r="AS2574" s="109"/>
    </row>
    <row r="2575" spans="1:45" ht="12.6" customHeight="1" x14ac:dyDescent="0.3">
      <c r="A2575" s="78"/>
      <c r="B2575" s="78"/>
      <c r="C2575" s="78"/>
      <c r="D2575" s="78"/>
      <c r="E2575" s="78"/>
      <c r="F2575" s="78"/>
      <c r="G2575" s="16" t="s">
        <v>1317</v>
      </c>
      <c r="Z2575" s="109"/>
      <c r="AA2575" s="109"/>
      <c r="AB2575" s="109"/>
      <c r="AC2575" s="109"/>
      <c r="AD2575" s="109"/>
      <c r="AE2575" s="109"/>
      <c r="AF2575" s="109"/>
      <c r="AG2575" s="109"/>
      <c r="AH2575" s="109"/>
      <c r="AI2575" s="109"/>
      <c r="AJ2575" s="109"/>
      <c r="AK2575" s="109"/>
      <c r="AL2575" s="109"/>
      <c r="AM2575" s="109"/>
      <c r="AN2575" s="109"/>
      <c r="AO2575" s="109"/>
      <c r="AP2575" s="109"/>
      <c r="AQ2575" s="109"/>
      <c r="AR2575" s="109"/>
      <c r="AS2575" s="109"/>
    </row>
    <row r="2576" spans="1:45" ht="12.6" customHeight="1" x14ac:dyDescent="0.3">
      <c r="A2576" s="68"/>
      <c r="B2576" s="97" t="str">
        <f>"Q (시간당 작업량) = "&amp;Z2576&amp;"*q*k*E*f/Cm = "&amp;AL2576&amp;" m3/hr "</f>
        <v xml:space="preserve">Q (시간당 작업량) = 3600*q*k*E*f/Cm = 25.57 m3/hr </v>
      </c>
      <c r="C2576" s="78"/>
      <c r="D2576" s="78"/>
      <c r="E2576" s="78"/>
      <c r="F2576" s="78"/>
      <c r="G2576" s="16" t="s">
        <v>1936</v>
      </c>
      <c r="Z2576" s="111">
        <v>3600</v>
      </c>
      <c r="AA2576" s="20" t="s">
        <v>1390</v>
      </c>
      <c r="AB2576" s="112">
        <f>AB2570</f>
        <v>0.7</v>
      </c>
      <c r="AC2576" s="20" t="s">
        <v>1390</v>
      </c>
      <c r="AD2576" s="112">
        <f>AF2570</f>
        <v>0.55000000000000004</v>
      </c>
      <c r="AE2576" s="20" t="s">
        <v>1390</v>
      </c>
      <c r="AF2576" s="112">
        <f>AJ2570</f>
        <v>0.45</v>
      </c>
      <c r="AG2576" s="20" t="s">
        <v>1390</v>
      </c>
      <c r="AH2576" s="112" t="str">
        <f>AD2572</f>
        <v>0.82</v>
      </c>
      <c r="AI2576" s="20" t="s">
        <v>1387</v>
      </c>
      <c r="AJ2576" s="112">
        <f>AB2574</f>
        <v>20</v>
      </c>
      <c r="AK2576" s="20" t="s">
        <v>1326</v>
      </c>
      <c r="AL2576" s="112" t="str">
        <f>TEXT(ROUND(Z2576*AB2570*AF2570*AJ2570*AD2572/AB2574,2),"0.00")</f>
        <v>25.57</v>
      </c>
      <c r="AM2576" s="109"/>
      <c r="AN2576" s="109"/>
      <c r="AO2576" s="109"/>
      <c r="AP2576" s="109"/>
      <c r="AQ2576" s="109"/>
      <c r="AR2576" s="109"/>
      <c r="AS2576" s="109"/>
    </row>
    <row r="2577" spans="1:45" ht="12.6" customHeight="1" x14ac:dyDescent="0.3">
      <c r="A2577" s="78"/>
      <c r="B2577" s="78"/>
      <c r="C2577" s="78"/>
      <c r="D2577" s="78"/>
      <c r="E2577" s="78"/>
      <c r="F2577" s="78"/>
      <c r="G2577" s="16" t="s">
        <v>1317</v>
      </c>
      <c r="Z2577" s="109"/>
      <c r="AA2577" s="109"/>
      <c r="AB2577" s="109"/>
      <c r="AC2577" s="109"/>
      <c r="AD2577" s="109"/>
      <c r="AE2577" s="109"/>
      <c r="AF2577" s="109"/>
      <c r="AG2577" s="109"/>
      <c r="AH2577" s="109"/>
      <c r="AI2577" s="109"/>
      <c r="AJ2577" s="109"/>
      <c r="AK2577" s="109"/>
      <c r="AL2577" s="109"/>
      <c r="AM2577" s="109"/>
      <c r="AN2577" s="109"/>
      <c r="AO2577" s="109"/>
      <c r="AP2577" s="109"/>
      <c r="AQ2577" s="109"/>
      <c r="AR2577" s="109"/>
      <c r="AS2577" s="109"/>
    </row>
    <row r="2578" spans="1:45" ht="12.6" customHeight="1" x14ac:dyDescent="0.3">
      <c r="A2578" s="68" t="s">
        <v>1441</v>
      </c>
      <c r="B2578" s="97" t="str">
        <f>" 노 무 비  :  "&amp;TEXT(I2578,"#,##0"&amp;IF(I2578&lt;&gt;INT(I2578),".###",""))&amp;" / Q  = "&amp;TEXT(C2578,"#,##0.0")&amp;""</f>
        <v xml:space="preserve"> 노 무 비  :  55,700 / Q  = 2,178.3</v>
      </c>
      <c r="C2578" s="99">
        <f>E2578+D2578+F2578</f>
        <v>2178.3000000000002</v>
      </c>
      <c r="D2578" s="99">
        <f>IF(H2578=0,0,ROUNDDOWN(J2578*H2578,1))</f>
        <v>2178.3000000000002</v>
      </c>
      <c r="E2578" s="99">
        <f>IF(H2578=0,0,ROUNDDOWN(K2578*H2578,1))</f>
        <v>0</v>
      </c>
      <c r="F2578" s="99">
        <f>IF(H2578=0,0,ROUNDDOWN(L2578*H2578,1))</f>
        <v>0</v>
      </c>
      <c r="G2578" s="16" t="s">
        <v>1943</v>
      </c>
      <c r="H2578" s="105">
        <f>AC2578</f>
        <v>3.9108330074305829E-2</v>
      </c>
      <c r="I2578" s="106">
        <f>K2578+J2578+L2578</f>
        <v>55700</v>
      </c>
      <c r="J2578" s="39">
        <f>중기목록표!F9</f>
        <v>55700</v>
      </c>
      <c r="M2578" s="20" t="s">
        <v>1442</v>
      </c>
      <c r="N2578" s="20" t="s">
        <v>1332</v>
      </c>
      <c r="X2578" s="108" t="str">
        <f>중기목록표!B9&amp;" / "&amp;중기목록표!C9</f>
        <v>굴삭기(0.7m3) / 0.7㎥,(암석)</v>
      </c>
      <c r="Y2578" s="19" t="str">
        <f ca="1">HYPERLINK("#"&amp;중기목록표!J2&amp;"!A"&amp;ROW(중기목록표!A9),"중기    6 →")</f>
        <v>중기    6 →</v>
      </c>
      <c r="Z2578" s="20" t="s">
        <v>1393</v>
      </c>
      <c r="AA2578" s="112" t="str">
        <f>AL2576</f>
        <v>25.57</v>
      </c>
      <c r="AB2578" s="20" t="s">
        <v>1326</v>
      </c>
      <c r="AC2578" s="113">
        <f>1/AL2576</f>
        <v>3.9108330074305829E-2</v>
      </c>
      <c r="AD2578" s="109"/>
      <c r="AE2578" s="109"/>
      <c r="AF2578" s="109"/>
      <c r="AG2578" s="109"/>
      <c r="AH2578" s="109"/>
      <c r="AI2578" s="109"/>
      <c r="AJ2578" s="109"/>
      <c r="AK2578" s="109"/>
      <c r="AL2578" s="109"/>
      <c r="AM2578" s="109"/>
      <c r="AN2578" s="109"/>
      <c r="AO2578" s="109"/>
      <c r="AP2578" s="109"/>
      <c r="AQ2578" s="109"/>
      <c r="AR2578" s="109"/>
      <c r="AS2578" s="109"/>
    </row>
    <row r="2579" spans="1:45" ht="12.6" customHeight="1" x14ac:dyDescent="0.3">
      <c r="A2579" s="78"/>
      <c r="B2579" s="78"/>
      <c r="C2579" s="78"/>
      <c r="D2579" s="78"/>
      <c r="E2579" s="78"/>
      <c r="F2579" s="78"/>
      <c r="G2579" s="16" t="s">
        <v>1317</v>
      </c>
      <c r="Z2579" s="109"/>
      <c r="AA2579" s="109"/>
      <c r="AB2579" s="109"/>
      <c r="AC2579" s="109"/>
      <c r="AD2579" s="109"/>
      <c r="AE2579" s="109"/>
      <c r="AF2579" s="109"/>
      <c r="AG2579" s="109"/>
      <c r="AH2579" s="109"/>
      <c r="AI2579" s="109"/>
      <c r="AJ2579" s="109"/>
      <c r="AK2579" s="109"/>
      <c r="AL2579" s="109"/>
      <c r="AM2579" s="109"/>
      <c r="AN2579" s="109"/>
      <c r="AO2579" s="109"/>
      <c r="AP2579" s="109"/>
      <c r="AQ2579" s="109"/>
      <c r="AR2579" s="109"/>
      <c r="AS2579" s="109"/>
    </row>
    <row r="2580" spans="1:45" ht="12.6" customHeight="1" x14ac:dyDescent="0.3">
      <c r="A2580" s="68" t="s">
        <v>1444</v>
      </c>
      <c r="B2580" s="97" t="str">
        <f>" 재 료 비  :  "&amp;TEXT(I2580,"#,##0"&amp;IF(I2580&lt;&gt;INT(I2580),".###",""))&amp;" / Q  = "&amp;TEXT(C2580,"#,##0.0")&amp;""</f>
        <v xml:space="preserve"> 재 료 비  :  18,001 / Q  = 703.9</v>
      </c>
      <c r="C2580" s="99">
        <f>E2580+D2580+F2580</f>
        <v>703.9</v>
      </c>
      <c r="D2580" s="99">
        <f>IF(H2580=0,0,ROUNDDOWN(J2580*H2580,1))</f>
        <v>0</v>
      </c>
      <c r="E2580" s="99">
        <f>IF(H2580=0,0,ROUNDDOWN(K2580*H2580,1))</f>
        <v>703.9</v>
      </c>
      <c r="F2580" s="99">
        <f>IF(H2580=0,0,ROUNDDOWN(L2580*H2580,1))</f>
        <v>0</v>
      </c>
      <c r="G2580" s="16" t="s">
        <v>1944</v>
      </c>
      <c r="H2580" s="105">
        <f>AC2580</f>
        <v>3.9108330074305829E-2</v>
      </c>
      <c r="I2580" s="106">
        <f>K2580+J2580+L2580</f>
        <v>18001</v>
      </c>
      <c r="K2580" s="39">
        <f>중기목록표!G9</f>
        <v>18001</v>
      </c>
      <c r="M2580" s="20" t="s">
        <v>1442</v>
      </c>
      <c r="N2580" s="20" t="s">
        <v>1332</v>
      </c>
      <c r="X2580" s="108" t="str">
        <f>중기목록표!B9&amp;" / "&amp;중기목록표!C9</f>
        <v>굴삭기(0.7m3) / 0.7㎥,(암석)</v>
      </c>
      <c r="Y2580" s="19" t="str">
        <f ca="1">HYPERLINK("#"&amp;중기목록표!J2&amp;"!A"&amp;ROW(중기목록표!A9),"중기    6 →")</f>
        <v>중기    6 →</v>
      </c>
      <c r="Z2580" s="20" t="s">
        <v>1393</v>
      </c>
      <c r="AA2580" s="112" t="str">
        <f>AL2576</f>
        <v>25.57</v>
      </c>
      <c r="AB2580" s="20" t="s">
        <v>1326</v>
      </c>
      <c r="AC2580" s="113">
        <f>1/AL2576</f>
        <v>3.9108330074305829E-2</v>
      </c>
      <c r="AD2580" s="109"/>
      <c r="AE2580" s="109"/>
      <c r="AF2580" s="109"/>
      <c r="AG2580" s="109"/>
      <c r="AH2580" s="109"/>
      <c r="AI2580" s="109"/>
      <c r="AJ2580" s="109"/>
      <c r="AK2580" s="109"/>
      <c r="AL2580" s="109"/>
      <c r="AM2580" s="109"/>
      <c r="AN2580" s="109"/>
      <c r="AO2580" s="109"/>
      <c r="AP2580" s="109"/>
      <c r="AQ2580" s="109"/>
      <c r="AR2580" s="109"/>
      <c r="AS2580" s="109"/>
    </row>
    <row r="2581" spans="1:45" ht="12.6" customHeight="1" x14ac:dyDescent="0.3">
      <c r="A2581" s="78"/>
      <c r="B2581" s="78"/>
      <c r="C2581" s="78"/>
      <c r="D2581" s="78"/>
      <c r="E2581" s="78"/>
      <c r="F2581" s="78"/>
      <c r="G2581" s="16" t="s">
        <v>1317</v>
      </c>
      <c r="Z2581" s="109"/>
      <c r="AA2581" s="109"/>
      <c r="AB2581" s="109"/>
      <c r="AC2581" s="109"/>
      <c r="AD2581" s="109"/>
      <c r="AE2581" s="109"/>
      <c r="AF2581" s="109"/>
      <c r="AG2581" s="109"/>
      <c r="AH2581" s="109"/>
      <c r="AI2581" s="109"/>
      <c r="AJ2581" s="109"/>
      <c r="AK2581" s="109"/>
      <c r="AL2581" s="109"/>
      <c r="AM2581" s="109"/>
      <c r="AN2581" s="109"/>
      <c r="AO2581" s="109"/>
      <c r="AP2581" s="109"/>
      <c r="AQ2581" s="109"/>
      <c r="AR2581" s="109"/>
      <c r="AS2581" s="109"/>
    </row>
    <row r="2582" spans="1:45" ht="12.6" customHeight="1" x14ac:dyDescent="0.3">
      <c r="A2582" s="68" t="s">
        <v>1446</v>
      </c>
      <c r="B2582" s="97" t="str">
        <f>" 경    비  :  "&amp;TEXT(I2582,"#,##0"&amp;IF(I2582&lt;&gt;INT(I2582),".###",""))&amp;" / Q  = "&amp;TEXT(C2582,"#,##0.0")&amp;""</f>
        <v xml:space="preserve"> 경    비  :  26,677 / Q  = 1,043.2</v>
      </c>
      <c r="C2582" s="99">
        <f>E2582+D2582+F2582</f>
        <v>1043.2</v>
      </c>
      <c r="D2582" s="99">
        <f>IF(H2582=0,0,ROUNDDOWN(J2582*H2582,1))</f>
        <v>0</v>
      </c>
      <c r="E2582" s="99">
        <f>IF(H2582=0,0,ROUNDDOWN(K2582*H2582,1))</f>
        <v>0</v>
      </c>
      <c r="F2582" s="99">
        <f>IF(H2582=0,0,ROUNDDOWN(L2582*H2582,1))</f>
        <v>1043.2</v>
      </c>
      <c r="G2582" s="16" t="s">
        <v>1945</v>
      </c>
      <c r="H2582" s="105">
        <f>AC2582</f>
        <v>3.9108330074305829E-2</v>
      </c>
      <c r="I2582" s="106">
        <f>K2582+J2582+L2582</f>
        <v>26677</v>
      </c>
      <c r="L2582" s="39">
        <f>중기목록표!H9</f>
        <v>26677</v>
      </c>
      <c r="M2582" s="20" t="s">
        <v>1442</v>
      </c>
      <c r="N2582" s="20" t="s">
        <v>1332</v>
      </c>
      <c r="X2582" s="108" t="str">
        <f>중기목록표!B9&amp;" / "&amp;중기목록표!C9</f>
        <v>굴삭기(0.7m3) / 0.7㎥,(암석)</v>
      </c>
      <c r="Y2582" s="19" t="str">
        <f ca="1">HYPERLINK("#"&amp;중기목록표!J2&amp;"!A"&amp;ROW(중기목록표!A9),"중기    6 →")</f>
        <v>중기    6 →</v>
      </c>
      <c r="Z2582" s="20" t="s">
        <v>1393</v>
      </c>
      <c r="AA2582" s="112" t="str">
        <f>AL2576</f>
        <v>25.57</v>
      </c>
      <c r="AB2582" s="20" t="s">
        <v>1326</v>
      </c>
      <c r="AC2582" s="113">
        <f>1/AL2576</f>
        <v>3.9108330074305829E-2</v>
      </c>
      <c r="AD2582" s="109"/>
      <c r="AE2582" s="109"/>
      <c r="AF2582" s="109"/>
      <c r="AG2582" s="109"/>
      <c r="AH2582" s="109"/>
      <c r="AI2582" s="109"/>
      <c r="AJ2582" s="109"/>
      <c r="AK2582" s="109"/>
      <c r="AL2582" s="109"/>
      <c r="AM2582" s="109"/>
      <c r="AN2582" s="109"/>
      <c r="AO2582" s="109"/>
      <c r="AP2582" s="109"/>
      <c r="AQ2582" s="109"/>
      <c r="AR2582" s="109"/>
      <c r="AS2582" s="109"/>
    </row>
    <row r="2583" spans="1:45" ht="12.6" customHeight="1" x14ac:dyDescent="0.3">
      <c r="A2583" s="78"/>
      <c r="B2583" s="78"/>
      <c r="C2583" s="78"/>
      <c r="D2583" s="78"/>
      <c r="E2583" s="78"/>
      <c r="F2583" s="78"/>
      <c r="G2583" s="16" t="s">
        <v>1317</v>
      </c>
      <c r="Z2583" s="109"/>
      <c r="AA2583" s="109"/>
      <c r="AB2583" s="109"/>
      <c r="AC2583" s="109"/>
      <c r="AD2583" s="109"/>
      <c r="AE2583" s="109"/>
      <c r="AF2583" s="109"/>
      <c r="AG2583" s="109"/>
      <c r="AH2583" s="109"/>
      <c r="AI2583" s="109"/>
      <c r="AJ2583" s="109"/>
      <c r="AK2583" s="109"/>
      <c r="AL2583" s="109"/>
      <c r="AM2583" s="109"/>
      <c r="AN2583" s="109"/>
      <c r="AO2583" s="109"/>
      <c r="AP2583" s="109"/>
      <c r="AQ2583" s="109"/>
      <c r="AR2583" s="109"/>
      <c r="AS2583" s="109"/>
    </row>
    <row r="2584" spans="1:45" ht="12.6" customHeight="1" x14ac:dyDescent="0.3">
      <c r="A2584" s="68"/>
      <c r="B2584" s="77" t="s">
        <v>1331</v>
      </c>
      <c r="C2584" s="100">
        <f>E2584+D2584+F2584</f>
        <v>3925.4000000000005</v>
      </c>
      <c r="D2584" s="100">
        <f>SUMIF(N2562:N2583,M2584,D2562:D2583)</f>
        <v>2178.3000000000002</v>
      </c>
      <c r="E2584" s="100">
        <f>SUMIF(N2562:N2583,M2584,E2562:E2583)</f>
        <v>703.9</v>
      </c>
      <c r="F2584" s="100">
        <f>SUMIF(N2562:N2583,M2584,F2562:F2583)</f>
        <v>1043.2</v>
      </c>
      <c r="G2584" s="16" t="s">
        <v>1415</v>
      </c>
      <c r="M2584" s="20" t="s">
        <v>1332</v>
      </c>
      <c r="N2584" s="20" t="s">
        <v>1341</v>
      </c>
      <c r="Z2584" s="109"/>
      <c r="AA2584" s="109"/>
      <c r="AB2584" s="109"/>
      <c r="AC2584" s="109"/>
      <c r="AD2584" s="109"/>
      <c r="AE2584" s="109"/>
      <c r="AF2584" s="109"/>
      <c r="AG2584" s="109"/>
      <c r="AH2584" s="109"/>
      <c r="AI2584" s="109"/>
      <c r="AJ2584" s="109"/>
      <c r="AK2584" s="109"/>
      <c r="AL2584" s="109"/>
      <c r="AM2584" s="109"/>
      <c r="AN2584" s="109"/>
      <c r="AO2584" s="109"/>
      <c r="AP2584" s="109"/>
      <c r="AQ2584" s="109"/>
      <c r="AR2584" s="109"/>
      <c r="AS2584" s="109"/>
    </row>
    <row r="2585" spans="1:45" ht="12.6" customHeight="1" x14ac:dyDescent="0.3">
      <c r="A2585" s="78"/>
      <c r="B2585" s="78"/>
      <c r="C2585" s="98"/>
      <c r="D2585" s="98"/>
      <c r="E2585" s="98"/>
      <c r="F2585" s="98"/>
      <c r="G2585" s="16" t="s">
        <v>1317</v>
      </c>
      <c r="Z2585" s="109"/>
      <c r="AA2585" s="109"/>
      <c r="AB2585" s="109"/>
      <c r="AC2585" s="109"/>
      <c r="AD2585" s="109"/>
      <c r="AE2585" s="109"/>
      <c r="AF2585" s="109"/>
      <c r="AG2585" s="109"/>
      <c r="AH2585" s="109"/>
      <c r="AI2585" s="109"/>
      <c r="AJ2585" s="109"/>
      <c r="AK2585" s="109"/>
      <c r="AL2585" s="109"/>
      <c r="AM2585" s="109"/>
      <c r="AN2585" s="109"/>
      <c r="AO2585" s="109"/>
      <c r="AP2585" s="109"/>
      <c r="AQ2585" s="109"/>
      <c r="AR2585" s="109"/>
      <c r="AS2585" s="109"/>
    </row>
    <row r="2586" spans="1:45" ht="12.6" customHeight="1" x14ac:dyDescent="0.3">
      <c r="A2586" s="68"/>
      <c r="B2586" s="77" t="s">
        <v>1947</v>
      </c>
      <c r="C2586" s="78"/>
      <c r="D2586" s="78"/>
      <c r="E2586" s="78"/>
      <c r="F2586" s="78"/>
      <c r="G2586" s="16" t="s">
        <v>1946</v>
      </c>
      <c r="Z2586" s="109"/>
      <c r="AA2586" s="109"/>
      <c r="AB2586" s="109"/>
      <c r="AC2586" s="109"/>
      <c r="AD2586" s="109"/>
      <c r="AE2586" s="109"/>
      <c r="AF2586" s="109"/>
      <c r="AG2586" s="109"/>
      <c r="AH2586" s="109"/>
      <c r="AI2586" s="109"/>
      <c r="AJ2586" s="109"/>
      <c r="AK2586" s="109"/>
      <c r="AL2586" s="109"/>
      <c r="AM2586" s="109"/>
      <c r="AN2586" s="109"/>
      <c r="AO2586" s="109"/>
      <c r="AP2586" s="109"/>
      <c r="AQ2586" s="109"/>
      <c r="AR2586" s="109"/>
      <c r="AS2586" s="109"/>
    </row>
    <row r="2587" spans="1:45" ht="12.6" customHeight="1" x14ac:dyDescent="0.3">
      <c r="A2587" s="78"/>
      <c r="B2587" s="78"/>
      <c r="C2587" s="78"/>
      <c r="D2587" s="78"/>
      <c r="E2587" s="78"/>
      <c r="F2587" s="78"/>
      <c r="G2587" s="16" t="s">
        <v>1317</v>
      </c>
      <c r="Z2587" s="109"/>
      <c r="AA2587" s="109"/>
      <c r="AB2587" s="109"/>
      <c r="AC2587" s="109"/>
      <c r="AD2587" s="109"/>
      <c r="AE2587" s="109"/>
      <c r="AF2587" s="109"/>
      <c r="AG2587" s="109"/>
      <c r="AH2587" s="109"/>
      <c r="AI2587" s="109"/>
      <c r="AJ2587" s="109"/>
      <c r="AK2587" s="109"/>
      <c r="AL2587" s="109"/>
      <c r="AM2587" s="109"/>
      <c r="AN2587" s="109"/>
      <c r="AO2587" s="109"/>
      <c r="AP2587" s="109"/>
      <c r="AQ2587" s="109"/>
      <c r="AR2587" s="109"/>
      <c r="AS2587" s="109"/>
    </row>
    <row r="2588" spans="1:45" ht="12.6" customHeight="1" x14ac:dyDescent="0.3">
      <c r="A2588" s="68"/>
      <c r="B2588" s="77" t="s">
        <v>1949</v>
      </c>
      <c r="C2588" s="78"/>
      <c r="D2588" s="78"/>
      <c r="E2588" s="78"/>
      <c r="F2588" s="78"/>
      <c r="G2588" s="16" t="s">
        <v>1948</v>
      </c>
      <c r="Z2588" s="109"/>
      <c r="AA2588" s="109"/>
      <c r="AB2588" s="109"/>
      <c r="AC2588" s="109"/>
      <c r="AD2588" s="109"/>
      <c r="AE2588" s="109"/>
      <c r="AF2588" s="109"/>
      <c r="AG2588" s="109"/>
      <c r="AH2588" s="109"/>
      <c r="AI2588" s="109"/>
      <c r="AJ2588" s="109"/>
      <c r="AK2588" s="109"/>
      <c r="AL2588" s="109"/>
      <c r="AM2588" s="109"/>
      <c r="AN2588" s="109"/>
      <c r="AO2588" s="109"/>
      <c r="AP2588" s="109"/>
      <c r="AQ2588" s="109"/>
      <c r="AR2588" s="109"/>
      <c r="AS2588" s="109"/>
    </row>
    <row r="2589" spans="1:45" ht="12.6" customHeight="1" x14ac:dyDescent="0.3">
      <c r="A2589" s="78"/>
      <c r="B2589" s="78"/>
      <c r="C2589" s="78"/>
      <c r="D2589" s="78"/>
      <c r="E2589" s="78"/>
      <c r="F2589" s="78"/>
      <c r="G2589" s="16" t="s">
        <v>1317</v>
      </c>
      <c r="Z2589" s="109"/>
      <c r="AA2589" s="109"/>
      <c r="AB2589" s="109"/>
      <c r="AC2589" s="109"/>
      <c r="AD2589" s="109"/>
      <c r="AE2589" s="109"/>
      <c r="AF2589" s="109"/>
      <c r="AG2589" s="109"/>
      <c r="AH2589" s="109"/>
      <c r="AI2589" s="109"/>
      <c r="AJ2589" s="109"/>
      <c r="AK2589" s="109"/>
      <c r="AL2589" s="109"/>
      <c r="AM2589" s="109"/>
      <c r="AN2589" s="109"/>
      <c r="AO2589" s="109"/>
      <c r="AP2589" s="109"/>
      <c r="AQ2589" s="109"/>
      <c r="AR2589" s="109"/>
      <c r="AS2589" s="109"/>
    </row>
    <row r="2590" spans="1:45" ht="12.6" customHeight="1" x14ac:dyDescent="0.3">
      <c r="A2590" s="68"/>
      <c r="B2590" s="97" t="str">
        <f>" E (작업효율) = "&amp;Z2590&amp;""</f>
        <v xml:space="preserve"> E (작업효율) = 0.9</v>
      </c>
      <c r="C2590" s="78"/>
      <c r="D2590" s="78"/>
      <c r="E2590" s="78"/>
      <c r="F2590" s="78"/>
      <c r="G2590" s="16" t="s">
        <v>1950</v>
      </c>
      <c r="Z2590" s="110">
        <v>0.9</v>
      </c>
      <c r="AA2590" s="20" t="s">
        <v>1326</v>
      </c>
      <c r="AB2590" s="112">
        <f>Z2590</f>
        <v>0.9</v>
      </c>
      <c r="AC2590" s="109"/>
      <c r="AD2590" s="109"/>
      <c r="AE2590" s="109"/>
      <c r="AF2590" s="109"/>
      <c r="AG2590" s="109"/>
      <c r="AH2590" s="109"/>
      <c r="AI2590" s="109"/>
      <c r="AJ2590" s="109"/>
      <c r="AK2590" s="109"/>
      <c r="AL2590" s="109"/>
      <c r="AM2590" s="109"/>
      <c r="AN2590" s="109"/>
      <c r="AO2590" s="109"/>
      <c r="AP2590" s="109"/>
      <c r="AQ2590" s="109"/>
      <c r="AR2590" s="109"/>
      <c r="AS2590" s="109"/>
    </row>
    <row r="2591" spans="1:45" ht="12.6" customHeight="1" x14ac:dyDescent="0.3">
      <c r="A2591" s="78"/>
      <c r="B2591" s="78"/>
      <c r="C2591" s="78"/>
      <c r="D2591" s="78"/>
      <c r="E2591" s="78"/>
      <c r="F2591" s="78"/>
      <c r="G2591" s="16" t="s">
        <v>1317</v>
      </c>
      <c r="Z2591" s="109"/>
      <c r="AA2591" s="109"/>
      <c r="AB2591" s="109"/>
      <c r="AC2591" s="109"/>
      <c r="AD2591" s="109"/>
      <c r="AE2591" s="109"/>
      <c r="AF2591" s="109"/>
      <c r="AG2591" s="109"/>
      <c r="AH2591" s="109"/>
      <c r="AI2591" s="109"/>
      <c r="AJ2591" s="109"/>
      <c r="AK2591" s="109"/>
      <c r="AL2591" s="109"/>
      <c r="AM2591" s="109"/>
      <c r="AN2591" s="109"/>
      <c r="AO2591" s="109"/>
      <c r="AP2591" s="109"/>
      <c r="AQ2591" s="109"/>
      <c r="AR2591" s="109"/>
      <c r="AS2591" s="109"/>
    </row>
    <row r="2592" spans="1:45" ht="12.6" customHeight="1" x14ac:dyDescent="0.3">
      <c r="A2592" s="68"/>
      <c r="B2592" s="97" t="str">
        <f>" q1 (흐트러진상태의 덤프트럭 1회 적재량)  = ("&amp;AA2592&amp;"/"&amp;AC2592&amp;")*"&amp;AE2592&amp;"= "&amp;AG2592&amp;""</f>
        <v xml:space="preserve"> q1 (흐트러진상태의 덤프트럭 1회 적재량)  = (15/2)*1.625= 12.19</v>
      </c>
      <c r="C2592" s="78"/>
      <c r="D2592" s="78"/>
      <c r="E2592" s="78"/>
      <c r="F2592" s="78"/>
      <c r="G2592" s="16" t="s">
        <v>1951</v>
      </c>
      <c r="Z2592" s="20" t="s">
        <v>1526</v>
      </c>
      <c r="AA2592" s="111">
        <v>15</v>
      </c>
      <c r="AB2592" s="20" t="s">
        <v>1387</v>
      </c>
      <c r="AC2592" s="111">
        <v>2</v>
      </c>
      <c r="AD2592" s="20" t="s">
        <v>1527</v>
      </c>
      <c r="AE2592" s="110">
        <v>1.625</v>
      </c>
      <c r="AF2592" s="20" t="s">
        <v>1326</v>
      </c>
      <c r="AG2592" s="112" t="str">
        <f>TEXT(ROUND((AA2592/AC2592)*AE2592,2),"0.00")</f>
        <v>12.19</v>
      </c>
      <c r="AH2592" s="109"/>
      <c r="AI2592" s="109"/>
      <c r="AJ2592" s="109"/>
      <c r="AK2592" s="109"/>
      <c r="AL2592" s="109"/>
      <c r="AM2592" s="109"/>
      <c r="AN2592" s="109"/>
      <c r="AO2592" s="109"/>
      <c r="AP2592" s="109"/>
      <c r="AQ2592" s="109"/>
      <c r="AR2592" s="109"/>
      <c r="AS2592" s="109"/>
    </row>
    <row r="2593" spans="1:45" ht="12.6" customHeight="1" x14ac:dyDescent="0.3">
      <c r="A2593" s="78"/>
      <c r="B2593" s="78"/>
      <c r="C2593" s="78"/>
      <c r="D2593" s="78"/>
      <c r="E2593" s="78"/>
      <c r="F2593" s="78"/>
      <c r="G2593" s="16" t="s">
        <v>1317</v>
      </c>
      <c r="Z2593" s="109"/>
      <c r="AA2593" s="109"/>
      <c r="AB2593" s="109"/>
      <c r="AC2593" s="109"/>
      <c r="AD2593" s="109"/>
      <c r="AE2593" s="109"/>
      <c r="AF2593" s="109"/>
      <c r="AG2593" s="109"/>
      <c r="AH2593" s="109"/>
      <c r="AI2593" s="109"/>
      <c r="AJ2593" s="109"/>
      <c r="AK2593" s="109"/>
      <c r="AL2593" s="109"/>
      <c r="AM2593" s="109"/>
      <c r="AN2593" s="109"/>
      <c r="AO2593" s="109"/>
      <c r="AP2593" s="109"/>
      <c r="AQ2593" s="109"/>
      <c r="AR2593" s="109"/>
      <c r="AS2593" s="109"/>
    </row>
    <row r="2594" spans="1:45" ht="12.6" customHeight="1" x14ac:dyDescent="0.3">
      <c r="A2594" s="68"/>
      <c r="B2594" s="77" t="s">
        <v>1528</v>
      </c>
      <c r="C2594" s="78"/>
      <c r="D2594" s="78"/>
      <c r="E2594" s="78"/>
      <c r="F2594" s="78"/>
      <c r="G2594" s="16" t="s">
        <v>1803</v>
      </c>
      <c r="Z2594" s="109"/>
      <c r="AA2594" s="109"/>
      <c r="AB2594" s="109"/>
      <c r="AC2594" s="109"/>
      <c r="AD2594" s="109"/>
      <c r="AE2594" s="109"/>
      <c r="AF2594" s="109"/>
      <c r="AG2594" s="109"/>
      <c r="AH2594" s="109"/>
      <c r="AI2594" s="109"/>
      <c r="AJ2594" s="109"/>
      <c r="AK2594" s="109"/>
      <c r="AL2594" s="109"/>
      <c r="AM2594" s="109"/>
      <c r="AN2594" s="109"/>
      <c r="AO2594" s="109"/>
      <c r="AP2594" s="109"/>
      <c r="AQ2594" s="109"/>
      <c r="AR2594" s="109"/>
      <c r="AS2594" s="109"/>
    </row>
    <row r="2595" spans="1:45" ht="12.6" customHeight="1" x14ac:dyDescent="0.3">
      <c r="A2595" s="78"/>
      <c r="B2595" s="78"/>
      <c r="C2595" s="78"/>
      <c r="D2595" s="78"/>
      <c r="E2595" s="78"/>
      <c r="F2595" s="78"/>
      <c r="G2595" s="16" t="s">
        <v>1317</v>
      </c>
      <c r="Z2595" s="109"/>
      <c r="AA2595" s="109"/>
      <c r="AB2595" s="109"/>
      <c r="AC2595" s="109"/>
      <c r="AD2595" s="109"/>
      <c r="AE2595" s="109"/>
      <c r="AF2595" s="109"/>
      <c r="AG2595" s="109"/>
      <c r="AH2595" s="109"/>
      <c r="AI2595" s="109"/>
      <c r="AJ2595" s="109"/>
      <c r="AK2595" s="109"/>
      <c r="AL2595" s="109"/>
      <c r="AM2595" s="109"/>
      <c r="AN2595" s="109"/>
      <c r="AO2595" s="109"/>
      <c r="AP2595" s="109"/>
      <c r="AQ2595" s="109"/>
      <c r="AR2595" s="109"/>
      <c r="AS2595" s="109"/>
    </row>
    <row r="2596" spans="1:45" ht="12.6" customHeight="1" x14ac:dyDescent="0.3">
      <c r="A2596" s="68"/>
      <c r="B2596" s="97" t="str">
        <f>" n = q1 / ("&amp;AB2596&amp;" * k) = "&amp;AG2596&amp;" 회 "</f>
        <v xml:space="preserve"> n = q1 / (0.7 * k) = 31.66 회 </v>
      </c>
      <c r="C2596" s="78"/>
      <c r="D2596" s="78"/>
      <c r="E2596" s="78"/>
      <c r="F2596" s="78"/>
      <c r="G2596" s="16" t="s">
        <v>1952</v>
      </c>
      <c r="Z2596" s="112" t="str">
        <f>AG2592</f>
        <v>12.19</v>
      </c>
      <c r="AA2596" s="20" t="s">
        <v>1531</v>
      </c>
      <c r="AB2596" s="110">
        <v>0.7</v>
      </c>
      <c r="AC2596" s="20" t="s">
        <v>1390</v>
      </c>
      <c r="AD2596" s="112">
        <f>AF2570</f>
        <v>0.55000000000000004</v>
      </c>
      <c r="AE2596" s="20" t="s">
        <v>1532</v>
      </c>
      <c r="AF2596" s="20" t="s">
        <v>1326</v>
      </c>
      <c r="AG2596" s="112" t="str">
        <f>TEXT(ROUND(AG2592/(AB2596*AF2570),2),"0.00")</f>
        <v>31.66</v>
      </c>
      <c r="AH2596" s="109"/>
      <c r="AI2596" s="109"/>
      <c r="AJ2596" s="109"/>
      <c r="AK2596" s="109"/>
      <c r="AL2596" s="109"/>
      <c r="AM2596" s="109"/>
      <c r="AN2596" s="109"/>
      <c r="AO2596" s="109"/>
      <c r="AP2596" s="109"/>
      <c r="AQ2596" s="109"/>
      <c r="AR2596" s="109"/>
      <c r="AS2596" s="109"/>
    </row>
    <row r="2597" spans="1:45" ht="12.6" customHeight="1" x14ac:dyDescent="0.3">
      <c r="A2597" s="78"/>
      <c r="B2597" s="78"/>
      <c r="C2597" s="78"/>
      <c r="D2597" s="78"/>
      <c r="E2597" s="78"/>
      <c r="F2597" s="78"/>
      <c r="G2597" s="16" t="s">
        <v>1317</v>
      </c>
      <c r="Z2597" s="109"/>
      <c r="AA2597" s="109"/>
      <c r="AB2597" s="109"/>
      <c r="AC2597" s="109"/>
      <c r="AD2597" s="109"/>
      <c r="AE2597" s="109"/>
      <c r="AF2597" s="109"/>
      <c r="AG2597" s="109"/>
      <c r="AH2597" s="109"/>
      <c r="AI2597" s="109"/>
      <c r="AJ2597" s="109"/>
      <c r="AK2597" s="109"/>
      <c r="AL2597" s="109"/>
      <c r="AM2597" s="109"/>
      <c r="AN2597" s="109"/>
      <c r="AO2597" s="109"/>
      <c r="AP2597" s="109"/>
      <c r="AQ2597" s="109"/>
      <c r="AR2597" s="109"/>
      <c r="AS2597" s="109"/>
    </row>
    <row r="2598" spans="1:45" ht="12.6" customHeight="1" x14ac:dyDescent="0.3">
      <c r="A2598" s="68"/>
      <c r="B2598" s="97" t="str">
        <f>" t1 (적재시간) = "&amp;Z2598&amp;" * n / ("&amp;AD2598&amp;" * "&amp;AF2598&amp;") = "&amp;AI2598&amp;" 분 "</f>
        <v xml:space="preserve"> t1 (적재시간) = 20 * n / (60 * 0.45) = 23.45 분 </v>
      </c>
      <c r="C2598" s="78"/>
      <c r="D2598" s="78"/>
      <c r="E2598" s="78"/>
      <c r="F2598" s="78"/>
      <c r="G2598" s="16" t="s">
        <v>1953</v>
      </c>
      <c r="Z2598" s="111">
        <v>20</v>
      </c>
      <c r="AA2598" s="20" t="s">
        <v>1390</v>
      </c>
      <c r="AB2598" s="112" t="str">
        <f>AG2596</f>
        <v>31.66</v>
      </c>
      <c r="AC2598" s="20" t="s">
        <v>1531</v>
      </c>
      <c r="AD2598" s="111">
        <v>60</v>
      </c>
      <c r="AE2598" s="20" t="s">
        <v>1390</v>
      </c>
      <c r="AF2598" s="110">
        <v>0.45</v>
      </c>
      <c r="AG2598" s="20" t="s">
        <v>1532</v>
      </c>
      <c r="AH2598" s="20" t="s">
        <v>1326</v>
      </c>
      <c r="AI2598" s="112" t="str">
        <f>TEXT(ROUND(Z2598*AG2596/(AD2598*AF2598),2),"0.00")</f>
        <v>23.45</v>
      </c>
      <c r="AJ2598" s="109"/>
      <c r="AK2598" s="109"/>
      <c r="AL2598" s="109"/>
      <c r="AM2598" s="109"/>
      <c r="AN2598" s="109"/>
      <c r="AO2598" s="109"/>
      <c r="AP2598" s="109"/>
      <c r="AQ2598" s="109"/>
      <c r="AR2598" s="109"/>
      <c r="AS2598" s="109"/>
    </row>
    <row r="2599" spans="1:45" ht="12.6" customHeight="1" x14ac:dyDescent="0.3">
      <c r="A2599" s="78"/>
      <c r="B2599" s="78"/>
      <c r="C2599" s="78"/>
      <c r="D2599" s="78"/>
      <c r="E2599" s="78"/>
      <c r="F2599" s="78"/>
      <c r="G2599" s="16" t="s">
        <v>1317</v>
      </c>
      <c r="Z2599" s="109"/>
      <c r="AA2599" s="109"/>
      <c r="AB2599" s="109"/>
      <c r="AC2599" s="109"/>
      <c r="AD2599" s="109"/>
      <c r="AE2599" s="109"/>
      <c r="AF2599" s="109"/>
      <c r="AG2599" s="109"/>
      <c r="AH2599" s="109"/>
      <c r="AI2599" s="109"/>
      <c r="AJ2599" s="109"/>
      <c r="AK2599" s="109"/>
      <c r="AL2599" s="109"/>
      <c r="AM2599" s="109"/>
      <c r="AN2599" s="109"/>
      <c r="AO2599" s="109"/>
      <c r="AP2599" s="109"/>
      <c r="AQ2599" s="109"/>
      <c r="AR2599" s="109"/>
      <c r="AS2599" s="109"/>
    </row>
    <row r="2600" spans="1:45" ht="12.6" customHeight="1" x14ac:dyDescent="0.3">
      <c r="A2600" s="68"/>
      <c r="B2600" s="97" t="str">
        <f>" t2 (왕복시간) = (L/"&amp;AC2600&amp;"+L/"&amp;AG2600&amp;")* "&amp;AI2600&amp;" = "&amp;AK2600&amp;" 분 "</f>
        <v xml:space="preserve"> t2 (왕복시간) = (L/7+L/8)* 60 = 5.11 분 </v>
      </c>
      <c r="C2600" s="78"/>
      <c r="D2600" s="78"/>
      <c r="E2600" s="78"/>
      <c r="F2600" s="78"/>
      <c r="G2600" s="16" t="s">
        <v>1923</v>
      </c>
      <c r="Z2600" s="20" t="s">
        <v>1526</v>
      </c>
      <c r="AA2600" s="112">
        <f>AB2566</f>
        <v>0.318</v>
      </c>
      <c r="AB2600" s="20" t="s">
        <v>1387</v>
      </c>
      <c r="AC2600" s="111">
        <v>7</v>
      </c>
      <c r="AD2600" s="20" t="s">
        <v>1535</v>
      </c>
      <c r="AE2600" s="112">
        <f>AB2566</f>
        <v>0.318</v>
      </c>
      <c r="AF2600" s="20" t="s">
        <v>1387</v>
      </c>
      <c r="AG2600" s="111">
        <v>8</v>
      </c>
      <c r="AH2600" s="20" t="s">
        <v>1527</v>
      </c>
      <c r="AI2600" s="111">
        <v>60</v>
      </c>
      <c r="AJ2600" s="20" t="s">
        <v>1326</v>
      </c>
      <c r="AK2600" s="112" t="str">
        <f>TEXT(ROUND((AB2566/AC2600+AB2566/AG2600)*AI2600,2),"0.00")</f>
        <v>5.11</v>
      </c>
      <c r="AL2600" s="109"/>
      <c r="AM2600" s="109"/>
      <c r="AN2600" s="109"/>
      <c r="AO2600" s="109"/>
      <c r="AP2600" s="109"/>
      <c r="AQ2600" s="109"/>
      <c r="AR2600" s="109"/>
      <c r="AS2600" s="109"/>
    </row>
    <row r="2601" spans="1:45" ht="12.6" customHeight="1" x14ac:dyDescent="0.3">
      <c r="A2601" s="78"/>
      <c r="B2601" s="78"/>
      <c r="C2601" s="78"/>
      <c r="D2601" s="78"/>
      <c r="E2601" s="78"/>
      <c r="F2601" s="78"/>
      <c r="G2601" s="16" t="s">
        <v>1317</v>
      </c>
      <c r="Z2601" s="109"/>
      <c r="AA2601" s="109"/>
      <c r="AB2601" s="109"/>
      <c r="AC2601" s="109"/>
      <c r="AD2601" s="109"/>
      <c r="AE2601" s="109"/>
      <c r="AF2601" s="109"/>
      <c r="AG2601" s="109"/>
      <c r="AH2601" s="109"/>
      <c r="AI2601" s="109"/>
      <c r="AJ2601" s="109"/>
      <c r="AK2601" s="109"/>
      <c r="AL2601" s="109"/>
      <c r="AM2601" s="109"/>
      <c r="AN2601" s="109"/>
      <c r="AO2601" s="109"/>
      <c r="AP2601" s="109"/>
      <c r="AQ2601" s="109"/>
      <c r="AR2601" s="109"/>
      <c r="AS2601" s="109"/>
    </row>
    <row r="2602" spans="1:45" ht="12.6" customHeight="1" x14ac:dyDescent="0.3">
      <c r="A2602" s="68"/>
      <c r="B2602" s="97" t="str">
        <f>" t3 (적하시간) = "&amp;Z2602&amp;""</f>
        <v xml:space="preserve"> t3 (적하시간) = 1.1</v>
      </c>
      <c r="C2602" s="78"/>
      <c r="D2602" s="78"/>
      <c r="E2602" s="78"/>
      <c r="F2602" s="78"/>
      <c r="G2602" s="16" t="s">
        <v>1924</v>
      </c>
      <c r="Z2602" s="110">
        <v>1.1000000000000001</v>
      </c>
      <c r="AA2602" s="20" t="s">
        <v>1326</v>
      </c>
      <c r="AB2602" s="112">
        <f>Z2602</f>
        <v>1.1000000000000001</v>
      </c>
      <c r="AC2602" s="109"/>
      <c r="AD2602" s="109"/>
      <c r="AE2602" s="109"/>
      <c r="AF2602" s="109"/>
      <c r="AG2602" s="109"/>
      <c r="AH2602" s="109"/>
      <c r="AI2602" s="109"/>
      <c r="AJ2602" s="109"/>
      <c r="AK2602" s="109"/>
      <c r="AL2602" s="109"/>
      <c r="AM2602" s="109"/>
      <c r="AN2602" s="109"/>
      <c r="AO2602" s="109"/>
      <c r="AP2602" s="109"/>
      <c r="AQ2602" s="109"/>
      <c r="AR2602" s="109"/>
      <c r="AS2602" s="109"/>
    </row>
    <row r="2603" spans="1:45" ht="12.6" customHeight="1" x14ac:dyDescent="0.3">
      <c r="A2603" s="78"/>
      <c r="B2603" s="78"/>
      <c r="C2603" s="78"/>
      <c r="D2603" s="78"/>
      <c r="E2603" s="78"/>
      <c r="F2603" s="78"/>
      <c r="G2603" s="16" t="s">
        <v>1317</v>
      </c>
      <c r="Z2603" s="109"/>
      <c r="AA2603" s="109"/>
      <c r="AB2603" s="109"/>
      <c r="AC2603" s="109"/>
      <c r="AD2603" s="109"/>
      <c r="AE2603" s="109"/>
      <c r="AF2603" s="109"/>
      <c r="AG2603" s="109"/>
      <c r="AH2603" s="109"/>
      <c r="AI2603" s="109"/>
      <c r="AJ2603" s="109"/>
      <c r="AK2603" s="109"/>
      <c r="AL2603" s="109"/>
      <c r="AM2603" s="109"/>
      <c r="AN2603" s="109"/>
      <c r="AO2603" s="109"/>
      <c r="AP2603" s="109"/>
      <c r="AQ2603" s="109"/>
      <c r="AR2603" s="109"/>
      <c r="AS2603" s="109"/>
    </row>
    <row r="2604" spans="1:45" ht="12.6" customHeight="1" x14ac:dyDescent="0.3">
      <c r="A2604" s="68"/>
      <c r="B2604" s="97" t="str">
        <f>" t4 (적재장소 도착한 때로부터 적재작업이 시작될 때까지의 시간) = "&amp;Z2604&amp;""</f>
        <v xml:space="preserve"> t4 (적재장소 도착한 때로부터 적재작업이 시작될 때까지의 시간) = 0.7</v>
      </c>
      <c r="C2604" s="78"/>
      <c r="D2604" s="78"/>
      <c r="E2604" s="78"/>
      <c r="F2604" s="78"/>
      <c r="G2604" s="16" t="s">
        <v>1954</v>
      </c>
      <c r="Z2604" s="110">
        <v>0.7</v>
      </c>
      <c r="AA2604" s="20" t="s">
        <v>1326</v>
      </c>
      <c r="AB2604" s="112">
        <f>Z2604</f>
        <v>0.7</v>
      </c>
      <c r="AC2604" s="109"/>
      <c r="AD2604" s="109"/>
      <c r="AE2604" s="109"/>
      <c r="AF2604" s="109"/>
      <c r="AG2604" s="109"/>
      <c r="AH2604" s="109"/>
      <c r="AI2604" s="109"/>
      <c r="AJ2604" s="109"/>
      <c r="AK2604" s="109"/>
      <c r="AL2604" s="109"/>
      <c r="AM2604" s="109"/>
      <c r="AN2604" s="109"/>
      <c r="AO2604" s="109"/>
      <c r="AP2604" s="109"/>
      <c r="AQ2604" s="109"/>
      <c r="AR2604" s="109"/>
      <c r="AS2604" s="109"/>
    </row>
    <row r="2605" spans="1:45" ht="12.6" customHeight="1" x14ac:dyDescent="0.3">
      <c r="A2605" s="78"/>
      <c r="B2605" s="78"/>
      <c r="C2605" s="78"/>
      <c r="D2605" s="78"/>
      <c r="E2605" s="78"/>
      <c r="F2605" s="78"/>
      <c r="G2605" s="16" t="s">
        <v>1317</v>
      </c>
      <c r="Z2605" s="109"/>
      <c r="AA2605" s="109"/>
      <c r="AB2605" s="109"/>
      <c r="AC2605" s="109"/>
      <c r="AD2605" s="109"/>
      <c r="AE2605" s="109"/>
      <c r="AF2605" s="109"/>
      <c r="AG2605" s="109"/>
      <c r="AH2605" s="109"/>
      <c r="AI2605" s="109"/>
      <c r="AJ2605" s="109"/>
      <c r="AK2605" s="109"/>
      <c r="AL2605" s="109"/>
      <c r="AM2605" s="109"/>
      <c r="AN2605" s="109"/>
      <c r="AO2605" s="109"/>
      <c r="AP2605" s="109"/>
      <c r="AQ2605" s="109"/>
      <c r="AR2605" s="109"/>
      <c r="AS2605" s="109"/>
    </row>
    <row r="2606" spans="1:45" ht="12.6" customHeight="1" x14ac:dyDescent="0.3">
      <c r="A2606" s="68"/>
      <c r="B2606" s="97" t="str">
        <f>" Cm (1회 사이클 시간(분))  = t1 + t2 + t3 + t4  = "&amp;AH2606&amp;""</f>
        <v xml:space="preserve"> Cm (1회 사이클 시간(분))  = t1 + t2 + t3 + t4  = 30.36</v>
      </c>
      <c r="C2606" s="78"/>
      <c r="D2606" s="78"/>
      <c r="E2606" s="78"/>
      <c r="F2606" s="78"/>
      <c r="G2606" s="16" t="s">
        <v>1955</v>
      </c>
      <c r="Z2606" s="112" t="str">
        <f>AI2598</f>
        <v>23.45</v>
      </c>
      <c r="AA2606" s="20" t="s">
        <v>1535</v>
      </c>
      <c r="AB2606" s="112" t="str">
        <f>AK2600</f>
        <v>5.11</v>
      </c>
      <c r="AC2606" s="20" t="s">
        <v>1535</v>
      </c>
      <c r="AD2606" s="112">
        <f>AB2602</f>
        <v>1.1000000000000001</v>
      </c>
      <c r="AE2606" s="20" t="s">
        <v>1535</v>
      </c>
      <c r="AF2606" s="112">
        <f>AB2604</f>
        <v>0.7</v>
      </c>
      <c r="AG2606" s="20" t="s">
        <v>1326</v>
      </c>
      <c r="AH2606" s="112" t="str">
        <f>TEXT(ROUND(AI2598+AK2600+AB2602+AB2604,2),"0.00")</f>
        <v>30.36</v>
      </c>
      <c r="AI2606" s="109"/>
      <c r="AJ2606" s="109"/>
      <c r="AK2606" s="109"/>
      <c r="AL2606" s="109"/>
      <c r="AM2606" s="109"/>
      <c r="AN2606" s="109"/>
      <c r="AO2606" s="109"/>
      <c r="AP2606" s="109"/>
      <c r="AQ2606" s="109"/>
      <c r="AR2606" s="109"/>
      <c r="AS2606" s="109"/>
    </row>
    <row r="2607" spans="1:45" ht="12.6" customHeight="1" x14ac:dyDescent="0.3">
      <c r="A2607" s="78"/>
      <c r="B2607" s="78"/>
      <c r="C2607" s="78"/>
      <c r="D2607" s="78"/>
      <c r="E2607" s="78"/>
      <c r="F2607" s="78"/>
      <c r="G2607" s="16" t="s">
        <v>1317</v>
      </c>
      <c r="Z2607" s="109"/>
      <c r="AA2607" s="109"/>
      <c r="AB2607" s="109"/>
      <c r="AC2607" s="109"/>
      <c r="AD2607" s="109"/>
      <c r="AE2607" s="109"/>
      <c r="AF2607" s="109"/>
      <c r="AG2607" s="109"/>
      <c r="AH2607" s="109"/>
      <c r="AI2607" s="109"/>
      <c r="AJ2607" s="109"/>
      <c r="AK2607" s="109"/>
      <c r="AL2607" s="109"/>
      <c r="AM2607" s="109"/>
      <c r="AN2607" s="109"/>
      <c r="AO2607" s="109"/>
      <c r="AP2607" s="109"/>
      <c r="AQ2607" s="109"/>
      <c r="AR2607" s="109"/>
      <c r="AS2607" s="109"/>
    </row>
    <row r="2608" spans="1:45" ht="12.6" customHeight="1" x14ac:dyDescent="0.3">
      <c r="A2608" s="68"/>
      <c r="B2608" s="97" t="str">
        <f>" OH (상차 10분 초과 시 운반기계의 유류보정)  =  t2 / Cm = "&amp;AD2608&amp;""</f>
        <v xml:space="preserve"> OH (상차 10분 초과 시 운반기계의 유류보정)  =  t2 / Cm = 0.17</v>
      </c>
      <c r="C2608" s="78"/>
      <c r="D2608" s="78"/>
      <c r="E2608" s="78"/>
      <c r="F2608" s="78"/>
      <c r="G2608" s="16" t="s">
        <v>1956</v>
      </c>
      <c r="Z2608" s="112" t="str">
        <f>AK2600</f>
        <v>5.11</v>
      </c>
      <c r="AA2608" s="20" t="s">
        <v>1387</v>
      </c>
      <c r="AB2608" s="112" t="str">
        <f>AH2606</f>
        <v>30.36</v>
      </c>
      <c r="AC2608" s="20" t="s">
        <v>1326</v>
      </c>
      <c r="AD2608" s="112" t="str">
        <f>TEXT(ROUND(AK2600/AH2606,2),"0.00")</f>
        <v>0.17</v>
      </c>
      <c r="AE2608" s="109"/>
      <c r="AF2608" s="109"/>
      <c r="AG2608" s="109"/>
      <c r="AH2608" s="109"/>
      <c r="AI2608" s="109"/>
      <c r="AJ2608" s="109"/>
      <c r="AK2608" s="109"/>
      <c r="AL2608" s="109"/>
      <c r="AM2608" s="109"/>
      <c r="AN2608" s="109"/>
      <c r="AO2608" s="109"/>
      <c r="AP2608" s="109"/>
      <c r="AQ2608" s="109"/>
      <c r="AR2608" s="109"/>
      <c r="AS2608" s="109"/>
    </row>
    <row r="2609" spans="1:45" ht="12.6" customHeight="1" x14ac:dyDescent="0.3">
      <c r="A2609" s="78"/>
      <c r="B2609" s="78"/>
      <c r="C2609" s="78"/>
      <c r="D2609" s="78"/>
      <c r="E2609" s="78"/>
      <c r="F2609" s="78"/>
      <c r="G2609" s="16" t="s">
        <v>1317</v>
      </c>
      <c r="Z2609" s="109"/>
      <c r="AA2609" s="109"/>
      <c r="AB2609" s="109"/>
      <c r="AC2609" s="109"/>
      <c r="AD2609" s="109"/>
      <c r="AE2609" s="109"/>
      <c r="AF2609" s="109"/>
      <c r="AG2609" s="109"/>
      <c r="AH2609" s="109"/>
      <c r="AI2609" s="109"/>
      <c r="AJ2609" s="109"/>
      <c r="AK2609" s="109"/>
      <c r="AL2609" s="109"/>
      <c r="AM2609" s="109"/>
      <c r="AN2609" s="109"/>
      <c r="AO2609" s="109"/>
      <c r="AP2609" s="109"/>
      <c r="AQ2609" s="109"/>
      <c r="AR2609" s="109"/>
      <c r="AS2609" s="109"/>
    </row>
    <row r="2610" spans="1:45" ht="12.6" customHeight="1" x14ac:dyDescent="0.3">
      <c r="A2610" s="68"/>
      <c r="B2610" s="97" t="str">
        <f>" Q1 (시간당 작업량)  = "&amp;Z2610&amp;" * q1 * F * E / Cm = "&amp;AJ2610&amp;" m3/hr "</f>
        <v xml:space="preserve"> Q1 (시간당 작업량)  = 60 * q1 * F * E / Cm = 17.78 m3/hr </v>
      </c>
      <c r="C2610" s="78"/>
      <c r="D2610" s="78"/>
      <c r="E2610" s="78"/>
      <c r="F2610" s="78"/>
      <c r="G2610" s="16" t="s">
        <v>1957</v>
      </c>
      <c r="Z2610" s="111">
        <v>60</v>
      </c>
      <c r="AA2610" s="20" t="s">
        <v>1390</v>
      </c>
      <c r="AB2610" s="112" t="str">
        <f>AG2592</f>
        <v>12.19</v>
      </c>
      <c r="AC2610" s="20" t="s">
        <v>1390</v>
      </c>
      <c r="AD2610" s="112" t="str">
        <f>AD2572</f>
        <v>0.82</v>
      </c>
      <c r="AE2610" s="20" t="s">
        <v>1390</v>
      </c>
      <c r="AF2610" s="112">
        <f>AB2590</f>
        <v>0.9</v>
      </c>
      <c r="AG2610" s="20" t="s">
        <v>1387</v>
      </c>
      <c r="AH2610" s="112" t="str">
        <f>AH2606</f>
        <v>30.36</v>
      </c>
      <c r="AI2610" s="20" t="s">
        <v>1326</v>
      </c>
      <c r="AJ2610" s="112" t="str">
        <f>TEXT(ROUND(Z2610*AG2592*AD2572*AB2590/AH2606,2),"0.00")</f>
        <v>17.78</v>
      </c>
      <c r="AK2610" s="109"/>
      <c r="AL2610" s="109"/>
      <c r="AM2610" s="109"/>
      <c r="AN2610" s="109"/>
      <c r="AO2610" s="109"/>
      <c r="AP2610" s="109"/>
      <c r="AQ2610" s="109"/>
      <c r="AR2610" s="109"/>
      <c r="AS2610" s="109"/>
    </row>
    <row r="2611" spans="1:45" ht="12.6" customHeight="1" x14ac:dyDescent="0.3">
      <c r="A2611" s="78"/>
      <c r="B2611" s="78"/>
      <c r="C2611" s="78"/>
      <c r="D2611" s="78"/>
      <c r="E2611" s="78"/>
      <c r="F2611" s="78"/>
      <c r="G2611" s="16" t="s">
        <v>1317</v>
      </c>
      <c r="Z2611" s="109"/>
      <c r="AA2611" s="109"/>
      <c r="AB2611" s="109"/>
      <c r="AC2611" s="109"/>
      <c r="AD2611" s="109"/>
      <c r="AE2611" s="109"/>
      <c r="AF2611" s="109"/>
      <c r="AG2611" s="109"/>
      <c r="AH2611" s="109"/>
      <c r="AI2611" s="109"/>
      <c r="AJ2611" s="109"/>
      <c r="AK2611" s="109"/>
      <c r="AL2611" s="109"/>
      <c r="AM2611" s="109"/>
      <c r="AN2611" s="109"/>
      <c r="AO2611" s="109"/>
      <c r="AP2611" s="109"/>
      <c r="AQ2611" s="109"/>
      <c r="AR2611" s="109"/>
      <c r="AS2611" s="109"/>
    </row>
    <row r="2612" spans="1:45" ht="12.6" customHeight="1" x14ac:dyDescent="0.3">
      <c r="A2612" s="68" t="s">
        <v>1710</v>
      </c>
      <c r="B2612" s="97" t="str">
        <f>" 노 무 비  :  "&amp;TEXT(I2612,"#,##0"&amp;IF(I2612&lt;&gt;INT(I2612),".###",""))&amp;" / Q1  = "&amp;TEXT(C2612,"#,##0.0")&amp;""</f>
        <v xml:space="preserve"> 노 무 비  :  55,700 / Q1  = 3,132.7</v>
      </c>
      <c r="C2612" s="99">
        <f>E2612+D2612+F2612</f>
        <v>3132.7</v>
      </c>
      <c r="D2612" s="99">
        <f>IF(H2612=0,0,ROUNDDOWN(J2612*H2612,1))</f>
        <v>3132.7</v>
      </c>
      <c r="E2612" s="99">
        <f>IF(H2612=0,0,ROUNDDOWN(K2612*H2612,1))</f>
        <v>0</v>
      </c>
      <c r="F2612" s="99">
        <f>IF(H2612=0,0,ROUNDDOWN(L2612*H2612,1))</f>
        <v>0</v>
      </c>
      <c r="G2612" s="16" t="s">
        <v>1958</v>
      </c>
      <c r="H2612" s="105">
        <f>AC2612</f>
        <v>5.6242969628796394E-2</v>
      </c>
      <c r="I2612" s="106">
        <f>K2612+J2612+L2612</f>
        <v>55700</v>
      </c>
      <c r="J2612" s="39">
        <f>중기목록표!F13</f>
        <v>55700</v>
      </c>
      <c r="M2612" s="20" t="s">
        <v>1711</v>
      </c>
      <c r="N2612" s="20" t="s">
        <v>1721</v>
      </c>
      <c r="X2612" s="108" t="str">
        <f>중기목록표!B13&amp;" / "&amp;중기목록표!C13</f>
        <v>덤프트럭15ton(암) / 할증율:1.25</v>
      </c>
      <c r="Y2612" s="19" t="str">
        <f ca="1">HYPERLINK("#"&amp;중기목록표!J2&amp;"!A"&amp;ROW(중기목록표!A13),"중기   10 →")</f>
        <v>중기   10 →</v>
      </c>
      <c r="Z2612" s="20" t="s">
        <v>1393</v>
      </c>
      <c r="AA2612" s="112" t="str">
        <f>AJ2610</f>
        <v>17.78</v>
      </c>
      <c r="AB2612" s="20" t="s">
        <v>1326</v>
      </c>
      <c r="AC2612" s="113">
        <f>1/AJ2610</f>
        <v>5.6242969628796394E-2</v>
      </c>
      <c r="AD2612" s="109"/>
      <c r="AE2612" s="109"/>
      <c r="AF2612" s="109"/>
      <c r="AG2612" s="109"/>
      <c r="AH2612" s="109"/>
      <c r="AI2612" s="109"/>
      <c r="AJ2612" s="109"/>
      <c r="AK2612" s="109"/>
      <c r="AL2612" s="109"/>
      <c r="AM2612" s="109"/>
      <c r="AN2612" s="109"/>
      <c r="AO2612" s="109"/>
      <c r="AP2612" s="109"/>
      <c r="AQ2612" s="109"/>
      <c r="AR2612" s="109"/>
      <c r="AS2612" s="109"/>
    </row>
    <row r="2613" spans="1:45" ht="12.6" customHeight="1" x14ac:dyDescent="0.3">
      <c r="A2613" s="78"/>
      <c r="B2613" s="78"/>
      <c r="C2613" s="78"/>
      <c r="D2613" s="78"/>
      <c r="E2613" s="78"/>
      <c r="F2613" s="78"/>
      <c r="G2613" s="16" t="s">
        <v>1317</v>
      </c>
      <c r="Z2613" s="109"/>
      <c r="AA2613" s="109"/>
      <c r="AB2613" s="109"/>
      <c r="AC2613" s="109"/>
      <c r="AD2613" s="109"/>
      <c r="AE2613" s="109"/>
      <c r="AF2613" s="109"/>
      <c r="AG2613" s="109"/>
      <c r="AH2613" s="109"/>
      <c r="AI2613" s="109"/>
      <c r="AJ2613" s="109"/>
      <c r="AK2613" s="109"/>
      <c r="AL2613" s="109"/>
      <c r="AM2613" s="109"/>
      <c r="AN2613" s="109"/>
      <c r="AO2613" s="109"/>
      <c r="AP2613" s="109"/>
      <c r="AQ2613" s="109"/>
      <c r="AR2613" s="109"/>
      <c r="AS2613" s="109"/>
    </row>
    <row r="2614" spans="1:45" ht="12.6" customHeight="1" x14ac:dyDescent="0.3">
      <c r="A2614" s="68" t="s">
        <v>1713</v>
      </c>
      <c r="B2614" s="97" t="str">
        <f>" 재 료 비  :  "&amp;TEXT(I2614,"#,##0"&amp;IF(I2614&lt;&gt;INT(I2614),".###",""))&amp;" / Q1 * OH = "&amp;TEXT(C2614,"#,##0.0")&amp;""</f>
        <v xml:space="preserve"> 재 료 비  :  27,910 / Q1 * OH = 266.8</v>
      </c>
      <c r="C2614" s="99">
        <f>E2614+D2614+F2614</f>
        <v>266.8</v>
      </c>
      <c r="D2614" s="99">
        <f>IF(H2614=0,0,ROUNDDOWN(J2614*H2614,1))</f>
        <v>0</v>
      </c>
      <c r="E2614" s="99">
        <f>IF(H2614=0,0,ROUNDDOWN(K2614*H2614,1))</f>
        <v>266.8</v>
      </c>
      <c r="F2614" s="99">
        <f>IF(H2614=0,0,ROUNDDOWN(L2614*H2614,1))</f>
        <v>0</v>
      </c>
      <c r="G2614" s="16" t="s">
        <v>1959</v>
      </c>
      <c r="H2614" s="105">
        <f>AE2614</f>
        <v>9.5613048368953877E-3</v>
      </c>
      <c r="I2614" s="106">
        <f>K2614+J2614+L2614</f>
        <v>27910</v>
      </c>
      <c r="K2614" s="39">
        <f>중기목록표!G13</f>
        <v>27910</v>
      </c>
      <c r="M2614" s="20" t="s">
        <v>1711</v>
      </c>
      <c r="N2614" s="20" t="s">
        <v>1721</v>
      </c>
      <c r="X2614" s="108" t="str">
        <f>중기목록표!B13&amp;" / "&amp;중기목록표!C13</f>
        <v>덤프트럭15ton(암) / 할증율:1.25</v>
      </c>
      <c r="Y2614" s="19" t="str">
        <f ca="1">HYPERLINK("#"&amp;중기목록표!J2&amp;"!A"&amp;ROW(중기목록표!A13),"중기   10 →")</f>
        <v>중기   10 →</v>
      </c>
      <c r="Z2614" s="20" t="s">
        <v>1393</v>
      </c>
      <c r="AA2614" s="112" t="str">
        <f>AJ2610</f>
        <v>17.78</v>
      </c>
      <c r="AB2614" s="20" t="s">
        <v>1390</v>
      </c>
      <c r="AC2614" s="112" t="str">
        <f>AD2608</f>
        <v>0.17</v>
      </c>
      <c r="AD2614" s="20" t="s">
        <v>1326</v>
      </c>
      <c r="AE2614" s="113">
        <f>1/AJ2610*AD2608</f>
        <v>9.5613048368953877E-3</v>
      </c>
      <c r="AF2614" s="109"/>
      <c r="AG2614" s="109"/>
      <c r="AH2614" s="109"/>
      <c r="AI2614" s="109"/>
      <c r="AJ2614" s="109"/>
      <c r="AK2614" s="109"/>
      <c r="AL2614" s="109"/>
      <c r="AM2614" s="109"/>
      <c r="AN2614" s="109"/>
      <c r="AO2614" s="109"/>
      <c r="AP2614" s="109"/>
      <c r="AQ2614" s="109"/>
      <c r="AR2614" s="109"/>
      <c r="AS2614" s="109"/>
    </row>
    <row r="2615" spans="1:45" ht="12.6" customHeight="1" x14ac:dyDescent="0.3">
      <c r="A2615" s="78"/>
      <c r="B2615" s="78"/>
      <c r="C2615" s="78"/>
      <c r="D2615" s="78"/>
      <c r="E2615" s="78"/>
      <c r="F2615" s="78"/>
      <c r="G2615" s="16" t="s">
        <v>1317</v>
      </c>
      <c r="Z2615" s="109"/>
      <c r="AA2615" s="109"/>
      <c r="AB2615" s="109"/>
      <c r="AC2615" s="109"/>
      <c r="AD2615" s="109"/>
      <c r="AE2615" s="109"/>
      <c r="AF2615" s="109"/>
      <c r="AG2615" s="109"/>
      <c r="AH2615" s="109"/>
      <c r="AI2615" s="109"/>
      <c r="AJ2615" s="109"/>
      <c r="AK2615" s="109"/>
      <c r="AL2615" s="109"/>
      <c r="AM2615" s="109"/>
      <c r="AN2615" s="109"/>
      <c r="AO2615" s="109"/>
      <c r="AP2615" s="109"/>
      <c r="AQ2615" s="109"/>
      <c r="AR2615" s="109"/>
      <c r="AS2615" s="109"/>
    </row>
    <row r="2616" spans="1:45" ht="12.6" customHeight="1" x14ac:dyDescent="0.3">
      <c r="A2616" s="68" t="s">
        <v>1715</v>
      </c>
      <c r="B2616" s="97" t="str">
        <f>" 경    비  :  "&amp;TEXT(I2616,"#,##0"&amp;IF(I2616&lt;&gt;INT(I2616),".###",""))&amp;" / Q1  = "&amp;TEXT(C2616,"#,##0.0")&amp;""</f>
        <v xml:space="preserve"> 경    비  :  23,077 / Q1  = 1,297.9</v>
      </c>
      <c r="C2616" s="99">
        <f>E2616+D2616+F2616</f>
        <v>1297.9000000000001</v>
      </c>
      <c r="D2616" s="99">
        <f>IF(H2616=0,0,ROUNDDOWN(J2616*H2616,1))</f>
        <v>0</v>
      </c>
      <c r="E2616" s="99">
        <f>IF(H2616=0,0,ROUNDDOWN(K2616*H2616,1))</f>
        <v>0</v>
      </c>
      <c r="F2616" s="99">
        <f>IF(H2616=0,0,ROUNDDOWN(L2616*H2616,1))</f>
        <v>1297.9000000000001</v>
      </c>
      <c r="G2616" s="16" t="s">
        <v>1960</v>
      </c>
      <c r="H2616" s="105">
        <f>AC2616</f>
        <v>5.6242969628796394E-2</v>
      </c>
      <c r="I2616" s="106">
        <f>K2616+J2616+L2616</f>
        <v>23077</v>
      </c>
      <c r="L2616" s="39">
        <f>중기목록표!H13</f>
        <v>23077</v>
      </c>
      <c r="M2616" s="20" t="s">
        <v>1711</v>
      </c>
      <c r="N2616" s="20" t="s">
        <v>1721</v>
      </c>
      <c r="X2616" s="108" t="str">
        <f>중기목록표!B13&amp;" / "&amp;중기목록표!C13</f>
        <v>덤프트럭15ton(암) / 할증율:1.25</v>
      </c>
      <c r="Y2616" s="19" t="str">
        <f ca="1">HYPERLINK("#"&amp;중기목록표!J2&amp;"!A"&amp;ROW(중기목록표!A13),"중기   10 →")</f>
        <v>중기   10 →</v>
      </c>
      <c r="Z2616" s="20" t="s">
        <v>1393</v>
      </c>
      <c r="AA2616" s="112" t="str">
        <f>AJ2610</f>
        <v>17.78</v>
      </c>
      <c r="AB2616" s="20" t="s">
        <v>1326</v>
      </c>
      <c r="AC2616" s="113">
        <f>1/AJ2610</f>
        <v>5.6242969628796394E-2</v>
      </c>
      <c r="AD2616" s="109"/>
      <c r="AE2616" s="109"/>
      <c r="AF2616" s="109"/>
      <c r="AG2616" s="109"/>
      <c r="AH2616" s="109"/>
      <c r="AI2616" s="109"/>
      <c r="AJ2616" s="109"/>
      <c r="AK2616" s="109"/>
      <c r="AL2616" s="109"/>
      <c r="AM2616" s="109"/>
      <c r="AN2616" s="109"/>
      <c r="AO2616" s="109"/>
      <c r="AP2616" s="109"/>
      <c r="AQ2616" s="109"/>
      <c r="AR2616" s="109"/>
      <c r="AS2616" s="109"/>
    </row>
    <row r="2617" spans="1:45" ht="12.6" customHeight="1" x14ac:dyDescent="0.3">
      <c r="A2617" s="78"/>
      <c r="B2617" s="78"/>
      <c r="C2617" s="78"/>
      <c r="D2617" s="78"/>
      <c r="E2617" s="78"/>
      <c r="F2617" s="78"/>
      <c r="G2617" s="16" t="s">
        <v>1317</v>
      </c>
      <c r="Z2617" s="109"/>
      <c r="AA2617" s="109"/>
      <c r="AB2617" s="109"/>
      <c r="AC2617" s="109"/>
      <c r="AD2617" s="109"/>
      <c r="AE2617" s="109"/>
      <c r="AF2617" s="109"/>
      <c r="AG2617" s="109"/>
      <c r="AH2617" s="109"/>
      <c r="AI2617" s="109"/>
      <c r="AJ2617" s="109"/>
      <c r="AK2617" s="109"/>
      <c r="AL2617" s="109"/>
      <c r="AM2617" s="109"/>
      <c r="AN2617" s="109"/>
      <c r="AO2617" s="109"/>
      <c r="AP2617" s="109"/>
      <c r="AQ2617" s="109"/>
      <c r="AR2617" s="109"/>
      <c r="AS2617" s="109"/>
    </row>
    <row r="2618" spans="1:45" ht="12.6" customHeight="1" x14ac:dyDescent="0.3">
      <c r="A2618" s="68"/>
      <c r="B2618" s="77" t="s">
        <v>1720</v>
      </c>
      <c r="C2618" s="103">
        <f>E2618+D2618+F2618</f>
        <v>4697.3999999999996</v>
      </c>
      <c r="D2618" s="103">
        <f>SUMIF(N2585:N2617,M2618,D2585:D2617)</f>
        <v>3132.7</v>
      </c>
      <c r="E2618" s="103">
        <f>SUMIF(N2585:N2617,M2618,E2585:E2617)</f>
        <v>266.8</v>
      </c>
      <c r="F2618" s="103">
        <f>SUMIF(N2585:N2617,M2618,F2585:F2617)</f>
        <v>1297.9000000000001</v>
      </c>
      <c r="G2618" s="16" t="s">
        <v>1961</v>
      </c>
      <c r="M2618" s="20" t="s">
        <v>1721</v>
      </c>
      <c r="Z2618" s="109"/>
      <c r="AA2618" s="109"/>
      <c r="AB2618" s="109"/>
      <c r="AC2618" s="109"/>
      <c r="AD2618" s="109"/>
      <c r="AE2618" s="109"/>
      <c r="AF2618" s="109"/>
      <c r="AG2618" s="109"/>
      <c r="AH2618" s="109"/>
      <c r="AI2618" s="109"/>
      <c r="AJ2618" s="109"/>
      <c r="AK2618" s="109"/>
      <c r="AL2618" s="109"/>
      <c r="AM2618" s="109"/>
      <c r="AN2618" s="109"/>
      <c r="AO2618" s="109"/>
      <c r="AP2618" s="109"/>
      <c r="AQ2618" s="109"/>
      <c r="AR2618" s="109"/>
      <c r="AS2618" s="109"/>
    </row>
    <row r="2619" spans="1:45" ht="12.6" customHeight="1" x14ac:dyDescent="0.3">
      <c r="A2619" s="78"/>
      <c r="B2619" s="78"/>
      <c r="C2619" s="104"/>
      <c r="D2619" s="104"/>
      <c r="E2619" s="104"/>
      <c r="F2619" s="104"/>
      <c r="G2619" s="16" t="s">
        <v>1317</v>
      </c>
      <c r="Z2619" s="109"/>
      <c r="AA2619" s="109"/>
      <c r="AB2619" s="109"/>
      <c r="AC2619" s="109"/>
      <c r="AD2619" s="109"/>
      <c r="AE2619" s="109"/>
      <c r="AF2619" s="109"/>
      <c r="AG2619" s="109"/>
      <c r="AH2619" s="109"/>
      <c r="AI2619" s="109"/>
      <c r="AJ2619" s="109"/>
      <c r="AK2619" s="109"/>
      <c r="AL2619" s="109"/>
      <c r="AM2619" s="109"/>
      <c r="AN2619" s="109"/>
      <c r="AO2619" s="109"/>
      <c r="AP2619" s="109"/>
      <c r="AQ2619" s="109"/>
      <c r="AR2619" s="109"/>
      <c r="AS2619" s="109"/>
    </row>
    <row r="2620" spans="1:45" ht="12.6" customHeight="1" x14ac:dyDescent="0.3">
      <c r="A2620" s="68"/>
      <c r="B2620" s="77" t="s">
        <v>1963</v>
      </c>
      <c r="C2620" s="78"/>
      <c r="D2620" s="78"/>
      <c r="E2620" s="78"/>
      <c r="F2620" s="78"/>
      <c r="G2620" s="16" t="s">
        <v>1962</v>
      </c>
      <c r="Z2620" s="109"/>
      <c r="AA2620" s="109"/>
      <c r="AB2620" s="109"/>
      <c r="AC2620" s="109"/>
      <c r="AD2620" s="109"/>
      <c r="AE2620" s="109"/>
      <c r="AF2620" s="109"/>
      <c r="AG2620" s="109"/>
      <c r="AH2620" s="109"/>
      <c r="AI2620" s="109"/>
      <c r="AJ2620" s="109"/>
      <c r="AK2620" s="109"/>
      <c r="AL2620" s="109"/>
      <c r="AM2620" s="109"/>
      <c r="AN2620" s="109"/>
      <c r="AO2620" s="109"/>
      <c r="AP2620" s="109"/>
      <c r="AQ2620" s="109"/>
      <c r="AR2620" s="109"/>
      <c r="AS2620" s="109"/>
    </row>
    <row r="2621" spans="1:45" ht="12.6" customHeight="1" x14ac:dyDescent="0.3">
      <c r="A2621" s="78"/>
      <c r="B2621" s="78"/>
      <c r="C2621" s="78"/>
      <c r="D2621" s="78"/>
      <c r="E2621" s="78"/>
      <c r="F2621" s="78"/>
      <c r="G2621" s="16" t="s">
        <v>1317</v>
      </c>
      <c r="Z2621" s="109"/>
      <c r="AA2621" s="109"/>
      <c r="AB2621" s="109"/>
      <c r="AC2621" s="109"/>
      <c r="AD2621" s="109"/>
      <c r="AE2621" s="109"/>
      <c r="AF2621" s="109"/>
      <c r="AG2621" s="109"/>
      <c r="AH2621" s="109"/>
      <c r="AI2621" s="109"/>
      <c r="AJ2621" s="109"/>
      <c r="AK2621" s="109"/>
      <c r="AL2621" s="109"/>
      <c r="AM2621" s="109"/>
      <c r="AN2621" s="109"/>
      <c r="AO2621" s="109"/>
      <c r="AP2621" s="109"/>
      <c r="AQ2621" s="109"/>
      <c r="AR2621" s="109"/>
      <c r="AS2621" s="109"/>
    </row>
    <row r="2622" spans="1:45" ht="12.6" customHeight="1" x14ac:dyDescent="0.3">
      <c r="A2622" s="68"/>
      <c r="B2622" s="97" t="str">
        <f>" E (작업효율) = "&amp;Z2622&amp;""</f>
        <v xml:space="preserve"> E (작업효율) = 0.9</v>
      </c>
      <c r="C2622" s="78"/>
      <c r="D2622" s="78"/>
      <c r="E2622" s="78"/>
      <c r="F2622" s="78"/>
      <c r="G2622" s="16" t="s">
        <v>1950</v>
      </c>
      <c r="Z2622" s="110">
        <v>0.9</v>
      </c>
      <c r="AA2622" s="20" t="s">
        <v>1326</v>
      </c>
      <c r="AB2622" s="112">
        <f>Z2622</f>
        <v>0.9</v>
      </c>
      <c r="AC2622" s="109"/>
      <c r="AD2622" s="109"/>
      <c r="AE2622" s="109"/>
      <c r="AF2622" s="109"/>
      <c r="AG2622" s="109"/>
      <c r="AH2622" s="109"/>
      <c r="AI2622" s="109"/>
      <c r="AJ2622" s="109"/>
      <c r="AK2622" s="109"/>
      <c r="AL2622" s="109"/>
      <c r="AM2622" s="109"/>
      <c r="AN2622" s="109"/>
      <c r="AO2622" s="109"/>
      <c r="AP2622" s="109"/>
      <c r="AQ2622" s="109"/>
      <c r="AR2622" s="109"/>
      <c r="AS2622" s="109"/>
    </row>
    <row r="2623" spans="1:45" ht="12.6" customHeight="1" x14ac:dyDescent="0.3">
      <c r="A2623" s="78"/>
      <c r="B2623" s="78"/>
      <c r="C2623" s="78"/>
      <c r="D2623" s="78"/>
      <c r="E2623" s="78"/>
      <c r="F2623" s="78"/>
      <c r="G2623" s="16" t="s">
        <v>1317</v>
      </c>
      <c r="Z2623" s="109"/>
      <c r="AA2623" s="109"/>
      <c r="AB2623" s="109"/>
      <c r="AC2623" s="109"/>
      <c r="AD2623" s="109"/>
      <c r="AE2623" s="109"/>
      <c r="AF2623" s="109"/>
      <c r="AG2623" s="109"/>
      <c r="AH2623" s="109"/>
      <c r="AI2623" s="109"/>
      <c r="AJ2623" s="109"/>
      <c r="AK2623" s="109"/>
      <c r="AL2623" s="109"/>
      <c r="AM2623" s="109"/>
      <c r="AN2623" s="109"/>
      <c r="AO2623" s="109"/>
      <c r="AP2623" s="109"/>
      <c r="AQ2623" s="109"/>
      <c r="AR2623" s="109"/>
      <c r="AS2623" s="109"/>
    </row>
    <row r="2624" spans="1:45" ht="12.6" customHeight="1" x14ac:dyDescent="0.3">
      <c r="A2624" s="68"/>
      <c r="B2624" s="97" t="str">
        <f>" q1 (흐트러진상태의 덤프트럭 1회 적재량)  = ("&amp;AA2624&amp;"/"&amp;AC2624&amp;")*"&amp;AE2624&amp;"= "&amp;AG2624&amp;""</f>
        <v xml:space="preserve"> q1 (흐트러진상태의 덤프트럭 1회 적재량)  = (10.5/2)*1.625= 8.53</v>
      </c>
      <c r="C2624" s="78"/>
      <c r="D2624" s="78"/>
      <c r="E2624" s="78"/>
      <c r="F2624" s="78"/>
      <c r="G2624" s="16" t="s">
        <v>1964</v>
      </c>
      <c r="Z2624" s="20" t="s">
        <v>1526</v>
      </c>
      <c r="AA2624" s="110">
        <v>10.5</v>
      </c>
      <c r="AB2624" s="20" t="s">
        <v>1387</v>
      </c>
      <c r="AC2624" s="111">
        <v>2</v>
      </c>
      <c r="AD2624" s="20" t="s">
        <v>1527</v>
      </c>
      <c r="AE2624" s="110">
        <v>1.625</v>
      </c>
      <c r="AF2624" s="20" t="s">
        <v>1326</v>
      </c>
      <c r="AG2624" s="112" t="str">
        <f>TEXT(ROUND((AA2624/AC2624)*AE2624,2),"0.00")</f>
        <v>8.53</v>
      </c>
      <c r="AH2624" s="109"/>
      <c r="AI2624" s="109"/>
      <c r="AJ2624" s="109"/>
      <c r="AK2624" s="109"/>
      <c r="AL2624" s="109"/>
      <c r="AM2624" s="109"/>
      <c r="AN2624" s="109"/>
      <c r="AO2624" s="109"/>
      <c r="AP2624" s="109"/>
      <c r="AQ2624" s="109"/>
      <c r="AR2624" s="109"/>
      <c r="AS2624" s="109"/>
    </row>
    <row r="2625" spans="1:45" ht="12.6" customHeight="1" x14ac:dyDescent="0.3">
      <c r="A2625" s="78"/>
      <c r="B2625" s="78"/>
      <c r="C2625" s="78"/>
      <c r="D2625" s="78"/>
      <c r="E2625" s="78"/>
      <c r="F2625" s="78"/>
      <c r="G2625" s="16" t="s">
        <v>1317</v>
      </c>
      <c r="Z2625" s="109"/>
      <c r="AA2625" s="109"/>
      <c r="AB2625" s="109"/>
      <c r="AC2625" s="109"/>
      <c r="AD2625" s="109"/>
      <c r="AE2625" s="109"/>
      <c r="AF2625" s="109"/>
      <c r="AG2625" s="109"/>
      <c r="AH2625" s="109"/>
      <c r="AI2625" s="109"/>
      <c r="AJ2625" s="109"/>
      <c r="AK2625" s="109"/>
      <c r="AL2625" s="109"/>
      <c r="AM2625" s="109"/>
      <c r="AN2625" s="109"/>
      <c r="AO2625" s="109"/>
      <c r="AP2625" s="109"/>
      <c r="AQ2625" s="109"/>
      <c r="AR2625" s="109"/>
      <c r="AS2625" s="109"/>
    </row>
    <row r="2626" spans="1:45" ht="12.6" customHeight="1" x14ac:dyDescent="0.3">
      <c r="A2626" s="68"/>
      <c r="B2626" s="77" t="s">
        <v>1528</v>
      </c>
      <c r="C2626" s="78"/>
      <c r="D2626" s="78"/>
      <c r="E2626" s="78"/>
      <c r="F2626" s="78"/>
      <c r="G2626" s="16" t="s">
        <v>1803</v>
      </c>
      <c r="Z2626" s="109"/>
      <c r="AA2626" s="109"/>
      <c r="AB2626" s="109"/>
      <c r="AC2626" s="109"/>
      <c r="AD2626" s="109"/>
      <c r="AE2626" s="109"/>
      <c r="AF2626" s="109"/>
      <c r="AG2626" s="109"/>
      <c r="AH2626" s="109"/>
      <c r="AI2626" s="109"/>
      <c r="AJ2626" s="109"/>
      <c r="AK2626" s="109"/>
      <c r="AL2626" s="109"/>
      <c r="AM2626" s="109"/>
      <c r="AN2626" s="109"/>
      <c r="AO2626" s="109"/>
      <c r="AP2626" s="109"/>
      <c r="AQ2626" s="109"/>
      <c r="AR2626" s="109"/>
      <c r="AS2626" s="109"/>
    </row>
    <row r="2627" spans="1:45" ht="12.6" customHeight="1" x14ac:dyDescent="0.3">
      <c r="A2627" s="78"/>
      <c r="B2627" s="78"/>
      <c r="C2627" s="78"/>
      <c r="D2627" s="78"/>
      <c r="E2627" s="78"/>
      <c r="F2627" s="78"/>
      <c r="G2627" s="16" t="s">
        <v>1317</v>
      </c>
      <c r="Z2627" s="109"/>
      <c r="AA2627" s="109"/>
      <c r="AB2627" s="109"/>
      <c r="AC2627" s="109"/>
      <c r="AD2627" s="109"/>
      <c r="AE2627" s="109"/>
      <c r="AF2627" s="109"/>
      <c r="AG2627" s="109"/>
      <c r="AH2627" s="109"/>
      <c r="AI2627" s="109"/>
      <c r="AJ2627" s="109"/>
      <c r="AK2627" s="109"/>
      <c r="AL2627" s="109"/>
      <c r="AM2627" s="109"/>
      <c r="AN2627" s="109"/>
      <c r="AO2627" s="109"/>
      <c r="AP2627" s="109"/>
      <c r="AQ2627" s="109"/>
      <c r="AR2627" s="109"/>
      <c r="AS2627" s="109"/>
    </row>
    <row r="2628" spans="1:45" ht="12.6" customHeight="1" x14ac:dyDescent="0.3">
      <c r="A2628" s="68"/>
      <c r="B2628" s="97" t="str">
        <f>" n = q1 / ("&amp;AB2628&amp;" * k) = "&amp;AG2628&amp;" 회 "</f>
        <v xml:space="preserve"> n = q1 / (0.7 * k) = 22.16 회 </v>
      </c>
      <c r="C2628" s="78"/>
      <c r="D2628" s="78"/>
      <c r="E2628" s="78"/>
      <c r="F2628" s="78"/>
      <c r="G2628" s="16" t="s">
        <v>1952</v>
      </c>
      <c r="Z2628" s="112" t="str">
        <f>AG2624</f>
        <v>8.53</v>
      </c>
      <c r="AA2628" s="20" t="s">
        <v>1531</v>
      </c>
      <c r="AB2628" s="110">
        <v>0.7</v>
      </c>
      <c r="AC2628" s="20" t="s">
        <v>1390</v>
      </c>
      <c r="AD2628" s="112">
        <f>AF2570</f>
        <v>0.55000000000000004</v>
      </c>
      <c r="AE2628" s="20" t="s">
        <v>1532</v>
      </c>
      <c r="AF2628" s="20" t="s">
        <v>1326</v>
      </c>
      <c r="AG2628" s="112" t="str">
        <f>TEXT(ROUND(AG2624/(AB2628*AF2570),2),"0.00")</f>
        <v>22.16</v>
      </c>
      <c r="AH2628" s="109"/>
      <c r="AI2628" s="109"/>
      <c r="AJ2628" s="109"/>
      <c r="AK2628" s="109"/>
      <c r="AL2628" s="109"/>
      <c r="AM2628" s="109"/>
      <c r="AN2628" s="109"/>
      <c r="AO2628" s="109"/>
      <c r="AP2628" s="109"/>
      <c r="AQ2628" s="109"/>
      <c r="AR2628" s="109"/>
      <c r="AS2628" s="109"/>
    </row>
    <row r="2629" spans="1:45" ht="12.6" customHeight="1" x14ac:dyDescent="0.3">
      <c r="A2629" s="78"/>
      <c r="B2629" s="78"/>
      <c r="C2629" s="78"/>
      <c r="D2629" s="78"/>
      <c r="E2629" s="78"/>
      <c r="F2629" s="78"/>
      <c r="G2629" s="16" t="s">
        <v>1317</v>
      </c>
      <c r="Z2629" s="109"/>
      <c r="AA2629" s="109"/>
      <c r="AB2629" s="109"/>
      <c r="AC2629" s="109"/>
      <c r="AD2629" s="109"/>
      <c r="AE2629" s="109"/>
      <c r="AF2629" s="109"/>
      <c r="AG2629" s="109"/>
      <c r="AH2629" s="109"/>
      <c r="AI2629" s="109"/>
      <c r="AJ2629" s="109"/>
      <c r="AK2629" s="109"/>
      <c r="AL2629" s="109"/>
      <c r="AM2629" s="109"/>
      <c r="AN2629" s="109"/>
      <c r="AO2629" s="109"/>
      <c r="AP2629" s="109"/>
      <c r="AQ2629" s="109"/>
      <c r="AR2629" s="109"/>
      <c r="AS2629" s="109"/>
    </row>
    <row r="2630" spans="1:45" ht="12.6" customHeight="1" x14ac:dyDescent="0.3">
      <c r="A2630" s="68"/>
      <c r="B2630" s="97" t="str">
        <f>" t1 (적재시간) = "&amp;Z2630&amp;" * n / ("&amp;AD2630&amp;" * "&amp;AF2630&amp;") = "&amp;AI2630&amp;" 분 "</f>
        <v xml:space="preserve"> t1 (적재시간) = 20 * n / (60 * 0.45) = 16.41 분 </v>
      </c>
      <c r="C2630" s="78"/>
      <c r="D2630" s="78"/>
      <c r="E2630" s="78"/>
      <c r="F2630" s="78"/>
      <c r="G2630" s="16" t="s">
        <v>1953</v>
      </c>
      <c r="Z2630" s="111">
        <v>20</v>
      </c>
      <c r="AA2630" s="20" t="s">
        <v>1390</v>
      </c>
      <c r="AB2630" s="112" t="str">
        <f>AG2628</f>
        <v>22.16</v>
      </c>
      <c r="AC2630" s="20" t="s">
        <v>1531</v>
      </c>
      <c r="AD2630" s="111">
        <v>60</v>
      </c>
      <c r="AE2630" s="20" t="s">
        <v>1390</v>
      </c>
      <c r="AF2630" s="110">
        <v>0.45</v>
      </c>
      <c r="AG2630" s="20" t="s">
        <v>1532</v>
      </c>
      <c r="AH2630" s="20" t="s">
        <v>1326</v>
      </c>
      <c r="AI2630" s="112" t="str">
        <f>TEXT(ROUND(Z2630*AG2628/(AD2630*AF2630),2),"0.00")</f>
        <v>16.41</v>
      </c>
      <c r="AJ2630" s="109"/>
      <c r="AK2630" s="109"/>
      <c r="AL2630" s="109"/>
      <c r="AM2630" s="109"/>
      <c r="AN2630" s="109"/>
      <c r="AO2630" s="109"/>
      <c r="AP2630" s="109"/>
      <c r="AQ2630" s="109"/>
      <c r="AR2630" s="109"/>
      <c r="AS2630" s="109"/>
    </row>
    <row r="2631" spans="1:45" ht="12.6" customHeight="1" x14ac:dyDescent="0.3">
      <c r="A2631" s="78"/>
      <c r="B2631" s="78"/>
      <c r="C2631" s="78"/>
      <c r="D2631" s="78"/>
      <c r="E2631" s="78"/>
      <c r="F2631" s="78"/>
      <c r="G2631" s="16" t="s">
        <v>1317</v>
      </c>
      <c r="Z2631" s="109"/>
      <c r="AA2631" s="109"/>
      <c r="AB2631" s="109"/>
      <c r="AC2631" s="109"/>
      <c r="AD2631" s="109"/>
      <c r="AE2631" s="109"/>
      <c r="AF2631" s="109"/>
      <c r="AG2631" s="109"/>
      <c r="AH2631" s="109"/>
      <c r="AI2631" s="109"/>
      <c r="AJ2631" s="109"/>
      <c r="AK2631" s="109"/>
      <c r="AL2631" s="109"/>
      <c r="AM2631" s="109"/>
      <c r="AN2631" s="109"/>
      <c r="AO2631" s="109"/>
      <c r="AP2631" s="109"/>
      <c r="AQ2631" s="109"/>
      <c r="AR2631" s="109"/>
      <c r="AS2631" s="109"/>
    </row>
    <row r="2632" spans="1:45" ht="12.6" customHeight="1" x14ac:dyDescent="0.3">
      <c r="A2632" s="68"/>
      <c r="B2632" s="97" t="str">
        <f>" t2 (왕복시간) = (L/"&amp;AC2632&amp;"+L/"&amp;AG2632&amp;")* "&amp;AI2632&amp;" = "&amp;AK2632&amp;" 분 "</f>
        <v xml:space="preserve"> t2 (왕복시간) = (L/7+L/8)* 60 = 5.11 분 </v>
      </c>
      <c r="C2632" s="78"/>
      <c r="D2632" s="78"/>
      <c r="E2632" s="78"/>
      <c r="F2632" s="78"/>
      <c r="G2632" s="16" t="s">
        <v>1923</v>
      </c>
      <c r="Z2632" s="20" t="s">
        <v>1526</v>
      </c>
      <c r="AA2632" s="112">
        <f>AB2566</f>
        <v>0.318</v>
      </c>
      <c r="AB2632" s="20" t="s">
        <v>1387</v>
      </c>
      <c r="AC2632" s="111">
        <v>7</v>
      </c>
      <c r="AD2632" s="20" t="s">
        <v>1535</v>
      </c>
      <c r="AE2632" s="112">
        <f>AB2566</f>
        <v>0.318</v>
      </c>
      <c r="AF2632" s="20" t="s">
        <v>1387</v>
      </c>
      <c r="AG2632" s="111">
        <v>8</v>
      </c>
      <c r="AH2632" s="20" t="s">
        <v>1527</v>
      </c>
      <c r="AI2632" s="111">
        <v>60</v>
      </c>
      <c r="AJ2632" s="20" t="s">
        <v>1326</v>
      </c>
      <c r="AK2632" s="112" t="str">
        <f>TEXT(ROUND((AB2566/AC2632+AB2566/AG2632)*AI2632,2),"0.00")</f>
        <v>5.11</v>
      </c>
      <c r="AL2632" s="109"/>
      <c r="AM2632" s="109"/>
      <c r="AN2632" s="109"/>
      <c r="AO2632" s="109"/>
      <c r="AP2632" s="109"/>
      <c r="AQ2632" s="109"/>
      <c r="AR2632" s="109"/>
      <c r="AS2632" s="109"/>
    </row>
    <row r="2633" spans="1:45" ht="12.6" customHeight="1" x14ac:dyDescent="0.3">
      <c r="A2633" s="78"/>
      <c r="B2633" s="78"/>
      <c r="C2633" s="78"/>
      <c r="D2633" s="78"/>
      <c r="E2633" s="78"/>
      <c r="F2633" s="78"/>
      <c r="G2633" s="16" t="s">
        <v>1317</v>
      </c>
      <c r="Z2633" s="109"/>
      <c r="AA2633" s="109"/>
      <c r="AB2633" s="109"/>
      <c r="AC2633" s="109"/>
      <c r="AD2633" s="109"/>
      <c r="AE2633" s="109"/>
      <c r="AF2633" s="109"/>
      <c r="AG2633" s="109"/>
      <c r="AH2633" s="109"/>
      <c r="AI2633" s="109"/>
      <c r="AJ2633" s="109"/>
      <c r="AK2633" s="109"/>
      <c r="AL2633" s="109"/>
      <c r="AM2633" s="109"/>
      <c r="AN2633" s="109"/>
      <c r="AO2633" s="109"/>
      <c r="AP2633" s="109"/>
      <c r="AQ2633" s="109"/>
      <c r="AR2633" s="109"/>
      <c r="AS2633" s="109"/>
    </row>
    <row r="2634" spans="1:45" ht="12.6" customHeight="1" x14ac:dyDescent="0.3">
      <c r="A2634" s="68"/>
      <c r="B2634" s="97" t="str">
        <f>" t3 (적하시간) = "&amp;Z2634&amp;""</f>
        <v xml:space="preserve"> t3 (적하시간) = 1.1</v>
      </c>
      <c r="C2634" s="78"/>
      <c r="D2634" s="78"/>
      <c r="E2634" s="78"/>
      <c r="F2634" s="78"/>
      <c r="G2634" s="16" t="s">
        <v>1924</v>
      </c>
      <c r="Z2634" s="110">
        <v>1.1000000000000001</v>
      </c>
      <c r="AA2634" s="20" t="s">
        <v>1326</v>
      </c>
      <c r="AB2634" s="112">
        <f>Z2634</f>
        <v>1.1000000000000001</v>
      </c>
      <c r="AC2634" s="109"/>
      <c r="AD2634" s="109"/>
      <c r="AE2634" s="109"/>
      <c r="AF2634" s="109"/>
      <c r="AG2634" s="109"/>
      <c r="AH2634" s="109"/>
      <c r="AI2634" s="109"/>
      <c r="AJ2634" s="109"/>
      <c r="AK2634" s="109"/>
      <c r="AL2634" s="109"/>
      <c r="AM2634" s="109"/>
      <c r="AN2634" s="109"/>
      <c r="AO2634" s="109"/>
      <c r="AP2634" s="109"/>
      <c r="AQ2634" s="109"/>
      <c r="AR2634" s="109"/>
      <c r="AS2634" s="109"/>
    </row>
    <row r="2635" spans="1:45" ht="12.6" customHeight="1" x14ac:dyDescent="0.3">
      <c r="A2635" s="78"/>
      <c r="B2635" s="78"/>
      <c r="C2635" s="78"/>
      <c r="D2635" s="78"/>
      <c r="E2635" s="78"/>
      <c r="F2635" s="78"/>
      <c r="G2635" s="16" t="s">
        <v>1317</v>
      </c>
      <c r="Z2635" s="109"/>
      <c r="AA2635" s="109"/>
      <c r="AB2635" s="109"/>
      <c r="AC2635" s="109"/>
      <c r="AD2635" s="109"/>
      <c r="AE2635" s="109"/>
      <c r="AF2635" s="109"/>
      <c r="AG2635" s="109"/>
      <c r="AH2635" s="109"/>
      <c r="AI2635" s="109"/>
      <c r="AJ2635" s="109"/>
      <c r="AK2635" s="109"/>
      <c r="AL2635" s="109"/>
      <c r="AM2635" s="109"/>
      <c r="AN2635" s="109"/>
      <c r="AO2635" s="109"/>
      <c r="AP2635" s="109"/>
      <c r="AQ2635" s="109"/>
      <c r="AR2635" s="109"/>
      <c r="AS2635" s="109"/>
    </row>
    <row r="2636" spans="1:45" ht="12.6" customHeight="1" x14ac:dyDescent="0.3">
      <c r="A2636" s="68"/>
      <c r="B2636" s="97" t="str">
        <f>" t4 (적재장소 도착한 때로부터 적재작업이 시작될 때까지의 시간) = "&amp;Z2636&amp;""</f>
        <v xml:space="preserve"> t4 (적재장소 도착한 때로부터 적재작업이 시작될 때까지의 시간) = 0.7</v>
      </c>
      <c r="C2636" s="78"/>
      <c r="D2636" s="78"/>
      <c r="E2636" s="78"/>
      <c r="F2636" s="78"/>
      <c r="G2636" s="16" t="s">
        <v>1954</v>
      </c>
      <c r="Z2636" s="110">
        <v>0.7</v>
      </c>
      <c r="AA2636" s="20" t="s">
        <v>1326</v>
      </c>
      <c r="AB2636" s="112">
        <f>Z2636</f>
        <v>0.7</v>
      </c>
      <c r="AC2636" s="109"/>
      <c r="AD2636" s="109"/>
      <c r="AE2636" s="109"/>
      <c r="AF2636" s="109"/>
      <c r="AG2636" s="109"/>
      <c r="AH2636" s="109"/>
      <c r="AI2636" s="109"/>
      <c r="AJ2636" s="109"/>
      <c r="AK2636" s="109"/>
      <c r="AL2636" s="109"/>
      <c r="AM2636" s="109"/>
      <c r="AN2636" s="109"/>
      <c r="AO2636" s="109"/>
      <c r="AP2636" s="109"/>
      <c r="AQ2636" s="109"/>
      <c r="AR2636" s="109"/>
      <c r="AS2636" s="109"/>
    </row>
    <row r="2637" spans="1:45" ht="12.6" customHeight="1" x14ac:dyDescent="0.3">
      <c r="A2637" s="78"/>
      <c r="B2637" s="78"/>
      <c r="C2637" s="78"/>
      <c r="D2637" s="78"/>
      <c r="E2637" s="78"/>
      <c r="F2637" s="78"/>
      <c r="G2637" s="16" t="s">
        <v>1317</v>
      </c>
      <c r="Z2637" s="109"/>
      <c r="AA2637" s="109"/>
      <c r="AB2637" s="109"/>
      <c r="AC2637" s="109"/>
      <c r="AD2637" s="109"/>
      <c r="AE2637" s="109"/>
      <c r="AF2637" s="109"/>
      <c r="AG2637" s="109"/>
      <c r="AH2637" s="109"/>
      <c r="AI2637" s="109"/>
      <c r="AJ2637" s="109"/>
      <c r="AK2637" s="109"/>
      <c r="AL2637" s="109"/>
      <c r="AM2637" s="109"/>
      <c r="AN2637" s="109"/>
      <c r="AO2637" s="109"/>
      <c r="AP2637" s="109"/>
      <c r="AQ2637" s="109"/>
      <c r="AR2637" s="109"/>
      <c r="AS2637" s="109"/>
    </row>
    <row r="2638" spans="1:45" ht="12.6" customHeight="1" x14ac:dyDescent="0.3">
      <c r="A2638" s="68"/>
      <c r="B2638" s="97" t="str">
        <f>" Cm (1회 사이클 시간(분))  = t1 + t2 + t3 + t4  = "&amp;AH2638&amp;""</f>
        <v xml:space="preserve"> Cm (1회 사이클 시간(분))  = t1 + t2 + t3 + t4  = 23.32</v>
      </c>
      <c r="C2638" s="78"/>
      <c r="D2638" s="78"/>
      <c r="E2638" s="78"/>
      <c r="F2638" s="78"/>
      <c r="G2638" s="16" t="s">
        <v>1955</v>
      </c>
      <c r="Z2638" s="112" t="str">
        <f>AI2630</f>
        <v>16.41</v>
      </c>
      <c r="AA2638" s="20" t="s">
        <v>1535</v>
      </c>
      <c r="AB2638" s="112" t="str">
        <f>AK2632</f>
        <v>5.11</v>
      </c>
      <c r="AC2638" s="20" t="s">
        <v>1535</v>
      </c>
      <c r="AD2638" s="112">
        <f>AB2634</f>
        <v>1.1000000000000001</v>
      </c>
      <c r="AE2638" s="20" t="s">
        <v>1535</v>
      </c>
      <c r="AF2638" s="112">
        <f>AB2636</f>
        <v>0.7</v>
      </c>
      <c r="AG2638" s="20" t="s">
        <v>1326</v>
      </c>
      <c r="AH2638" s="112" t="str">
        <f>TEXT(ROUND(AI2630+AK2632+AB2634+AB2636,2),"0.00")</f>
        <v>23.32</v>
      </c>
      <c r="AI2638" s="109"/>
      <c r="AJ2638" s="109"/>
      <c r="AK2638" s="109"/>
      <c r="AL2638" s="109"/>
      <c r="AM2638" s="109"/>
      <c r="AN2638" s="109"/>
      <c r="AO2638" s="109"/>
      <c r="AP2638" s="109"/>
      <c r="AQ2638" s="109"/>
      <c r="AR2638" s="109"/>
      <c r="AS2638" s="109"/>
    </row>
    <row r="2639" spans="1:45" ht="12.6" customHeight="1" x14ac:dyDescent="0.3">
      <c r="A2639" s="78"/>
      <c r="B2639" s="78"/>
      <c r="C2639" s="78"/>
      <c r="D2639" s="78"/>
      <c r="E2639" s="78"/>
      <c r="F2639" s="78"/>
      <c r="G2639" s="16" t="s">
        <v>1317</v>
      </c>
      <c r="Z2639" s="109"/>
      <c r="AA2639" s="109"/>
      <c r="AB2639" s="109"/>
      <c r="AC2639" s="109"/>
      <c r="AD2639" s="109"/>
      <c r="AE2639" s="109"/>
      <c r="AF2639" s="109"/>
      <c r="AG2639" s="109"/>
      <c r="AH2639" s="109"/>
      <c r="AI2639" s="109"/>
      <c r="AJ2639" s="109"/>
      <c r="AK2639" s="109"/>
      <c r="AL2639" s="109"/>
      <c r="AM2639" s="109"/>
      <c r="AN2639" s="109"/>
      <c r="AO2639" s="109"/>
      <c r="AP2639" s="109"/>
      <c r="AQ2639" s="109"/>
      <c r="AR2639" s="109"/>
      <c r="AS2639" s="109"/>
    </row>
    <row r="2640" spans="1:45" ht="12.6" customHeight="1" x14ac:dyDescent="0.3">
      <c r="A2640" s="68"/>
      <c r="B2640" s="97" t="str">
        <f>" OH (상차 10분 초과 시 운반기계의 유류보정)  = t2 / Cm = "&amp;AD2640&amp;""</f>
        <v xml:space="preserve"> OH (상차 10분 초과 시 운반기계의 유류보정)  = t2 / Cm = 0.22</v>
      </c>
      <c r="C2640" s="78"/>
      <c r="D2640" s="78"/>
      <c r="E2640" s="78"/>
      <c r="F2640" s="78"/>
      <c r="G2640" s="16" t="s">
        <v>1965</v>
      </c>
      <c r="Z2640" s="112" t="str">
        <f>AK2632</f>
        <v>5.11</v>
      </c>
      <c r="AA2640" s="20" t="s">
        <v>1387</v>
      </c>
      <c r="AB2640" s="112" t="str">
        <f>AH2638</f>
        <v>23.32</v>
      </c>
      <c r="AC2640" s="20" t="s">
        <v>1326</v>
      </c>
      <c r="AD2640" s="112" t="str">
        <f>TEXT(ROUND(AK2632/AH2638,2),"0.00")</f>
        <v>0.22</v>
      </c>
      <c r="AE2640" s="109"/>
      <c r="AF2640" s="109"/>
      <c r="AG2640" s="109"/>
      <c r="AH2640" s="109"/>
      <c r="AI2640" s="109"/>
      <c r="AJ2640" s="109"/>
      <c r="AK2640" s="109"/>
      <c r="AL2640" s="109"/>
      <c r="AM2640" s="109"/>
      <c r="AN2640" s="109"/>
      <c r="AO2640" s="109"/>
      <c r="AP2640" s="109"/>
      <c r="AQ2640" s="109"/>
      <c r="AR2640" s="109"/>
      <c r="AS2640" s="109"/>
    </row>
    <row r="2641" spans="1:45" ht="12.6" customHeight="1" x14ac:dyDescent="0.3">
      <c r="A2641" s="78"/>
      <c r="B2641" s="78"/>
      <c r="C2641" s="78"/>
      <c r="D2641" s="78"/>
      <c r="E2641" s="78"/>
      <c r="F2641" s="78"/>
      <c r="G2641" s="16" t="s">
        <v>1317</v>
      </c>
      <c r="Z2641" s="109"/>
      <c r="AA2641" s="109"/>
      <c r="AB2641" s="109"/>
      <c r="AC2641" s="109"/>
      <c r="AD2641" s="109"/>
      <c r="AE2641" s="109"/>
      <c r="AF2641" s="109"/>
      <c r="AG2641" s="109"/>
      <c r="AH2641" s="109"/>
      <c r="AI2641" s="109"/>
      <c r="AJ2641" s="109"/>
      <c r="AK2641" s="109"/>
      <c r="AL2641" s="109"/>
      <c r="AM2641" s="109"/>
      <c r="AN2641" s="109"/>
      <c r="AO2641" s="109"/>
      <c r="AP2641" s="109"/>
      <c r="AQ2641" s="109"/>
      <c r="AR2641" s="109"/>
      <c r="AS2641" s="109"/>
    </row>
    <row r="2642" spans="1:45" ht="12.6" customHeight="1" x14ac:dyDescent="0.3">
      <c r="A2642" s="68"/>
      <c r="B2642" s="97" t="str">
        <f>" Q2 (시간당 작업량) = "&amp;Z2642&amp;" * q1 * F * E / Cm = "&amp;AJ2642&amp;" m3/hr "</f>
        <v xml:space="preserve"> Q2 (시간당 작업량) = 60 * q1 * F * E / Cm = 16.20 m3/hr </v>
      </c>
      <c r="C2642" s="78"/>
      <c r="D2642" s="78"/>
      <c r="E2642" s="78"/>
      <c r="F2642" s="78"/>
      <c r="G2642" s="16" t="s">
        <v>1966</v>
      </c>
      <c r="Z2642" s="111">
        <v>60</v>
      </c>
      <c r="AA2642" s="20" t="s">
        <v>1390</v>
      </c>
      <c r="AB2642" s="112" t="str">
        <f>AG2624</f>
        <v>8.53</v>
      </c>
      <c r="AC2642" s="20" t="s">
        <v>1390</v>
      </c>
      <c r="AD2642" s="112" t="str">
        <f>AD2572</f>
        <v>0.82</v>
      </c>
      <c r="AE2642" s="20" t="s">
        <v>1390</v>
      </c>
      <c r="AF2642" s="112">
        <f>AB2622</f>
        <v>0.9</v>
      </c>
      <c r="AG2642" s="20" t="s">
        <v>1387</v>
      </c>
      <c r="AH2642" s="112" t="str">
        <f>AH2638</f>
        <v>23.32</v>
      </c>
      <c r="AI2642" s="20" t="s">
        <v>1326</v>
      </c>
      <c r="AJ2642" s="112" t="str">
        <f>TEXT(ROUND(Z2642*AG2624*AD2572*AB2622/AH2638,2),"0.00")</f>
        <v>16.20</v>
      </c>
      <c r="AK2642" s="109"/>
      <c r="AL2642" s="109"/>
      <c r="AM2642" s="109"/>
      <c r="AN2642" s="109"/>
      <c r="AO2642" s="109"/>
      <c r="AP2642" s="109"/>
      <c r="AQ2642" s="109"/>
      <c r="AR2642" s="109"/>
      <c r="AS2642" s="109"/>
    </row>
    <row r="2643" spans="1:45" ht="12.6" customHeight="1" x14ac:dyDescent="0.3">
      <c r="A2643" s="78"/>
      <c r="B2643" s="78"/>
      <c r="C2643" s="78"/>
      <c r="D2643" s="78"/>
      <c r="E2643" s="78"/>
      <c r="F2643" s="78"/>
      <c r="G2643" s="16" t="s">
        <v>1317</v>
      </c>
      <c r="Z2643" s="109"/>
      <c r="AA2643" s="109"/>
      <c r="AB2643" s="109"/>
      <c r="AC2643" s="109"/>
      <c r="AD2643" s="109"/>
      <c r="AE2643" s="109"/>
      <c r="AF2643" s="109"/>
      <c r="AG2643" s="109"/>
      <c r="AH2643" s="109"/>
      <c r="AI2643" s="109"/>
      <c r="AJ2643" s="109"/>
      <c r="AK2643" s="109"/>
      <c r="AL2643" s="109"/>
      <c r="AM2643" s="109"/>
      <c r="AN2643" s="109"/>
      <c r="AO2643" s="109"/>
      <c r="AP2643" s="109"/>
      <c r="AQ2643" s="109"/>
      <c r="AR2643" s="109"/>
      <c r="AS2643" s="109"/>
    </row>
    <row r="2644" spans="1:45" ht="12.6" customHeight="1" x14ac:dyDescent="0.3">
      <c r="A2644" s="68" t="s">
        <v>1968</v>
      </c>
      <c r="B2644" s="97" t="str">
        <f>" 노 무 비  :  "&amp;TEXT(I2644,"#,##0"&amp;IF(I2644&lt;&gt;INT(I2644),".###",""))&amp;" / Q2 = "&amp;TEXT(C2644,"#,##0.0")&amp;""</f>
        <v xml:space="preserve"> 노 무 비  :  47,231 / Q2 = 2,915.4</v>
      </c>
      <c r="C2644" s="99">
        <f>E2644+D2644+F2644</f>
        <v>2915.4</v>
      </c>
      <c r="D2644" s="99">
        <f>IF(H2644=0,0,ROUNDDOWN(J2644*H2644,1))</f>
        <v>2915.4</v>
      </c>
      <c r="E2644" s="99">
        <f>IF(H2644=0,0,ROUNDDOWN(K2644*H2644,1))</f>
        <v>0</v>
      </c>
      <c r="F2644" s="99">
        <f>IF(H2644=0,0,ROUNDDOWN(L2644*H2644,1))</f>
        <v>0</v>
      </c>
      <c r="G2644" s="16" t="s">
        <v>1967</v>
      </c>
      <c r="H2644" s="105">
        <f>AC2644</f>
        <v>6.1728395061728399E-2</v>
      </c>
      <c r="I2644" s="106">
        <f>K2644+J2644+L2644</f>
        <v>47231</v>
      </c>
      <c r="J2644" s="39">
        <f>중기목록표!F12</f>
        <v>47231</v>
      </c>
      <c r="M2644" s="20" t="s">
        <v>1969</v>
      </c>
      <c r="N2644" s="20" t="s">
        <v>1332</v>
      </c>
      <c r="X2644" s="108" t="str">
        <f>중기목록표!B12&amp;" / "&amp;중기목록표!C12</f>
        <v>덤프트럭10.5ton(암) / 할증율:1.25</v>
      </c>
      <c r="Y2644" s="19" t="str">
        <f ca="1">HYPERLINK("#"&amp;중기목록표!J2&amp;"!A"&amp;ROW(중기목록표!A12),"중기    9 →")</f>
        <v>중기    9 →</v>
      </c>
      <c r="Z2644" s="20" t="s">
        <v>1393</v>
      </c>
      <c r="AA2644" s="112" t="str">
        <f>AJ2642</f>
        <v>16.20</v>
      </c>
      <c r="AB2644" s="20" t="s">
        <v>1326</v>
      </c>
      <c r="AC2644" s="113">
        <f>1/AJ2642</f>
        <v>6.1728395061728399E-2</v>
      </c>
      <c r="AD2644" s="109"/>
      <c r="AE2644" s="109"/>
      <c r="AF2644" s="109"/>
      <c r="AG2644" s="109"/>
      <c r="AH2644" s="109"/>
      <c r="AI2644" s="109"/>
      <c r="AJ2644" s="109"/>
      <c r="AK2644" s="109"/>
      <c r="AL2644" s="109"/>
      <c r="AM2644" s="109"/>
      <c r="AN2644" s="109"/>
      <c r="AO2644" s="109"/>
      <c r="AP2644" s="109"/>
      <c r="AQ2644" s="109"/>
      <c r="AR2644" s="109"/>
      <c r="AS2644" s="109"/>
    </row>
    <row r="2645" spans="1:45" ht="12.6" customHeight="1" x14ac:dyDescent="0.3">
      <c r="A2645" s="78"/>
      <c r="B2645" s="78"/>
      <c r="C2645" s="78"/>
      <c r="D2645" s="78"/>
      <c r="E2645" s="78"/>
      <c r="F2645" s="78"/>
      <c r="G2645" s="16" t="s">
        <v>1317</v>
      </c>
      <c r="Z2645" s="109"/>
      <c r="AA2645" s="109"/>
      <c r="AB2645" s="109"/>
      <c r="AC2645" s="109"/>
      <c r="AD2645" s="109"/>
      <c r="AE2645" s="109"/>
      <c r="AF2645" s="109"/>
      <c r="AG2645" s="109"/>
      <c r="AH2645" s="109"/>
      <c r="AI2645" s="109"/>
      <c r="AJ2645" s="109"/>
      <c r="AK2645" s="109"/>
      <c r="AL2645" s="109"/>
      <c r="AM2645" s="109"/>
      <c r="AN2645" s="109"/>
      <c r="AO2645" s="109"/>
      <c r="AP2645" s="109"/>
      <c r="AQ2645" s="109"/>
      <c r="AR2645" s="109"/>
      <c r="AS2645" s="109"/>
    </row>
    <row r="2646" spans="1:45" ht="12.6" customHeight="1" x14ac:dyDescent="0.3">
      <c r="A2646" s="68" t="s">
        <v>1971</v>
      </c>
      <c r="B2646" s="97" t="str">
        <f>" 재 료 비  :  "&amp;TEXT(I2646,"#,##0"&amp;IF(I2646&lt;&gt;INT(I2646),".###",""))&amp;" / Q2 * OH = "&amp;TEXT(C2646,"#,##0.0")&amp;""</f>
        <v xml:space="preserve"> 재 료 비  :  24,750 / Q2 * OH = 336.1</v>
      </c>
      <c r="C2646" s="99">
        <f>E2646+D2646+F2646</f>
        <v>336.1</v>
      </c>
      <c r="D2646" s="99">
        <f>IF(H2646=0,0,ROUNDDOWN(J2646*H2646,1))</f>
        <v>0</v>
      </c>
      <c r="E2646" s="99">
        <f>IF(H2646=0,0,ROUNDDOWN(K2646*H2646,1))</f>
        <v>336.1</v>
      </c>
      <c r="F2646" s="99">
        <f>IF(H2646=0,0,ROUNDDOWN(L2646*H2646,1))</f>
        <v>0</v>
      </c>
      <c r="G2646" s="16" t="s">
        <v>1970</v>
      </c>
      <c r="H2646" s="105">
        <f>AE2646</f>
        <v>1.3580246913580249E-2</v>
      </c>
      <c r="I2646" s="106">
        <f>K2646+J2646+L2646</f>
        <v>24750</v>
      </c>
      <c r="K2646" s="39">
        <f>중기목록표!G12</f>
        <v>24750</v>
      </c>
      <c r="M2646" s="20" t="s">
        <v>1969</v>
      </c>
      <c r="N2646" s="20" t="s">
        <v>1332</v>
      </c>
      <c r="X2646" s="108" t="str">
        <f>중기목록표!B12&amp;" / "&amp;중기목록표!C12</f>
        <v>덤프트럭10.5ton(암) / 할증율:1.25</v>
      </c>
      <c r="Y2646" s="19" t="str">
        <f ca="1">HYPERLINK("#"&amp;중기목록표!J2&amp;"!A"&amp;ROW(중기목록표!A12),"중기    9 →")</f>
        <v>중기    9 →</v>
      </c>
      <c r="Z2646" s="20" t="s">
        <v>1393</v>
      </c>
      <c r="AA2646" s="112" t="str">
        <f>AJ2642</f>
        <v>16.20</v>
      </c>
      <c r="AB2646" s="20" t="s">
        <v>1390</v>
      </c>
      <c r="AC2646" s="112" t="str">
        <f>AD2640</f>
        <v>0.22</v>
      </c>
      <c r="AD2646" s="20" t="s">
        <v>1326</v>
      </c>
      <c r="AE2646" s="113">
        <f>1/AJ2642*AD2640</f>
        <v>1.3580246913580249E-2</v>
      </c>
      <c r="AF2646" s="109"/>
      <c r="AG2646" s="109"/>
      <c r="AH2646" s="109"/>
      <c r="AI2646" s="109"/>
      <c r="AJ2646" s="109"/>
      <c r="AK2646" s="109"/>
      <c r="AL2646" s="109"/>
      <c r="AM2646" s="109"/>
      <c r="AN2646" s="109"/>
      <c r="AO2646" s="109"/>
      <c r="AP2646" s="109"/>
      <c r="AQ2646" s="109"/>
      <c r="AR2646" s="109"/>
      <c r="AS2646" s="109"/>
    </row>
    <row r="2647" spans="1:45" ht="12.6" customHeight="1" x14ac:dyDescent="0.3">
      <c r="A2647" s="78"/>
      <c r="B2647" s="78"/>
      <c r="C2647" s="78"/>
      <c r="D2647" s="78"/>
      <c r="E2647" s="78"/>
      <c r="F2647" s="78"/>
      <c r="G2647" s="16" t="s">
        <v>1317</v>
      </c>
      <c r="Z2647" s="109"/>
      <c r="AA2647" s="109"/>
      <c r="AB2647" s="109"/>
      <c r="AC2647" s="109"/>
      <c r="AD2647" s="109"/>
      <c r="AE2647" s="109"/>
      <c r="AF2647" s="109"/>
      <c r="AG2647" s="109"/>
      <c r="AH2647" s="109"/>
      <c r="AI2647" s="109"/>
      <c r="AJ2647" s="109"/>
      <c r="AK2647" s="109"/>
      <c r="AL2647" s="109"/>
      <c r="AM2647" s="109"/>
      <c r="AN2647" s="109"/>
      <c r="AO2647" s="109"/>
      <c r="AP2647" s="109"/>
      <c r="AQ2647" s="109"/>
      <c r="AR2647" s="109"/>
      <c r="AS2647" s="109"/>
    </row>
    <row r="2648" spans="1:45" ht="12.6" customHeight="1" x14ac:dyDescent="0.3">
      <c r="A2648" s="68" t="s">
        <v>1973</v>
      </c>
      <c r="B2648" s="97" t="str">
        <f>" 경    비  :  "&amp;TEXT(I2648,"#,##0"&amp;IF(I2648&lt;&gt;INT(I2648),".###",""))&amp;" / Q2 = "&amp;TEXT(C2648,"#,##0.0")&amp;""</f>
        <v xml:space="preserve"> 경    비  :  13,222 / Q2 = 816.1</v>
      </c>
      <c r="C2648" s="99">
        <f>E2648+D2648+F2648</f>
        <v>816.1</v>
      </c>
      <c r="D2648" s="99">
        <f>IF(H2648=0,0,ROUNDDOWN(J2648*H2648,1))</f>
        <v>0</v>
      </c>
      <c r="E2648" s="99">
        <f>IF(H2648=0,0,ROUNDDOWN(K2648*H2648,1))</f>
        <v>0</v>
      </c>
      <c r="F2648" s="99">
        <f>IF(H2648=0,0,ROUNDDOWN(L2648*H2648,1))</f>
        <v>816.1</v>
      </c>
      <c r="G2648" s="16" t="s">
        <v>1972</v>
      </c>
      <c r="H2648" s="105">
        <f>AC2648</f>
        <v>6.1728395061728399E-2</v>
      </c>
      <c r="I2648" s="106">
        <f>K2648+J2648+L2648</f>
        <v>13222</v>
      </c>
      <c r="L2648" s="39">
        <f>중기목록표!H12</f>
        <v>13222</v>
      </c>
      <c r="M2648" s="20" t="s">
        <v>1969</v>
      </c>
      <c r="N2648" s="20" t="s">
        <v>1332</v>
      </c>
      <c r="X2648" s="108" t="str">
        <f>중기목록표!B12&amp;" / "&amp;중기목록표!C12</f>
        <v>덤프트럭10.5ton(암) / 할증율:1.25</v>
      </c>
      <c r="Y2648" s="19" t="str">
        <f ca="1">HYPERLINK("#"&amp;중기목록표!J2&amp;"!A"&amp;ROW(중기목록표!A12),"중기    9 →")</f>
        <v>중기    9 →</v>
      </c>
      <c r="Z2648" s="20" t="s">
        <v>1393</v>
      </c>
      <c r="AA2648" s="112" t="str">
        <f>AJ2642</f>
        <v>16.20</v>
      </c>
      <c r="AB2648" s="20" t="s">
        <v>1326</v>
      </c>
      <c r="AC2648" s="113">
        <f>1/AJ2642</f>
        <v>6.1728395061728399E-2</v>
      </c>
      <c r="AD2648" s="109"/>
      <c r="AE2648" s="109"/>
      <c r="AF2648" s="109"/>
      <c r="AG2648" s="109"/>
      <c r="AH2648" s="109"/>
      <c r="AI2648" s="109"/>
      <c r="AJ2648" s="109"/>
      <c r="AK2648" s="109"/>
      <c r="AL2648" s="109"/>
      <c r="AM2648" s="109"/>
      <c r="AN2648" s="109"/>
      <c r="AO2648" s="109"/>
      <c r="AP2648" s="109"/>
      <c r="AQ2648" s="109"/>
      <c r="AR2648" s="109"/>
      <c r="AS2648" s="109"/>
    </row>
    <row r="2649" spans="1:45" ht="12.6" customHeight="1" x14ac:dyDescent="0.3">
      <c r="A2649" s="78"/>
      <c r="B2649" s="78"/>
      <c r="C2649" s="78"/>
      <c r="D2649" s="78"/>
      <c r="E2649" s="78"/>
      <c r="F2649" s="78"/>
      <c r="G2649" s="16" t="s">
        <v>1317</v>
      </c>
      <c r="Z2649" s="109"/>
      <c r="AA2649" s="109"/>
      <c r="AB2649" s="109"/>
      <c r="AC2649" s="109"/>
      <c r="AD2649" s="109"/>
      <c r="AE2649" s="109"/>
      <c r="AF2649" s="109"/>
      <c r="AG2649" s="109"/>
      <c r="AH2649" s="109"/>
      <c r="AI2649" s="109"/>
      <c r="AJ2649" s="109"/>
      <c r="AK2649" s="109"/>
      <c r="AL2649" s="109"/>
      <c r="AM2649" s="109"/>
      <c r="AN2649" s="109"/>
      <c r="AO2649" s="109"/>
      <c r="AP2649" s="109"/>
      <c r="AQ2649" s="109"/>
      <c r="AR2649" s="109"/>
      <c r="AS2649" s="109"/>
    </row>
    <row r="2650" spans="1:45" ht="12.6" customHeight="1" x14ac:dyDescent="0.3">
      <c r="A2650" s="68"/>
      <c r="B2650" s="77" t="s">
        <v>1331</v>
      </c>
      <c r="C2650" s="100">
        <f>E2650+D2650+F2650</f>
        <v>4067.6</v>
      </c>
      <c r="D2650" s="100">
        <f>SUMIF(N2619:N2649,M2650,D2619:D2649)</f>
        <v>2915.4</v>
      </c>
      <c r="E2650" s="100">
        <f>SUMIF(N2619:N2649,M2650,E2619:E2649)</f>
        <v>336.1</v>
      </c>
      <c r="F2650" s="100">
        <f>SUMIF(N2619:N2649,M2650,F2619:F2649)</f>
        <v>816.1</v>
      </c>
      <c r="G2650" s="16" t="s">
        <v>1363</v>
      </c>
      <c r="M2650" s="20" t="s">
        <v>1332</v>
      </c>
      <c r="N2650" s="20" t="s">
        <v>1341</v>
      </c>
      <c r="Z2650" s="109"/>
      <c r="AA2650" s="109"/>
      <c r="AB2650" s="109"/>
      <c r="AC2650" s="109"/>
      <c r="AD2650" s="109"/>
      <c r="AE2650" s="109"/>
      <c r="AF2650" s="109"/>
      <c r="AG2650" s="109"/>
      <c r="AH2650" s="109"/>
      <c r="AI2650" s="109"/>
      <c r="AJ2650" s="109"/>
      <c r="AK2650" s="109"/>
      <c r="AL2650" s="109"/>
      <c r="AM2650" s="109"/>
      <c r="AN2650" s="109"/>
      <c r="AO2650" s="109"/>
      <c r="AP2650" s="109"/>
      <c r="AQ2650" s="109"/>
      <c r="AR2650" s="109"/>
      <c r="AS2650" s="109"/>
    </row>
    <row r="2651" spans="1:45" ht="12.6" customHeight="1" x14ac:dyDescent="0.3">
      <c r="A2651" s="78"/>
      <c r="B2651" s="78"/>
      <c r="C2651" s="98"/>
      <c r="D2651" s="98"/>
      <c r="E2651" s="98"/>
      <c r="F2651" s="98"/>
      <c r="G2651" s="16" t="s">
        <v>1317</v>
      </c>
      <c r="Z2651" s="109"/>
      <c r="AA2651" s="109"/>
      <c r="AB2651" s="109"/>
      <c r="AC2651" s="109"/>
      <c r="AD2651" s="109"/>
      <c r="AE2651" s="109"/>
      <c r="AF2651" s="109"/>
      <c r="AG2651" s="109"/>
      <c r="AH2651" s="109"/>
      <c r="AI2651" s="109"/>
      <c r="AJ2651" s="109"/>
      <c r="AK2651" s="109"/>
      <c r="AL2651" s="109"/>
      <c r="AM2651" s="109"/>
      <c r="AN2651" s="109"/>
      <c r="AO2651" s="109"/>
      <c r="AP2651" s="109"/>
      <c r="AQ2651" s="109"/>
      <c r="AR2651" s="109"/>
      <c r="AS2651" s="109"/>
    </row>
    <row r="2652" spans="1:45" ht="12.6" customHeight="1" x14ac:dyDescent="0.3">
      <c r="A2652" s="68"/>
      <c r="B2652" s="77" t="s">
        <v>1933</v>
      </c>
      <c r="C2652" s="78"/>
      <c r="D2652" s="78"/>
      <c r="E2652" s="78"/>
      <c r="F2652" s="78"/>
      <c r="G2652" s="16" t="s">
        <v>1932</v>
      </c>
      <c r="Z2652" s="109"/>
      <c r="AA2652" s="109"/>
      <c r="AB2652" s="109"/>
      <c r="AC2652" s="109"/>
      <c r="AD2652" s="109"/>
      <c r="AE2652" s="109"/>
      <c r="AF2652" s="109"/>
      <c r="AG2652" s="109"/>
      <c r="AH2652" s="109"/>
      <c r="AI2652" s="109"/>
      <c r="AJ2652" s="109"/>
      <c r="AK2652" s="109"/>
      <c r="AL2652" s="109"/>
      <c r="AM2652" s="109"/>
      <c r="AN2652" s="109"/>
      <c r="AO2652" s="109"/>
      <c r="AP2652" s="109"/>
      <c r="AQ2652" s="109"/>
      <c r="AR2652" s="109"/>
      <c r="AS2652" s="109"/>
    </row>
    <row r="2653" spans="1:45" ht="12.6" customHeight="1" x14ac:dyDescent="0.3">
      <c r="A2653" s="78"/>
      <c r="B2653" s="78"/>
      <c r="C2653" s="78"/>
      <c r="D2653" s="78"/>
      <c r="E2653" s="78"/>
      <c r="F2653" s="78"/>
      <c r="G2653" s="16" t="s">
        <v>1317</v>
      </c>
      <c r="Z2653" s="109"/>
      <c r="AA2653" s="109"/>
      <c r="AB2653" s="109"/>
      <c r="AC2653" s="109"/>
      <c r="AD2653" s="109"/>
      <c r="AE2653" s="109"/>
      <c r="AF2653" s="109"/>
      <c r="AG2653" s="109"/>
      <c r="AH2653" s="109"/>
      <c r="AI2653" s="109"/>
      <c r="AJ2653" s="109"/>
      <c r="AK2653" s="109"/>
      <c r="AL2653" s="109"/>
      <c r="AM2653" s="109"/>
      <c r="AN2653" s="109"/>
      <c r="AO2653" s="109"/>
      <c r="AP2653" s="109"/>
      <c r="AQ2653" s="109"/>
      <c r="AR2653" s="109"/>
      <c r="AS2653" s="109"/>
    </row>
    <row r="2654" spans="1:45" ht="12.6" customHeight="1" x14ac:dyDescent="0.3">
      <c r="A2654" s="68"/>
      <c r="B2654" s="97" t="str">
        <f>"q (버킷용량) = "&amp;Z2654&amp;" , k (버킷계수) = "&amp;AD2654&amp;" , f (체적환산계수) = "&amp;AH2654&amp;""</f>
        <v>q (버킷용량) = 0.7 , k (버킷계수) = 0.7 , f (체적환산계수) = 1</v>
      </c>
      <c r="C2654" s="78"/>
      <c r="D2654" s="78"/>
      <c r="E2654" s="78"/>
      <c r="F2654" s="78"/>
      <c r="G2654" s="16" t="s">
        <v>1934</v>
      </c>
      <c r="Z2654" s="110">
        <v>0.7</v>
      </c>
      <c r="AA2654" s="20" t="s">
        <v>1326</v>
      </c>
      <c r="AB2654" s="112">
        <f>Z2654</f>
        <v>0.7</v>
      </c>
      <c r="AC2654" s="20" t="s">
        <v>1385</v>
      </c>
      <c r="AD2654" s="110">
        <v>0.7</v>
      </c>
      <c r="AE2654" s="20" t="s">
        <v>1326</v>
      </c>
      <c r="AF2654" s="112">
        <f>AD2654</f>
        <v>0.7</v>
      </c>
      <c r="AG2654" s="20" t="s">
        <v>1385</v>
      </c>
      <c r="AH2654" s="111">
        <v>1</v>
      </c>
      <c r="AI2654" s="20" t="s">
        <v>1326</v>
      </c>
      <c r="AJ2654" s="112">
        <f>AH2654</f>
        <v>1</v>
      </c>
      <c r="AK2654" s="20" t="s">
        <v>1385</v>
      </c>
      <c r="AL2654" s="109"/>
      <c r="AM2654" s="109"/>
      <c r="AN2654" s="109"/>
      <c r="AO2654" s="109"/>
      <c r="AP2654" s="109"/>
      <c r="AQ2654" s="109"/>
      <c r="AR2654" s="109"/>
      <c r="AS2654" s="109"/>
    </row>
    <row r="2655" spans="1:45" ht="12.6" customHeight="1" x14ac:dyDescent="0.3">
      <c r="A2655" s="78"/>
      <c r="B2655" s="78"/>
      <c r="C2655" s="78"/>
      <c r="D2655" s="78"/>
      <c r="E2655" s="78"/>
      <c r="F2655" s="78"/>
      <c r="G2655" s="16" t="s">
        <v>1317</v>
      </c>
      <c r="Z2655" s="109"/>
      <c r="AA2655" s="109"/>
      <c r="AB2655" s="109"/>
      <c r="AC2655" s="109"/>
      <c r="AD2655" s="109"/>
      <c r="AE2655" s="109"/>
      <c r="AF2655" s="109"/>
      <c r="AG2655" s="109"/>
      <c r="AH2655" s="109"/>
      <c r="AI2655" s="109"/>
      <c r="AJ2655" s="109"/>
      <c r="AK2655" s="109"/>
      <c r="AL2655" s="109"/>
      <c r="AM2655" s="109"/>
      <c r="AN2655" s="109"/>
      <c r="AO2655" s="109"/>
      <c r="AP2655" s="109"/>
      <c r="AQ2655" s="109"/>
      <c r="AR2655" s="109"/>
      <c r="AS2655" s="109"/>
    </row>
    <row r="2656" spans="1:45" ht="12.6" customHeight="1" x14ac:dyDescent="0.3">
      <c r="A2656" s="68"/>
      <c r="B2656" s="97" t="str">
        <f>"E (작업효율) = "&amp;Z2656&amp;" , Cm (1회 사이클 시간(초)) = "&amp;AD2656&amp;"  sec(90) "</f>
        <v xml:space="preserve">E (작업효율) = 0.45 , Cm (1회 사이클 시간(초)) = 18  sec(90) </v>
      </c>
      <c r="C2656" s="78"/>
      <c r="D2656" s="78"/>
      <c r="E2656" s="78"/>
      <c r="F2656" s="78"/>
      <c r="G2656" s="16" t="s">
        <v>1974</v>
      </c>
      <c r="Z2656" s="110">
        <v>0.45</v>
      </c>
      <c r="AA2656" s="20" t="s">
        <v>1326</v>
      </c>
      <c r="AB2656" s="112">
        <f>Z2656</f>
        <v>0.45</v>
      </c>
      <c r="AC2656" s="20" t="s">
        <v>1385</v>
      </c>
      <c r="AD2656" s="111">
        <v>18</v>
      </c>
      <c r="AE2656" s="20" t="s">
        <v>1326</v>
      </c>
      <c r="AF2656" s="112">
        <f>AD2656</f>
        <v>18</v>
      </c>
      <c r="AG2656" s="20" t="s">
        <v>1385</v>
      </c>
      <c r="AH2656" s="109"/>
      <c r="AI2656" s="109"/>
      <c r="AJ2656" s="109"/>
      <c r="AK2656" s="109"/>
      <c r="AL2656" s="109"/>
      <c r="AM2656" s="109"/>
      <c r="AN2656" s="109"/>
      <c r="AO2656" s="109"/>
      <c r="AP2656" s="109"/>
      <c r="AQ2656" s="109"/>
      <c r="AR2656" s="109"/>
      <c r="AS2656" s="109"/>
    </row>
    <row r="2657" spans="1:45" ht="12.6" customHeight="1" x14ac:dyDescent="0.3">
      <c r="A2657" s="78"/>
      <c r="B2657" s="78"/>
      <c r="C2657" s="78"/>
      <c r="D2657" s="78"/>
      <c r="E2657" s="78"/>
      <c r="F2657" s="78"/>
      <c r="G2657" s="16" t="s">
        <v>1317</v>
      </c>
      <c r="Z2657" s="109"/>
      <c r="AA2657" s="109"/>
      <c r="AB2657" s="109"/>
      <c r="AC2657" s="109"/>
      <c r="AD2657" s="109"/>
      <c r="AE2657" s="109"/>
      <c r="AF2657" s="109"/>
      <c r="AG2657" s="109"/>
      <c r="AH2657" s="109"/>
      <c r="AI2657" s="109"/>
      <c r="AJ2657" s="109"/>
      <c r="AK2657" s="109"/>
      <c r="AL2657" s="109"/>
      <c r="AM2657" s="109"/>
      <c r="AN2657" s="109"/>
      <c r="AO2657" s="109"/>
      <c r="AP2657" s="109"/>
      <c r="AQ2657" s="109"/>
      <c r="AR2657" s="109"/>
      <c r="AS2657" s="109"/>
    </row>
    <row r="2658" spans="1:45" ht="12.6" customHeight="1" x14ac:dyDescent="0.3">
      <c r="A2658" s="68"/>
      <c r="B2658" s="97" t="str">
        <f>"Q3 (시간당 작업량) = "&amp;Z2658&amp;"*q*k*E*f/Cm = "&amp;AL2658&amp;" m3/hr "</f>
        <v xml:space="preserve">Q3 (시간당 작업량) = 3600*q*k*E*f/Cm = 44.10 m3/hr </v>
      </c>
      <c r="C2658" s="78"/>
      <c r="D2658" s="78"/>
      <c r="E2658" s="78"/>
      <c r="F2658" s="78"/>
      <c r="G2658" s="16" t="s">
        <v>1975</v>
      </c>
      <c r="Z2658" s="111">
        <v>3600</v>
      </c>
      <c r="AA2658" s="20" t="s">
        <v>1390</v>
      </c>
      <c r="AB2658" s="112">
        <f>AB2654</f>
        <v>0.7</v>
      </c>
      <c r="AC2658" s="20" t="s">
        <v>1390</v>
      </c>
      <c r="AD2658" s="112">
        <f>AF2654</f>
        <v>0.7</v>
      </c>
      <c r="AE2658" s="20" t="s">
        <v>1390</v>
      </c>
      <c r="AF2658" s="112">
        <f>AB2656</f>
        <v>0.45</v>
      </c>
      <c r="AG2658" s="20" t="s">
        <v>1390</v>
      </c>
      <c r="AH2658" s="112">
        <f>AJ2654</f>
        <v>1</v>
      </c>
      <c r="AI2658" s="20" t="s">
        <v>1387</v>
      </c>
      <c r="AJ2658" s="112">
        <f>AF2656</f>
        <v>18</v>
      </c>
      <c r="AK2658" s="20" t="s">
        <v>1326</v>
      </c>
      <c r="AL2658" s="112" t="str">
        <f>TEXT(ROUND(Z2658*AB2654*AF2654*AB2656*AJ2654/AF2656,2),"0.00")</f>
        <v>44.10</v>
      </c>
      <c r="AM2658" s="109"/>
      <c r="AN2658" s="109"/>
      <c r="AO2658" s="109"/>
      <c r="AP2658" s="109"/>
      <c r="AQ2658" s="109"/>
      <c r="AR2658" s="109"/>
      <c r="AS2658" s="109"/>
    </row>
    <row r="2659" spans="1:45" ht="12.6" customHeight="1" x14ac:dyDescent="0.3">
      <c r="A2659" s="78"/>
      <c r="B2659" s="78"/>
      <c r="C2659" s="78"/>
      <c r="D2659" s="78"/>
      <c r="E2659" s="78"/>
      <c r="F2659" s="78"/>
      <c r="G2659" s="16" t="s">
        <v>1317</v>
      </c>
      <c r="Z2659" s="109"/>
      <c r="AA2659" s="109"/>
      <c r="AB2659" s="109"/>
      <c r="AC2659" s="109"/>
      <c r="AD2659" s="109"/>
      <c r="AE2659" s="109"/>
      <c r="AF2659" s="109"/>
      <c r="AG2659" s="109"/>
      <c r="AH2659" s="109"/>
      <c r="AI2659" s="109"/>
      <c r="AJ2659" s="109"/>
      <c r="AK2659" s="109"/>
      <c r="AL2659" s="109"/>
      <c r="AM2659" s="109"/>
      <c r="AN2659" s="109"/>
      <c r="AO2659" s="109"/>
      <c r="AP2659" s="109"/>
      <c r="AQ2659" s="109"/>
      <c r="AR2659" s="109"/>
      <c r="AS2659" s="109"/>
    </row>
    <row r="2660" spans="1:45" ht="12.6" customHeight="1" x14ac:dyDescent="0.3">
      <c r="A2660" s="68" t="s">
        <v>1441</v>
      </c>
      <c r="B2660" s="97" t="str">
        <f>" 노 무 비  :  "&amp;TEXT(I2660,"#,##0"&amp;IF(I2660&lt;&gt;INT(I2660),".###",""))&amp;" / Q3/ "&amp;AC2660&amp;" = "&amp;TEXT(C2660,"#,##0.0")&amp;""</f>
        <v xml:space="preserve"> 노 무 비  :  55,700 / Q3/ 3 = 421.0</v>
      </c>
      <c r="C2660" s="99">
        <f>E2660+D2660+F2660</f>
        <v>421</v>
      </c>
      <c r="D2660" s="99">
        <f>IF(H2660=0,0,ROUNDDOWN(J2660*H2660,1))</f>
        <v>421</v>
      </c>
      <c r="E2660" s="99">
        <f>IF(H2660=0,0,ROUNDDOWN(K2660*H2660,1))</f>
        <v>0</v>
      </c>
      <c r="F2660" s="99">
        <f>IF(H2660=0,0,ROUNDDOWN(L2660*H2660,1))</f>
        <v>0</v>
      </c>
      <c r="G2660" s="16" t="s">
        <v>1976</v>
      </c>
      <c r="H2660" s="105">
        <f>AE2660</f>
        <v>7.5585789871504159E-3</v>
      </c>
      <c r="I2660" s="106">
        <f>K2660+J2660+L2660</f>
        <v>55700</v>
      </c>
      <c r="J2660" s="39">
        <f>중기목록표!F9</f>
        <v>55700</v>
      </c>
      <c r="M2660" s="20" t="s">
        <v>1442</v>
      </c>
      <c r="N2660" s="20" t="s">
        <v>1332</v>
      </c>
      <c r="X2660" s="108" t="str">
        <f>중기목록표!B9&amp;" / "&amp;중기목록표!C9</f>
        <v>굴삭기(0.7m3) / 0.7㎥,(암석)</v>
      </c>
      <c r="Y2660" s="19" t="str">
        <f ca="1">HYPERLINK("#"&amp;중기목록표!J2&amp;"!A"&amp;ROW(중기목록표!A9),"중기    6 →")</f>
        <v>중기    6 →</v>
      </c>
      <c r="Z2660" s="20" t="s">
        <v>1393</v>
      </c>
      <c r="AA2660" s="112" t="str">
        <f>AL2658</f>
        <v>44.10</v>
      </c>
      <c r="AB2660" s="20" t="s">
        <v>1387</v>
      </c>
      <c r="AC2660" s="111">
        <v>3</v>
      </c>
      <c r="AD2660" s="20" t="s">
        <v>1326</v>
      </c>
      <c r="AE2660" s="113">
        <f>1/AL2658/AC2660</f>
        <v>7.5585789871504159E-3</v>
      </c>
      <c r="AF2660" s="109"/>
      <c r="AG2660" s="109"/>
      <c r="AH2660" s="109"/>
      <c r="AI2660" s="109"/>
      <c r="AJ2660" s="109"/>
      <c r="AK2660" s="109"/>
      <c r="AL2660" s="109"/>
      <c r="AM2660" s="109"/>
      <c r="AN2660" s="109"/>
      <c r="AO2660" s="109"/>
      <c r="AP2660" s="109"/>
      <c r="AQ2660" s="109"/>
      <c r="AR2660" s="109"/>
      <c r="AS2660" s="109"/>
    </row>
    <row r="2661" spans="1:45" ht="12.6" customHeight="1" x14ac:dyDescent="0.3">
      <c r="A2661" s="78"/>
      <c r="B2661" s="78"/>
      <c r="C2661" s="78"/>
      <c r="D2661" s="78"/>
      <c r="E2661" s="78"/>
      <c r="F2661" s="78"/>
      <c r="G2661" s="16" t="s">
        <v>1317</v>
      </c>
      <c r="Z2661" s="109"/>
      <c r="AA2661" s="109"/>
      <c r="AB2661" s="109"/>
      <c r="AC2661" s="109"/>
      <c r="AD2661" s="109"/>
      <c r="AE2661" s="109"/>
      <c r="AF2661" s="109"/>
      <c r="AG2661" s="109"/>
      <c r="AH2661" s="109"/>
      <c r="AI2661" s="109"/>
      <c r="AJ2661" s="109"/>
      <c r="AK2661" s="109"/>
      <c r="AL2661" s="109"/>
      <c r="AM2661" s="109"/>
      <c r="AN2661" s="109"/>
      <c r="AO2661" s="109"/>
      <c r="AP2661" s="109"/>
      <c r="AQ2661" s="109"/>
      <c r="AR2661" s="109"/>
      <c r="AS2661" s="109"/>
    </row>
    <row r="2662" spans="1:45" ht="12.6" customHeight="1" x14ac:dyDescent="0.3">
      <c r="A2662" s="68" t="s">
        <v>1444</v>
      </c>
      <c r="B2662" s="97" t="str">
        <f>" 재 료 비  :  "&amp;TEXT(I2662,"#,##0"&amp;IF(I2662&lt;&gt;INT(I2662),".###",""))&amp;" / Q3/ "&amp;AC2662&amp;" = "&amp;TEXT(C2662,"#,##0.0")&amp;""</f>
        <v xml:space="preserve"> 재 료 비  :  18,001 / Q3/ 3 = 136.0</v>
      </c>
      <c r="C2662" s="99">
        <f>E2662+D2662+F2662</f>
        <v>136</v>
      </c>
      <c r="D2662" s="99">
        <f>IF(H2662=0,0,ROUNDDOWN(J2662*H2662,1))</f>
        <v>0</v>
      </c>
      <c r="E2662" s="99">
        <f>IF(H2662=0,0,ROUNDDOWN(K2662*H2662,1))</f>
        <v>136</v>
      </c>
      <c r="F2662" s="99">
        <f>IF(H2662=0,0,ROUNDDOWN(L2662*H2662,1))</f>
        <v>0</v>
      </c>
      <c r="G2662" s="16" t="s">
        <v>1977</v>
      </c>
      <c r="H2662" s="105">
        <f>AE2662</f>
        <v>7.5585789871504159E-3</v>
      </c>
      <c r="I2662" s="106">
        <f>K2662+J2662+L2662</f>
        <v>18001</v>
      </c>
      <c r="K2662" s="39">
        <f>중기목록표!G9</f>
        <v>18001</v>
      </c>
      <c r="M2662" s="20" t="s">
        <v>1442</v>
      </c>
      <c r="N2662" s="20" t="s">
        <v>1332</v>
      </c>
      <c r="X2662" s="108" t="str">
        <f>중기목록표!B9&amp;" / "&amp;중기목록표!C9</f>
        <v>굴삭기(0.7m3) / 0.7㎥,(암석)</v>
      </c>
      <c r="Y2662" s="19" t="str">
        <f ca="1">HYPERLINK("#"&amp;중기목록표!J2&amp;"!A"&amp;ROW(중기목록표!A9),"중기    6 →")</f>
        <v>중기    6 →</v>
      </c>
      <c r="Z2662" s="20" t="s">
        <v>1393</v>
      </c>
      <c r="AA2662" s="112" t="str">
        <f>AL2658</f>
        <v>44.10</v>
      </c>
      <c r="AB2662" s="20" t="s">
        <v>1387</v>
      </c>
      <c r="AC2662" s="111">
        <v>3</v>
      </c>
      <c r="AD2662" s="20" t="s">
        <v>1326</v>
      </c>
      <c r="AE2662" s="113">
        <f>1/AL2658/AC2662</f>
        <v>7.5585789871504159E-3</v>
      </c>
      <c r="AF2662" s="109"/>
      <c r="AG2662" s="109"/>
      <c r="AH2662" s="109"/>
      <c r="AI2662" s="109"/>
      <c r="AJ2662" s="109"/>
      <c r="AK2662" s="109"/>
      <c r="AL2662" s="109"/>
      <c r="AM2662" s="109"/>
      <c r="AN2662" s="109"/>
      <c r="AO2662" s="109"/>
      <c r="AP2662" s="109"/>
      <c r="AQ2662" s="109"/>
      <c r="AR2662" s="109"/>
      <c r="AS2662" s="109"/>
    </row>
    <row r="2663" spans="1:45" ht="12.6" customHeight="1" x14ac:dyDescent="0.3">
      <c r="A2663" s="78"/>
      <c r="B2663" s="78"/>
      <c r="C2663" s="78"/>
      <c r="D2663" s="78"/>
      <c r="E2663" s="78"/>
      <c r="F2663" s="78"/>
      <c r="G2663" s="16" t="s">
        <v>1317</v>
      </c>
      <c r="Z2663" s="109"/>
      <c r="AA2663" s="109"/>
      <c r="AB2663" s="109"/>
      <c r="AC2663" s="109"/>
      <c r="AD2663" s="109"/>
      <c r="AE2663" s="109"/>
      <c r="AF2663" s="109"/>
      <c r="AG2663" s="109"/>
      <c r="AH2663" s="109"/>
      <c r="AI2663" s="109"/>
      <c r="AJ2663" s="109"/>
      <c r="AK2663" s="109"/>
      <c r="AL2663" s="109"/>
      <c r="AM2663" s="109"/>
      <c r="AN2663" s="109"/>
      <c r="AO2663" s="109"/>
      <c r="AP2663" s="109"/>
      <c r="AQ2663" s="109"/>
      <c r="AR2663" s="109"/>
      <c r="AS2663" s="109"/>
    </row>
    <row r="2664" spans="1:45" ht="12.6" customHeight="1" x14ac:dyDescent="0.3">
      <c r="A2664" s="68" t="s">
        <v>1446</v>
      </c>
      <c r="B2664" s="97" t="str">
        <f>" 경    비  :  "&amp;TEXT(I2664,"#,##0"&amp;IF(I2664&lt;&gt;INT(I2664),".###",""))&amp;" / Q3/ "&amp;AC2664&amp;" = "&amp;TEXT(C2664,"#,##0.0")&amp;""</f>
        <v xml:space="preserve"> 경    비  :  26,677 / Q3/ 3 = 201.6</v>
      </c>
      <c r="C2664" s="99">
        <f>E2664+D2664+F2664</f>
        <v>201.6</v>
      </c>
      <c r="D2664" s="99">
        <f>IF(H2664=0,0,ROUNDDOWN(J2664*H2664,1))</f>
        <v>0</v>
      </c>
      <c r="E2664" s="99">
        <f>IF(H2664=0,0,ROUNDDOWN(K2664*H2664,1))</f>
        <v>0</v>
      </c>
      <c r="F2664" s="99">
        <f>IF(H2664=0,0,ROUNDDOWN(L2664*H2664,1))</f>
        <v>201.6</v>
      </c>
      <c r="G2664" s="16" t="s">
        <v>1978</v>
      </c>
      <c r="H2664" s="105">
        <f>AE2664</f>
        <v>7.5585789871504159E-3</v>
      </c>
      <c r="I2664" s="106">
        <f>K2664+J2664+L2664</f>
        <v>26677</v>
      </c>
      <c r="L2664" s="39">
        <f>중기목록표!H9</f>
        <v>26677</v>
      </c>
      <c r="M2664" s="20" t="s">
        <v>1442</v>
      </c>
      <c r="N2664" s="20" t="s">
        <v>1332</v>
      </c>
      <c r="X2664" s="108" t="str">
        <f>중기목록표!B9&amp;" / "&amp;중기목록표!C9</f>
        <v>굴삭기(0.7m3) / 0.7㎥,(암석)</v>
      </c>
      <c r="Y2664" s="19" t="str">
        <f ca="1">HYPERLINK("#"&amp;중기목록표!J2&amp;"!A"&amp;ROW(중기목록표!A9),"중기    6 →")</f>
        <v>중기    6 →</v>
      </c>
      <c r="Z2664" s="20" t="s">
        <v>1393</v>
      </c>
      <c r="AA2664" s="112" t="str">
        <f>AL2658</f>
        <v>44.10</v>
      </c>
      <c r="AB2664" s="20" t="s">
        <v>1387</v>
      </c>
      <c r="AC2664" s="111">
        <v>3</v>
      </c>
      <c r="AD2664" s="20" t="s">
        <v>1326</v>
      </c>
      <c r="AE2664" s="113">
        <f>1/AL2658/AC2664</f>
        <v>7.5585789871504159E-3</v>
      </c>
      <c r="AF2664" s="109"/>
      <c r="AG2664" s="109"/>
      <c r="AH2664" s="109"/>
      <c r="AI2664" s="109"/>
      <c r="AJ2664" s="109"/>
      <c r="AK2664" s="109"/>
      <c r="AL2664" s="109"/>
      <c r="AM2664" s="109"/>
      <c r="AN2664" s="109"/>
      <c r="AO2664" s="109"/>
      <c r="AP2664" s="109"/>
      <c r="AQ2664" s="109"/>
      <c r="AR2664" s="109"/>
      <c r="AS2664" s="109"/>
    </row>
    <row r="2665" spans="1:45" ht="12.6" customHeight="1" x14ac:dyDescent="0.3">
      <c r="A2665" s="78"/>
      <c r="B2665" s="78"/>
      <c r="C2665" s="78"/>
      <c r="D2665" s="78"/>
      <c r="E2665" s="78"/>
      <c r="F2665" s="78"/>
      <c r="G2665" s="16" t="s">
        <v>1317</v>
      </c>
      <c r="Z2665" s="109"/>
      <c r="AA2665" s="109"/>
      <c r="AB2665" s="109"/>
      <c r="AC2665" s="109"/>
      <c r="AD2665" s="109"/>
      <c r="AE2665" s="109"/>
      <c r="AF2665" s="109"/>
      <c r="AG2665" s="109"/>
      <c r="AH2665" s="109"/>
      <c r="AI2665" s="109"/>
      <c r="AJ2665" s="109"/>
      <c r="AK2665" s="109"/>
      <c r="AL2665" s="109"/>
      <c r="AM2665" s="109"/>
      <c r="AN2665" s="109"/>
      <c r="AO2665" s="109"/>
      <c r="AP2665" s="109"/>
      <c r="AQ2665" s="109"/>
      <c r="AR2665" s="109"/>
      <c r="AS2665" s="109"/>
    </row>
    <row r="2666" spans="1:45" ht="12.6" customHeight="1" x14ac:dyDescent="0.3">
      <c r="A2666" s="68"/>
      <c r="B2666" s="77" t="s">
        <v>1331</v>
      </c>
      <c r="C2666" s="100">
        <f>E2666+D2666+F2666</f>
        <v>758.6</v>
      </c>
      <c r="D2666" s="100">
        <f>SUMIF(N2651:N2665,M2666,D2651:D2665)</f>
        <v>421</v>
      </c>
      <c r="E2666" s="100">
        <f>SUMIF(N2651:N2665,M2666,E2651:E2665)</f>
        <v>136</v>
      </c>
      <c r="F2666" s="100">
        <f>SUMIF(N2651:N2665,M2666,F2651:F2665)</f>
        <v>201.6</v>
      </c>
      <c r="G2666" s="16" t="s">
        <v>1415</v>
      </c>
      <c r="M2666" s="20" t="s">
        <v>1332</v>
      </c>
      <c r="N2666" s="20" t="s">
        <v>1341</v>
      </c>
      <c r="Z2666" s="109"/>
      <c r="AA2666" s="109"/>
      <c r="AB2666" s="109"/>
      <c r="AC2666" s="109"/>
      <c r="AD2666" s="109"/>
      <c r="AE2666" s="109"/>
      <c r="AF2666" s="109"/>
      <c r="AG2666" s="109"/>
      <c r="AH2666" s="109"/>
      <c r="AI2666" s="109"/>
      <c r="AJ2666" s="109"/>
      <c r="AK2666" s="109"/>
      <c r="AL2666" s="109"/>
      <c r="AM2666" s="109"/>
      <c r="AN2666" s="109"/>
      <c r="AO2666" s="109"/>
      <c r="AP2666" s="109"/>
      <c r="AQ2666" s="109"/>
      <c r="AR2666" s="109"/>
      <c r="AS2666" s="109"/>
    </row>
    <row r="2667" spans="1:45" ht="12.6" customHeight="1" x14ac:dyDescent="0.3">
      <c r="A2667" s="78"/>
      <c r="B2667" s="78"/>
      <c r="C2667" s="98"/>
      <c r="D2667" s="98"/>
      <c r="E2667" s="98"/>
      <c r="F2667" s="98"/>
      <c r="G2667" s="16" t="s">
        <v>1317</v>
      </c>
      <c r="Z2667" s="109"/>
      <c r="AA2667" s="109"/>
      <c r="AB2667" s="109"/>
      <c r="AC2667" s="109"/>
      <c r="AD2667" s="109"/>
      <c r="AE2667" s="109"/>
      <c r="AF2667" s="109"/>
      <c r="AG2667" s="109"/>
      <c r="AH2667" s="109"/>
      <c r="AI2667" s="109"/>
      <c r="AJ2667" s="109"/>
      <c r="AK2667" s="109"/>
      <c r="AL2667" s="109"/>
      <c r="AM2667" s="109"/>
      <c r="AN2667" s="109"/>
      <c r="AO2667" s="109"/>
      <c r="AP2667" s="109"/>
      <c r="AQ2667" s="109"/>
      <c r="AR2667" s="109"/>
      <c r="AS2667" s="109"/>
    </row>
    <row r="2668" spans="1:45" ht="12.6" customHeight="1" x14ac:dyDescent="0.3">
      <c r="A2668" s="68"/>
      <c r="B2668" s="77" t="s">
        <v>1340</v>
      </c>
      <c r="C2668" s="100">
        <f>E2668+D2668+F2668</f>
        <v>8751.6</v>
      </c>
      <c r="D2668" s="100">
        <f>SUMIF(N2562:N2667,M2668,D2562:D2667)</f>
        <v>5514.7000000000007</v>
      </c>
      <c r="E2668" s="100">
        <f>SUMIF(N2562:N2667,M2668,E2562:E2667)</f>
        <v>1176</v>
      </c>
      <c r="F2668" s="100">
        <f>SUMIF(N2562:N2667,M2668,F2562:F2667)</f>
        <v>2060.9</v>
      </c>
      <c r="G2668" s="16" t="s">
        <v>1380</v>
      </c>
      <c r="M2668" s="20" t="s">
        <v>1341</v>
      </c>
      <c r="N2668" s="20" t="s">
        <v>1128</v>
      </c>
      <c r="Z2668" s="109"/>
      <c r="AA2668" s="109"/>
      <c r="AB2668" s="109"/>
      <c r="AC2668" s="109"/>
      <c r="AD2668" s="109"/>
      <c r="AE2668" s="109"/>
      <c r="AF2668" s="109"/>
      <c r="AG2668" s="109"/>
      <c r="AH2668" s="109"/>
      <c r="AI2668" s="109"/>
      <c r="AJ2668" s="109"/>
      <c r="AK2668" s="109"/>
      <c r="AL2668" s="109"/>
      <c r="AM2668" s="109"/>
      <c r="AN2668" s="109"/>
      <c r="AO2668" s="109"/>
      <c r="AP2668" s="109"/>
      <c r="AQ2668" s="109"/>
      <c r="AR2668" s="109"/>
      <c r="AS2668" s="109"/>
    </row>
    <row r="2669" spans="1:45" ht="12.6" customHeight="1" x14ac:dyDescent="0.3">
      <c r="A2669" s="78"/>
      <c r="B2669" s="78"/>
      <c r="C2669" s="98"/>
      <c r="D2669" s="98"/>
      <c r="E2669" s="98"/>
      <c r="F2669" s="98"/>
      <c r="Z2669" s="109"/>
      <c r="AA2669" s="109"/>
      <c r="AB2669" s="109"/>
      <c r="AC2669" s="109"/>
      <c r="AD2669" s="109"/>
      <c r="AE2669" s="109"/>
      <c r="AF2669" s="109"/>
      <c r="AG2669" s="109"/>
      <c r="AH2669" s="109"/>
      <c r="AI2669" s="109"/>
      <c r="AJ2669" s="109"/>
      <c r="AK2669" s="109"/>
      <c r="AL2669" s="109"/>
      <c r="AM2669" s="109"/>
      <c r="AN2669" s="109"/>
      <c r="AO2669" s="109"/>
      <c r="AP2669" s="109"/>
      <c r="AQ2669" s="109"/>
      <c r="AR2669" s="109"/>
      <c r="AS2669" s="109"/>
    </row>
    <row r="2670" spans="1:45" ht="12.6" customHeight="1" x14ac:dyDescent="0.3">
      <c r="A2670" s="78"/>
      <c r="B2670" s="78"/>
      <c r="C2670" s="78"/>
      <c r="D2670" s="78"/>
      <c r="E2670" s="78"/>
      <c r="F2670" s="78"/>
      <c r="Z2670" s="109"/>
      <c r="AA2670" s="109"/>
      <c r="AB2670" s="109"/>
      <c r="AC2670" s="109"/>
      <c r="AD2670" s="109"/>
      <c r="AE2670" s="109"/>
      <c r="AF2670" s="109"/>
      <c r="AG2670" s="109"/>
      <c r="AH2670" s="109"/>
      <c r="AI2670" s="109"/>
      <c r="AJ2670" s="109"/>
      <c r="AK2670" s="109"/>
      <c r="AL2670" s="109"/>
      <c r="AM2670" s="109"/>
      <c r="AN2670" s="109"/>
      <c r="AO2670" s="109"/>
      <c r="AP2670" s="109"/>
      <c r="AQ2670" s="109"/>
      <c r="AR2670" s="109"/>
      <c r="AS2670" s="109"/>
    </row>
    <row r="2671" spans="1:45" ht="12.6" customHeight="1" x14ac:dyDescent="0.3">
      <c r="A2671" s="78"/>
      <c r="B2671" s="78"/>
      <c r="C2671" s="78"/>
      <c r="D2671" s="78"/>
      <c r="E2671" s="78"/>
      <c r="F2671" s="78"/>
      <c r="Z2671" s="109"/>
      <c r="AA2671" s="109"/>
      <c r="AB2671" s="109"/>
      <c r="AC2671" s="109"/>
      <c r="AD2671" s="109"/>
      <c r="AE2671" s="109"/>
      <c r="AF2671" s="109"/>
      <c r="AG2671" s="109"/>
      <c r="AH2671" s="109"/>
      <c r="AI2671" s="109"/>
      <c r="AJ2671" s="109"/>
      <c r="AK2671" s="109"/>
      <c r="AL2671" s="109"/>
      <c r="AM2671" s="109"/>
      <c r="AN2671" s="109"/>
      <c r="AO2671" s="109"/>
      <c r="AP2671" s="109"/>
      <c r="AQ2671" s="109"/>
      <c r="AR2671" s="109"/>
      <c r="AS2671" s="109"/>
    </row>
    <row r="2672" spans="1:45" ht="12.6" customHeight="1" x14ac:dyDescent="0.3">
      <c r="A2672" s="78"/>
      <c r="B2672" s="78"/>
      <c r="C2672" s="78"/>
      <c r="D2672" s="78"/>
      <c r="E2672" s="78"/>
      <c r="F2672" s="78"/>
      <c r="Z2672" s="109"/>
      <c r="AA2672" s="109"/>
      <c r="AB2672" s="109"/>
      <c r="AC2672" s="109"/>
      <c r="AD2672" s="109"/>
      <c r="AE2672" s="109"/>
      <c r="AF2672" s="109"/>
      <c r="AG2672" s="109"/>
      <c r="AH2672" s="109"/>
      <c r="AI2672" s="109"/>
      <c r="AJ2672" s="109"/>
      <c r="AK2672" s="109"/>
      <c r="AL2672" s="109"/>
      <c r="AM2672" s="109"/>
      <c r="AN2672" s="109"/>
      <c r="AO2672" s="109"/>
      <c r="AP2672" s="109"/>
      <c r="AQ2672" s="109"/>
      <c r="AR2672" s="109"/>
      <c r="AS2672" s="109"/>
    </row>
    <row r="2673" spans="1:45" ht="12.6" customHeight="1" x14ac:dyDescent="0.3">
      <c r="A2673" s="78"/>
      <c r="B2673" s="78"/>
      <c r="C2673" s="78"/>
      <c r="D2673" s="78"/>
      <c r="E2673" s="78"/>
      <c r="F2673" s="78"/>
      <c r="Z2673" s="109"/>
      <c r="AA2673" s="109"/>
      <c r="AB2673" s="109"/>
      <c r="AC2673" s="109"/>
      <c r="AD2673" s="109"/>
      <c r="AE2673" s="109"/>
      <c r="AF2673" s="109"/>
      <c r="AG2673" s="109"/>
      <c r="AH2673" s="109"/>
      <c r="AI2673" s="109"/>
      <c r="AJ2673" s="109"/>
      <c r="AK2673" s="109"/>
      <c r="AL2673" s="109"/>
      <c r="AM2673" s="109"/>
      <c r="AN2673" s="109"/>
      <c r="AO2673" s="109"/>
      <c r="AP2673" s="109"/>
      <c r="AQ2673" s="109"/>
      <c r="AR2673" s="109"/>
      <c r="AS2673" s="109"/>
    </row>
    <row r="2674" spans="1:45" ht="12.6" customHeight="1" x14ac:dyDescent="0.3">
      <c r="A2674" s="78"/>
      <c r="B2674" s="78"/>
      <c r="C2674" s="78"/>
      <c r="D2674" s="78"/>
      <c r="E2674" s="78"/>
      <c r="F2674" s="78"/>
      <c r="Z2674" s="109"/>
      <c r="AA2674" s="109"/>
      <c r="AB2674" s="109"/>
      <c r="AC2674" s="109"/>
      <c r="AD2674" s="109"/>
      <c r="AE2674" s="109"/>
      <c r="AF2674" s="109"/>
      <c r="AG2674" s="109"/>
      <c r="AH2674" s="109"/>
      <c r="AI2674" s="109"/>
      <c r="AJ2674" s="109"/>
      <c r="AK2674" s="109"/>
      <c r="AL2674" s="109"/>
      <c r="AM2674" s="109"/>
      <c r="AN2674" s="109"/>
      <c r="AO2674" s="109"/>
      <c r="AP2674" s="109"/>
      <c r="AQ2674" s="109"/>
      <c r="AR2674" s="109"/>
      <c r="AS2674" s="109"/>
    </row>
    <row r="2675" spans="1:45" ht="12.6" customHeight="1" x14ac:dyDescent="0.3">
      <c r="A2675" s="78"/>
      <c r="B2675" s="78"/>
      <c r="C2675" s="78"/>
      <c r="D2675" s="78"/>
      <c r="E2675" s="78"/>
      <c r="F2675" s="78"/>
      <c r="Z2675" s="109"/>
      <c r="AA2675" s="109"/>
      <c r="AB2675" s="109"/>
      <c r="AC2675" s="109"/>
      <c r="AD2675" s="109"/>
      <c r="AE2675" s="109"/>
      <c r="AF2675" s="109"/>
      <c r="AG2675" s="109"/>
      <c r="AH2675" s="109"/>
      <c r="AI2675" s="109"/>
      <c r="AJ2675" s="109"/>
      <c r="AK2675" s="109"/>
      <c r="AL2675" s="109"/>
      <c r="AM2675" s="109"/>
      <c r="AN2675" s="109"/>
      <c r="AO2675" s="109"/>
      <c r="AP2675" s="109"/>
      <c r="AQ2675" s="109"/>
      <c r="AR2675" s="109"/>
      <c r="AS2675" s="109"/>
    </row>
    <row r="2676" spans="1:45" ht="12.6" customHeight="1" x14ac:dyDescent="0.3">
      <c r="A2676" s="78"/>
      <c r="B2676" s="78"/>
      <c r="C2676" s="78"/>
      <c r="D2676" s="78"/>
      <c r="E2676" s="78"/>
      <c r="F2676" s="78"/>
      <c r="Z2676" s="109"/>
      <c r="AA2676" s="109"/>
      <c r="AB2676" s="109"/>
      <c r="AC2676" s="109"/>
      <c r="AD2676" s="109"/>
      <c r="AE2676" s="109"/>
      <c r="AF2676" s="109"/>
      <c r="AG2676" s="109"/>
      <c r="AH2676" s="109"/>
      <c r="AI2676" s="109"/>
      <c r="AJ2676" s="109"/>
      <c r="AK2676" s="109"/>
      <c r="AL2676" s="109"/>
      <c r="AM2676" s="109"/>
      <c r="AN2676" s="109"/>
      <c r="AO2676" s="109"/>
      <c r="AP2676" s="109"/>
      <c r="AQ2676" s="109"/>
      <c r="AR2676" s="109"/>
      <c r="AS2676" s="109"/>
    </row>
    <row r="2677" spans="1:45" ht="12.6" customHeight="1" x14ac:dyDescent="0.3">
      <c r="A2677" s="78"/>
      <c r="B2677" s="78"/>
      <c r="C2677" s="78"/>
      <c r="D2677" s="78"/>
      <c r="E2677" s="78"/>
      <c r="F2677" s="78"/>
      <c r="Z2677" s="109"/>
      <c r="AA2677" s="109"/>
      <c r="AB2677" s="109"/>
      <c r="AC2677" s="109"/>
      <c r="AD2677" s="109"/>
      <c r="AE2677" s="109"/>
      <c r="AF2677" s="109"/>
      <c r="AG2677" s="109"/>
      <c r="AH2677" s="109"/>
      <c r="AI2677" s="109"/>
      <c r="AJ2677" s="109"/>
      <c r="AK2677" s="109"/>
      <c r="AL2677" s="109"/>
      <c r="AM2677" s="109"/>
      <c r="AN2677" s="109"/>
      <c r="AO2677" s="109"/>
      <c r="AP2677" s="109"/>
      <c r="AQ2677" s="109"/>
      <c r="AR2677" s="109"/>
      <c r="AS2677" s="109"/>
    </row>
    <row r="2678" spans="1:45" ht="12.6" customHeight="1" x14ac:dyDescent="0.3">
      <c r="A2678" s="78"/>
      <c r="B2678" s="78"/>
      <c r="C2678" s="78"/>
      <c r="D2678" s="78"/>
      <c r="E2678" s="78"/>
      <c r="F2678" s="78"/>
      <c r="Z2678" s="109"/>
      <c r="AA2678" s="109"/>
      <c r="AB2678" s="109"/>
      <c r="AC2678" s="109"/>
      <c r="AD2678" s="109"/>
      <c r="AE2678" s="109"/>
      <c r="AF2678" s="109"/>
      <c r="AG2678" s="109"/>
      <c r="AH2678" s="109"/>
      <c r="AI2678" s="109"/>
      <c r="AJ2678" s="109"/>
      <c r="AK2678" s="109"/>
      <c r="AL2678" s="109"/>
      <c r="AM2678" s="109"/>
      <c r="AN2678" s="109"/>
      <c r="AO2678" s="109"/>
      <c r="AP2678" s="109"/>
      <c r="AQ2678" s="109"/>
      <c r="AR2678" s="109"/>
      <c r="AS2678" s="109"/>
    </row>
    <row r="2679" spans="1:45" ht="12.6" customHeight="1" x14ac:dyDescent="0.3">
      <c r="A2679" s="78"/>
      <c r="B2679" s="78"/>
      <c r="C2679" s="78"/>
      <c r="D2679" s="78"/>
      <c r="E2679" s="78"/>
      <c r="F2679" s="78"/>
      <c r="Z2679" s="109"/>
      <c r="AA2679" s="109"/>
      <c r="AB2679" s="109"/>
      <c r="AC2679" s="109"/>
      <c r="AD2679" s="109"/>
      <c r="AE2679" s="109"/>
      <c r="AF2679" s="109"/>
      <c r="AG2679" s="109"/>
      <c r="AH2679" s="109"/>
      <c r="AI2679" s="109"/>
      <c r="AJ2679" s="109"/>
      <c r="AK2679" s="109"/>
      <c r="AL2679" s="109"/>
      <c r="AM2679" s="109"/>
      <c r="AN2679" s="109"/>
      <c r="AO2679" s="109"/>
      <c r="AP2679" s="109"/>
      <c r="AQ2679" s="109"/>
      <c r="AR2679" s="109"/>
      <c r="AS2679" s="109"/>
    </row>
    <row r="2680" spans="1:45" ht="12.6" customHeight="1" x14ac:dyDescent="0.3">
      <c r="A2680" s="78"/>
      <c r="B2680" s="78"/>
      <c r="C2680" s="78"/>
      <c r="D2680" s="78"/>
      <c r="E2680" s="78"/>
      <c r="F2680" s="78"/>
      <c r="Z2680" s="109"/>
      <c r="AA2680" s="109"/>
      <c r="AB2680" s="109"/>
      <c r="AC2680" s="109"/>
      <c r="AD2680" s="109"/>
      <c r="AE2680" s="109"/>
      <c r="AF2680" s="109"/>
      <c r="AG2680" s="109"/>
      <c r="AH2680" s="109"/>
      <c r="AI2680" s="109"/>
      <c r="AJ2680" s="109"/>
      <c r="AK2680" s="109"/>
      <c r="AL2680" s="109"/>
      <c r="AM2680" s="109"/>
      <c r="AN2680" s="109"/>
      <c r="AO2680" s="109"/>
      <c r="AP2680" s="109"/>
      <c r="AQ2680" s="109"/>
      <c r="AR2680" s="109"/>
      <c r="AS2680" s="109"/>
    </row>
    <row r="2681" spans="1:45" ht="12.6" customHeight="1" x14ac:dyDescent="0.3">
      <c r="A2681" s="78"/>
      <c r="B2681" s="78"/>
      <c r="C2681" s="78"/>
      <c r="D2681" s="78"/>
      <c r="E2681" s="78"/>
      <c r="F2681" s="78"/>
      <c r="Z2681" s="109"/>
      <c r="AA2681" s="109"/>
      <c r="AB2681" s="109"/>
      <c r="AC2681" s="109"/>
      <c r="AD2681" s="109"/>
      <c r="AE2681" s="109"/>
      <c r="AF2681" s="109"/>
      <c r="AG2681" s="109"/>
      <c r="AH2681" s="109"/>
      <c r="AI2681" s="109"/>
      <c r="AJ2681" s="109"/>
      <c r="AK2681" s="109"/>
      <c r="AL2681" s="109"/>
      <c r="AM2681" s="109"/>
      <c r="AN2681" s="109"/>
      <c r="AO2681" s="109"/>
      <c r="AP2681" s="109"/>
      <c r="AQ2681" s="109"/>
      <c r="AR2681" s="109"/>
      <c r="AS2681" s="109"/>
    </row>
    <row r="2682" spans="1:45" ht="12.6" customHeight="1" x14ac:dyDescent="0.3">
      <c r="A2682" s="78"/>
      <c r="B2682" s="78"/>
      <c r="C2682" s="78"/>
      <c r="D2682" s="78"/>
      <c r="E2682" s="78"/>
      <c r="F2682" s="78"/>
      <c r="Z2682" s="109"/>
      <c r="AA2682" s="109"/>
      <c r="AB2682" s="109"/>
      <c r="AC2682" s="109"/>
      <c r="AD2682" s="109"/>
      <c r="AE2682" s="109"/>
      <c r="AF2682" s="109"/>
      <c r="AG2682" s="109"/>
      <c r="AH2682" s="109"/>
      <c r="AI2682" s="109"/>
      <c r="AJ2682" s="109"/>
      <c r="AK2682" s="109"/>
      <c r="AL2682" s="109"/>
      <c r="AM2682" s="109"/>
      <c r="AN2682" s="109"/>
      <c r="AO2682" s="109"/>
      <c r="AP2682" s="109"/>
      <c r="AQ2682" s="109"/>
      <c r="AR2682" s="109"/>
      <c r="AS2682" s="109"/>
    </row>
    <row r="2683" spans="1:45" ht="12.6" customHeight="1" x14ac:dyDescent="0.3">
      <c r="A2683" s="78"/>
      <c r="B2683" s="78"/>
      <c r="C2683" s="78"/>
      <c r="D2683" s="78"/>
      <c r="E2683" s="78"/>
      <c r="F2683" s="78"/>
      <c r="Z2683" s="109"/>
      <c r="AA2683" s="109"/>
      <c r="AB2683" s="109"/>
      <c r="AC2683" s="109"/>
      <c r="AD2683" s="109"/>
      <c r="AE2683" s="109"/>
      <c r="AF2683" s="109"/>
      <c r="AG2683" s="109"/>
      <c r="AH2683" s="109"/>
      <c r="AI2683" s="109"/>
      <c r="AJ2683" s="109"/>
      <c r="AK2683" s="109"/>
      <c r="AL2683" s="109"/>
      <c r="AM2683" s="109"/>
      <c r="AN2683" s="109"/>
      <c r="AO2683" s="109"/>
      <c r="AP2683" s="109"/>
      <c r="AQ2683" s="109"/>
      <c r="AR2683" s="109"/>
      <c r="AS2683" s="109"/>
    </row>
    <row r="2684" spans="1:45" ht="12.6" customHeight="1" x14ac:dyDescent="0.3">
      <c r="A2684" s="78"/>
      <c r="B2684" s="78"/>
      <c r="C2684" s="78"/>
      <c r="D2684" s="78"/>
      <c r="E2684" s="78"/>
      <c r="F2684" s="78"/>
      <c r="Z2684" s="109"/>
      <c r="AA2684" s="109"/>
      <c r="AB2684" s="109"/>
      <c r="AC2684" s="109"/>
      <c r="AD2684" s="109"/>
      <c r="AE2684" s="109"/>
      <c r="AF2684" s="109"/>
      <c r="AG2684" s="109"/>
      <c r="AH2684" s="109"/>
      <c r="AI2684" s="109"/>
      <c r="AJ2684" s="109"/>
      <c r="AK2684" s="109"/>
      <c r="AL2684" s="109"/>
      <c r="AM2684" s="109"/>
      <c r="AN2684" s="109"/>
      <c r="AO2684" s="109"/>
      <c r="AP2684" s="109"/>
      <c r="AQ2684" s="109"/>
      <c r="AR2684" s="109"/>
      <c r="AS2684" s="109"/>
    </row>
    <row r="2685" spans="1:45" ht="12.6" customHeight="1" x14ac:dyDescent="0.3">
      <c r="A2685" s="78"/>
      <c r="B2685" s="78"/>
      <c r="C2685" s="78"/>
      <c r="D2685" s="78"/>
      <c r="E2685" s="78"/>
      <c r="F2685" s="78"/>
      <c r="Z2685" s="109"/>
      <c r="AA2685" s="109"/>
      <c r="AB2685" s="109"/>
      <c r="AC2685" s="109"/>
      <c r="AD2685" s="109"/>
      <c r="AE2685" s="109"/>
      <c r="AF2685" s="109"/>
      <c r="AG2685" s="109"/>
      <c r="AH2685" s="109"/>
      <c r="AI2685" s="109"/>
      <c r="AJ2685" s="109"/>
      <c r="AK2685" s="109"/>
      <c r="AL2685" s="109"/>
      <c r="AM2685" s="109"/>
      <c r="AN2685" s="109"/>
      <c r="AO2685" s="109"/>
      <c r="AP2685" s="109"/>
      <c r="AQ2685" s="109"/>
      <c r="AR2685" s="109"/>
      <c r="AS2685" s="109"/>
    </row>
    <row r="2686" spans="1:45" ht="12.6" customHeight="1" x14ac:dyDescent="0.3">
      <c r="A2686" s="78"/>
      <c r="B2686" s="78"/>
      <c r="C2686" s="78"/>
      <c r="D2686" s="78"/>
      <c r="E2686" s="78"/>
      <c r="F2686" s="78"/>
      <c r="Z2686" s="109"/>
      <c r="AA2686" s="109"/>
      <c r="AB2686" s="109"/>
      <c r="AC2686" s="109"/>
      <c r="AD2686" s="109"/>
      <c r="AE2686" s="109"/>
      <c r="AF2686" s="109"/>
      <c r="AG2686" s="109"/>
      <c r="AH2686" s="109"/>
      <c r="AI2686" s="109"/>
      <c r="AJ2686" s="109"/>
      <c r="AK2686" s="109"/>
      <c r="AL2686" s="109"/>
      <c r="AM2686" s="109"/>
      <c r="AN2686" s="109"/>
      <c r="AO2686" s="109"/>
      <c r="AP2686" s="109"/>
      <c r="AQ2686" s="109"/>
      <c r="AR2686" s="109"/>
      <c r="AS2686" s="109"/>
    </row>
    <row r="2687" spans="1:45" ht="12.6" customHeight="1" x14ac:dyDescent="0.3">
      <c r="A2687" s="78"/>
      <c r="B2687" s="78"/>
      <c r="C2687" s="78"/>
      <c r="D2687" s="78"/>
      <c r="E2687" s="78"/>
      <c r="F2687" s="78"/>
      <c r="Z2687" s="109"/>
      <c r="AA2687" s="109"/>
      <c r="AB2687" s="109"/>
      <c r="AC2687" s="109"/>
      <c r="AD2687" s="109"/>
      <c r="AE2687" s="109"/>
      <c r="AF2687" s="109"/>
      <c r="AG2687" s="109"/>
      <c r="AH2687" s="109"/>
      <c r="AI2687" s="109"/>
      <c r="AJ2687" s="109"/>
      <c r="AK2687" s="109"/>
      <c r="AL2687" s="109"/>
      <c r="AM2687" s="109"/>
      <c r="AN2687" s="109"/>
      <c r="AO2687" s="109"/>
      <c r="AP2687" s="109"/>
      <c r="AQ2687" s="109"/>
      <c r="AR2687" s="109"/>
      <c r="AS2687" s="109"/>
    </row>
    <row r="2688" spans="1:45" ht="12.6" customHeight="1" x14ac:dyDescent="0.3">
      <c r="A2688" s="78"/>
      <c r="B2688" s="78"/>
      <c r="C2688" s="78"/>
      <c r="D2688" s="78"/>
      <c r="E2688" s="78"/>
      <c r="F2688" s="78"/>
      <c r="Z2688" s="109"/>
      <c r="AA2688" s="109"/>
      <c r="AB2688" s="109"/>
      <c r="AC2688" s="109"/>
      <c r="AD2688" s="109"/>
      <c r="AE2688" s="109"/>
      <c r="AF2688" s="109"/>
      <c r="AG2688" s="109"/>
      <c r="AH2688" s="109"/>
      <c r="AI2688" s="109"/>
      <c r="AJ2688" s="109"/>
      <c r="AK2688" s="109"/>
      <c r="AL2688" s="109"/>
      <c r="AM2688" s="109"/>
      <c r="AN2688" s="109"/>
      <c r="AO2688" s="109"/>
      <c r="AP2688" s="109"/>
      <c r="AQ2688" s="109"/>
      <c r="AR2688" s="109"/>
      <c r="AS2688" s="109"/>
    </row>
    <row r="2689" spans="1:45" ht="12.6" customHeight="1" x14ac:dyDescent="0.3">
      <c r="A2689" s="78"/>
      <c r="B2689" s="78"/>
      <c r="C2689" s="78"/>
      <c r="D2689" s="78"/>
      <c r="E2689" s="78"/>
      <c r="F2689" s="78"/>
      <c r="Z2689" s="109"/>
      <c r="AA2689" s="109"/>
      <c r="AB2689" s="109"/>
      <c r="AC2689" s="109"/>
      <c r="AD2689" s="109"/>
      <c r="AE2689" s="109"/>
      <c r="AF2689" s="109"/>
      <c r="AG2689" s="109"/>
      <c r="AH2689" s="109"/>
      <c r="AI2689" s="109"/>
      <c r="AJ2689" s="109"/>
      <c r="AK2689" s="109"/>
      <c r="AL2689" s="109"/>
      <c r="AM2689" s="109"/>
      <c r="AN2689" s="109"/>
      <c r="AO2689" s="109"/>
      <c r="AP2689" s="109"/>
      <c r="AQ2689" s="109"/>
      <c r="AR2689" s="109"/>
      <c r="AS2689" s="109"/>
    </row>
    <row r="2690" spans="1:45" ht="12.6" customHeight="1" x14ac:dyDescent="0.3">
      <c r="A2690" s="78"/>
      <c r="B2690" s="78"/>
      <c r="C2690" s="78"/>
      <c r="D2690" s="78"/>
      <c r="E2690" s="78"/>
      <c r="F2690" s="78"/>
      <c r="Z2690" s="109"/>
      <c r="AA2690" s="109"/>
      <c r="AB2690" s="109"/>
      <c r="AC2690" s="109"/>
      <c r="AD2690" s="109"/>
      <c r="AE2690" s="109"/>
      <c r="AF2690" s="109"/>
      <c r="AG2690" s="109"/>
      <c r="AH2690" s="109"/>
      <c r="AI2690" s="109"/>
      <c r="AJ2690" s="109"/>
      <c r="AK2690" s="109"/>
      <c r="AL2690" s="109"/>
      <c r="AM2690" s="109"/>
      <c r="AN2690" s="109"/>
      <c r="AO2690" s="109"/>
      <c r="AP2690" s="109"/>
      <c r="AQ2690" s="109"/>
      <c r="AR2690" s="109"/>
      <c r="AS2690" s="109"/>
    </row>
    <row r="2691" spans="1:45" ht="12.6" customHeight="1" x14ac:dyDescent="0.3">
      <c r="A2691" s="78"/>
      <c r="B2691" s="78"/>
      <c r="C2691" s="78"/>
      <c r="D2691" s="78"/>
      <c r="E2691" s="78"/>
      <c r="F2691" s="78"/>
      <c r="Z2691" s="109"/>
      <c r="AA2691" s="109"/>
      <c r="AB2691" s="109"/>
      <c r="AC2691" s="109"/>
      <c r="AD2691" s="109"/>
      <c r="AE2691" s="109"/>
      <c r="AF2691" s="109"/>
      <c r="AG2691" s="109"/>
      <c r="AH2691" s="109"/>
      <c r="AI2691" s="109"/>
      <c r="AJ2691" s="109"/>
      <c r="AK2691" s="109"/>
      <c r="AL2691" s="109"/>
      <c r="AM2691" s="109"/>
      <c r="AN2691" s="109"/>
      <c r="AO2691" s="109"/>
      <c r="AP2691" s="109"/>
      <c r="AQ2691" s="109"/>
      <c r="AR2691" s="109"/>
      <c r="AS2691" s="109"/>
    </row>
    <row r="2692" spans="1:45" ht="12.6" customHeight="1" x14ac:dyDescent="0.3">
      <c r="A2692" s="78"/>
      <c r="B2692" s="78"/>
      <c r="C2692" s="78"/>
      <c r="D2692" s="78"/>
      <c r="E2692" s="78"/>
      <c r="F2692" s="78"/>
      <c r="Z2692" s="109"/>
      <c r="AA2692" s="109"/>
      <c r="AB2692" s="109"/>
      <c r="AC2692" s="109"/>
      <c r="AD2692" s="109"/>
      <c r="AE2692" s="109"/>
      <c r="AF2692" s="109"/>
      <c r="AG2692" s="109"/>
      <c r="AH2692" s="109"/>
      <c r="AI2692" s="109"/>
      <c r="AJ2692" s="109"/>
      <c r="AK2692" s="109"/>
      <c r="AL2692" s="109"/>
      <c r="AM2692" s="109"/>
      <c r="AN2692" s="109"/>
      <c r="AO2692" s="109"/>
      <c r="AP2692" s="109"/>
      <c r="AQ2692" s="109"/>
      <c r="AR2692" s="109"/>
      <c r="AS2692" s="109"/>
    </row>
    <row r="2693" spans="1:45" ht="12.6" customHeight="1" x14ac:dyDescent="0.3">
      <c r="A2693" s="78"/>
      <c r="B2693" s="78"/>
      <c r="C2693" s="78"/>
      <c r="D2693" s="78"/>
      <c r="E2693" s="78"/>
      <c r="F2693" s="78"/>
      <c r="Z2693" s="109"/>
      <c r="AA2693" s="109"/>
      <c r="AB2693" s="109"/>
      <c r="AC2693" s="109"/>
      <c r="AD2693" s="109"/>
      <c r="AE2693" s="109"/>
      <c r="AF2693" s="109"/>
      <c r="AG2693" s="109"/>
      <c r="AH2693" s="109"/>
      <c r="AI2693" s="109"/>
      <c r="AJ2693" s="109"/>
      <c r="AK2693" s="109"/>
      <c r="AL2693" s="109"/>
      <c r="AM2693" s="109"/>
      <c r="AN2693" s="109"/>
      <c r="AO2693" s="109"/>
      <c r="AP2693" s="109"/>
      <c r="AQ2693" s="109"/>
      <c r="AR2693" s="109"/>
      <c r="AS2693" s="109"/>
    </row>
    <row r="2694" spans="1:45" ht="12.6" customHeight="1" x14ac:dyDescent="0.3">
      <c r="A2694" s="78"/>
      <c r="B2694" s="78"/>
      <c r="C2694" s="78"/>
      <c r="D2694" s="78"/>
      <c r="E2694" s="78"/>
      <c r="F2694" s="78"/>
      <c r="Z2694" s="109"/>
      <c r="AA2694" s="109"/>
      <c r="AB2694" s="109"/>
      <c r="AC2694" s="109"/>
      <c r="AD2694" s="109"/>
      <c r="AE2694" s="109"/>
      <c r="AF2694" s="109"/>
      <c r="AG2694" s="109"/>
      <c r="AH2694" s="109"/>
      <c r="AI2694" s="109"/>
      <c r="AJ2694" s="109"/>
      <c r="AK2694" s="109"/>
      <c r="AL2694" s="109"/>
      <c r="AM2694" s="109"/>
      <c r="AN2694" s="109"/>
      <c r="AO2694" s="109"/>
      <c r="AP2694" s="109"/>
      <c r="AQ2694" s="109"/>
      <c r="AR2694" s="109"/>
      <c r="AS2694" s="109"/>
    </row>
    <row r="2695" spans="1:45" ht="12.6" customHeight="1" x14ac:dyDescent="0.3">
      <c r="A2695" s="78"/>
      <c r="B2695" s="78"/>
      <c r="C2695" s="78"/>
      <c r="D2695" s="78"/>
      <c r="E2695" s="78"/>
      <c r="F2695" s="78"/>
      <c r="Z2695" s="109"/>
      <c r="AA2695" s="109"/>
      <c r="AB2695" s="109"/>
      <c r="AC2695" s="109"/>
      <c r="AD2695" s="109"/>
      <c r="AE2695" s="109"/>
      <c r="AF2695" s="109"/>
      <c r="AG2695" s="109"/>
      <c r="AH2695" s="109"/>
      <c r="AI2695" s="109"/>
      <c r="AJ2695" s="109"/>
      <c r="AK2695" s="109"/>
      <c r="AL2695" s="109"/>
      <c r="AM2695" s="109"/>
      <c r="AN2695" s="109"/>
      <c r="AO2695" s="109"/>
      <c r="AP2695" s="109"/>
      <c r="AQ2695" s="109"/>
      <c r="AR2695" s="109"/>
      <c r="AS2695" s="109"/>
    </row>
    <row r="2696" spans="1:45" ht="12.6" customHeight="1" x14ac:dyDescent="0.3">
      <c r="A2696" s="78"/>
      <c r="B2696" s="78"/>
      <c r="C2696" s="78"/>
      <c r="D2696" s="78"/>
      <c r="E2696" s="78"/>
      <c r="F2696" s="78"/>
      <c r="Z2696" s="109"/>
      <c r="AA2696" s="109"/>
      <c r="AB2696" s="109"/>
      <c r="AC2696" s="109"/>
      <c r="AD2696" s="109"/>
      <c r="AE2696" s="109"/>
      <c r="AF2696" s="109"/>
      <c r="AG2696" s="109"/>
      <c r="AH2696" s="109"/>
      <c r="AI2696" s="109"/>
      <c r="AJ2696" s="109"/>
      <c r="AK2696" s="109"/>
      <c r="AL2696" s="109"/>
      <c r="AM2696" s="109"/>
      <c r="AN2696" s="109"/>
      <c r="AO2696" s="109"/>
      <c r="AP2696" s="109"/>
      <c r="AQ2696" s="109"/>
      <c r="AR2696" s="109"/>
      <c r="AS2696" s="109"/>
    </row>
    <row r="2697" spans="1:45" ht="12.6" customHeight="1" x14ac:dyDescent="0.3">
      <c r="A2697" s="78"/>
      <c r="B2697" s="78"/>
      <c r="C2697" s="78"/>
      <c r="D2697" s="78"/>
      <c r="E2697" s="78"/>
      <c r="F2697" s="78"/>
      <c r="Z2697" s="109"/>
      <c r="AA2697" s="109"/>
      <c r="AB2697" s="109"/>
      <c r="AC2697" s="109"/>
      <c r="AD2697" s="109"/>
      <c r="AE2697" s="109"/>
      <c r="AF2697" s="109"/>
      <c r="AG2697" s="109"/>
      <c r="AH2697" s="109"/>
      <c r="AI2697" s="109"/>
      <c r="AJ2697" s="109"/>
      <c r="AK2697" s="109"/>
      <c r="AL2697" s="109"/>
      <c r="AM2697" s="109"/>
      <c r="AN2697" s="109"/>
      <c r="AO2697" s="109"/>
      <c r="AP2697" s="109"/>
      <c r="AQ2697" s="109"/>
      <c r="AR2697" s="109"/>
      <c r="AS2697" s="109"/>
    </row>
    <row r="2698" spans="1:45" ht="12.6" customHeight="1" x14ac:dyDescent="0.3">
      <c r="A2698" s="58"/>
      <c r="B2698" s="58"/>
      <c r="C2698" s="58"/>
      <c r="D2698" s="58"/>
      <c r="E2698" s="58"/>
      <c r="F2698" s="58"/>
      <c r="Z2698" s="109"/>
      <c r="AA2698" s="109"/>
      <c r="AB2698" s="109"/>
      <c r="AC2698" s="109"/>
      <c r="AD2698" s="109"/>
      <c r="AE2698" s="109"/>
      <c r="AF2698" s="109"/>
      <c r="AG2698" s="109"/>
      <c r="AH2698" s="109"/>
      <c r="AI2698" s="109"/>
      <c r="AJ2698" s="109"/>
      <c r="AK2698" s="109"/>
      <c r="AL2698" s="109"/>
      <c r="AM2698" s="109"/>
      <c r="AN2698" s="109"/>
      <c r="AO2698" s="109"/>
      <c r="AP2698" s="109"/>
      <c r="AQ2698" s="109"/>
      <c r="AR2698" s="109"/>
      <c r="AS2698" s="109"/>
    </row>
    <row r="2699" spans="1:45" ht="12.6" customHeight="1" x14ac:dyDescent="0.3">
      <c r="A2699" s="159" t="s">
        <v>1401</v>
      </c>
      <c r="B2699" s="152"/>
      <c r="C2699" s="55">
        <f>E2699+D2699+F2699</f>
        <v>8750</v>
      </c>
      <c r="D2699" s="54">
        <f>ROUNDDOWN(SUMIF(N2562:N2668,M2699,D2562:D2668),0)</f>
        <v>5514</v>
      </c>
      <c r="E2699" s="63">
        <f>ROUNDDOWN(SUMIF(N2562:N2668,M2699,E2562:E2668),0)</f>
        <v>1176</v>
      </c>
      <c r="F2699" s="55">
        <f>ROUNDDOWN(SUMIF(N2562:N2668,M2699,F2562:F2668),0)</f>
        <v>2060</v>
      </c>
      <c r="M2699" s="20" t="s">
        <v>1128</v>
      </c>
      <c r="Z2699" s="109"/>
      <c r="AA2699" s="109"/>
      <c r="AB2699" s="109"/>
      <c r="AC2699" s="109"/>
      <c r="AD2699" s="109"/>
      <c r="AE2699" s="109"/>
      <c r="AF2699" s="109"/>
      <c r="AG2699" s="109"/>
      <c r="AH2699" s="109"/>
      <c r="AI2699" s="109"/>
      <c r="AJ2699" s="109"/>
      <c r="AK2699" s="109"/>
      <c r="AL2699" s="109"/>
      <c r="AM2699" s="109"/>
      <c r="AN2699" s="109"/>
      <c r="AO2699" s="109"/>
      <c r="AP2699" s="109"/>
      <c r="AQ2699" s="109"/>
      <c r="AR2699" s="109"/>
      <c r="AS2699" s="109"/>
    </row>
    <row r="2700" spans="1:45" ht="12.6" customHeight="1" x14ac:dyDescent="0.3">
      <c r="A2700" s="95" t="s">
        <v>316</v>
      </c>
      <c r="B2700" s="96" t="s">
        <v>316</v>
      </c>
      <c r="C2700" s="158">
        <f>C2769</f>
        <v>1851</v>
      </c>
      <c r="D2700" s="158">
        <f>D2769</f>
        <v>818</v>
      </c>
      <c r="E2700" s="158">
        <f>E2769</f>
        <v>542</v>
      </c>
      <c r="F2700" s="158">
        <f>F2769</f>
        <v>491</v>
      </c>
      <c r="G2700" s="36" t="str">
        <f>HYPERLINK("#G"&amp;ROW(G2733),"_x0005_`BDCOD|D02258_x0007_`POSS|"&amp;ROW(G2702)&amp;"_x0007_`POSE|"&amp;ROW(G2733)&amp;"_x0007_`")</f>
        <v>_x0005_`BDCOD|D02258_x0007_`POSS|2702_x0007_`POSE|2733_x0007_`</v>
      </c>
      <c r="Z2700" s="109"/>
      <c r="AA2700" s="109"/>
      <c r="AB2700" s="109"/>
      <c r="AC2700" s="109"/>
      <c r="AD2700" s="109"/>
      <c r="AE2700" s="109"/>
      <c r="AF2700" s="109"/>
      <c r="AG2700" s="109"/>
      <c r="AH2700" s="109"/>
      <c r="AI2700" s="109"/>
      <c r="AJ2700" s="109"/>
      <c r="AK2700" s="109"/>
      <c r="AL2700" s="109"/>
      <c r="AM2700" s="109"/>
      <c r="AN2700" s="109"/>
      <c r="AO2700" s="109"/>
      <c r="AP2700" s="109"/>
      <c r="AQ2700" s="109"/>
      <c r="AR2700" s="109"/>
      <c r="AS2700" s="109"/>
    </row>
    <row r="2701" spans="1:45" ht="12.6" customHeight="1" x14ac:dyDescent="0.3">
      <c r="A2701" s="84"/>
      <c r="B2701" s="96" t="s">
        <v>315</v>
      </c>
      <c r="C2701" s="141"/>
      <c r="D2701" s="141"/>
      <c r="E2701" s="141"/>
      <c r="F2701" s="141"/>
      <c r="M2701" s="20" t="s">
        <v>314</v>
      </c>
      <c r="Z2701" s="109"/>
      <c r="AA2701" s="109"/>
      <c r="AB2701" s="109"/>
      <c r="AC2701" s="109"/>
      <c r="AD2701" s="109"/>
      <c r="AE2701" s="109"/>
      <c r="AF2701" s="109"/>
      <c r="AG2701" s="109"/>
      <c r="AH2701" s="109"/>
      <c r="AI2701" s="109"/>
      <c r="AJ2701" s="109"/>
      <c r="AK2701" s="109"/>
      <c r="AL2701" s="109"/>
      <c r="AM2701" s="109"/>
      <c r="AN2701" s="109"/>
      <c r="AO2701" s="109"/>
      <c r="AP2701" s="109"/>
      <c r="AQ2701" s="109"/>
      <c r="AR2701" s="109"/>
      <c r="AS2701" s="109"/>
    </row>
    <row r="2702" spans="1:45" ht="12.6" customHeight="1" x14ac:dyDescent="0.3">
      <c r="A2702" s="68"/>
      <c r="B2702" s="77" t="s">
        <v>1867</v>
      </c>
      <c r="C2702" s="98"/>
      <c r="D2702" s="98"/>
      <c r="E2702" s="98"/>
      <c r="F2702" s="98"/>
      <c r="G2702" s="16" t="s">
        <v>1866</v>
      </c>
      <c r="Z2702" s="109"/>
      <c r="AA2702" s="109"/>
      <c r="AB2702" s="109"/>
      <c r="AC2702" s="109"/>
      <c r="AD2702" s="109"/>
      <c r="AE2702" s="109"/>
      <c r="AF2702" s="109"/>
      <c r="AG2702" s="109"/>
      <c r="AH2702" s="109"/>
      <c r="AI2702" s="109"/>
      <c r="AJ2702" s="109"/>
      <c r="AK2702" s="109"/>
      <c r="AL2702" s="109"/>
      <c r="AM2702" s="109"/>
      <c r="AN2702" s="109"/>
      <c r="AO2702" s="109"/>
      <c r="AP2702" s="109"/>
      <c r="AQ2702" s="109"/>
      <c r="AR2702" s="109"/>
      <c r="AS2702" s="109"/>
    </row>
    <row r="2703" spans="1:45" ht="12.6" customHeight="1" x14ac:dyDescent="0.3">
      <c r="A2703" s="78"/>
      <c r="B2703" s="78"/>
      <c r="C2703" s="78"/>
      <c r="D2703" s="78"/>
      <c r="E2703" s="78"/>
      <c r="F2703" s="78"/>
      <c r="G2703" s="16" t="s">
        <v>1317</v>
      </c>
      <c r="Z2703" s="109"/>
      <c r="AA2703" s="109"/>
      <c r="AB2703" s="109"/>
      <c r="AC2703" s="109"/>
      <c r="AD2703" s="109"/>
      <c r="AE2703" s="109"/>
      <c r="AF2703" s="109"/>
      <c r="AG2703" s="109"/>
      <c r="AH2703" s="109"/>
      <c r="AI2703" s="109"/>
      <c r="AJ2703" s="109"/>
      <c r="AK2703" s="109"/>
      <c r="AL2703" s="109"/>
      <c r="AM2703" s="109"/>
      <c r="AN2703" s="109"/>
      <c r="AO2703" s="109"/>
      <c r="AP2703" s="109"/>
      <c r="AQ2703" s="109"/>
      <c r="AR2703" s="109"/>
      <c r="AS2703" s="109"/>
    </row>
    <row r="2704" spans="1:45" ht="12.6" customHeight="1" x14ac:dyDescent="0.3">
      <c r="A2704" s="68"/>
      <c r="B2704" s="97" t="str">
        <f>"   도자 19 Ton     ( L1="&amp;Z2704&amp;" m) "</f>
        <v xml:space="preserve">   도자 19 Ton     ( L1=38.3 m) </v>
      </c>
      <c r="C2704" s="78"/>
      <c r="D2704" s="78"/>
      <c r="E2704" s="78"/>
      <c r="F2704" s="78"/>
      <c r="G2704" s="16" t="s">
        <v>2102</v>
      </c>
      <c r="Z2704" s="110">
        <v>38.299999999999997</v>
      </c>
      <c r="AA2704" s="20" t="s">
        <v>1326</v>
      </c>
      <c r="AB2704" s="112">
        <f>Z2704</f>
        <v>38.299999999999997</v>
      </c>
      <c r="AC2704" s="109"/>
      <c r="AD2704" s="109"/>
      <c r="AE2704" s="109"/>
      <c r="AF2704" s="109"/>
      <c r="AG2704" s="109"/>
      <c r="AH2704" s="109"/>
      <c r="AI2704" s="109"/>
      <c r="AJ2704" s="109"/>
      <c r="AK2704" s="109"/>
      <c r="AL2704" s="109"/>
      <c r="AM2704" s="109"/>
      <c r="AN2704" s="109"/>
      <c r="AO2704" s="109"/>
      <c r="AP2704" s="109"/>
      <c r="AQ2704" s="109"/>
      <c r="AR2704" s="109"/>
      <c r="AS2704" s="109"/>
    </row>
    <row r="2705" spans="1:45" ht="12.6" customHeight="1" x14ac:dyDescent="0.3">
      <c r="A2705" s="78"/>
      <c r="B2705" s="78"/>
      <c r="C2705" s="78"/>
      <c r="D2705" s="78"/>
      <c r="E2705" s="78"/>
      <c r="F2705" s="78"/>
      <c r="G2705" s="16" t="s">
        <v>1317</v>
      </c>
      <c r="Z2705" s="109"/>
      <c r="AA2705" s="109"/>
      <c r="AB2705" s="109"/>
      <c r="AC2705" s="109"/>
      <c r="AD2705" s="109"/>
      <c r="AE2705" s="109"/>
      <c r="AF2705" s="109"/>
      <c r="AG2705" s="109"/>
      <c r="AH2705" s="109"/>
      <c r="AI2705" s="109"/>
      <c r="AJ2705" s="109"/>
      <c r="AK2705" s="109"/>
      <c r="AL2705" s="109"/>
      <c r="AM2705" s="109"/>
      <c r="AN2705" s="109"/>
      <c r="AO2705" s="109"/>
      <c r="AP2705" s="109"/>
      <c r="AQ2705" s="109"/>
      <c r="AR2705" s="109"/>
      <c r="AS2705" s="109"/>
    </row>
    <row r="2706" spans="1:45" ht="12.6" customHeight="1" x14ac:dyDescent="0.3">
      <c r="A2706" s="68"/>
      <c r="B2706" s="97" t="str">
        <f>" L (운반거리) = L1-"&amp;AB2706&amp;"= "&amp;AD2706&amp;" m "</f>
        <v xml:space="preserve"> L (운반거리) = L1-20= 18.30 m </v>
      </c>
      <c r="C2706" s="78"/>
      <c r="D2706" s="78"/>
      <c r="E2706" s="78"/>
      <c r="F2706" s="78"/>
      <c r="G2706" s="16" t="s">
        <v>1869</v>
      </c>
      <c r="Z2706" s="112">
        <f>AB2704</f>
        <v>38.299999999999997</v>
      </c>
      <c r="AA2706" s="20" t="s">
        <v>1407</v>
      </c>
      <c r="AB2706" s="111">
        <v>20</v>
      </c>
      <c r="AC2706" s="20" t="s">
        <v>1326</v>
      </c>
      <c r="AD2706" s="112" t="str">
        <f>TEXT(ROUND(AB2704-AB2706,2),"0.00")</f>
        <v>18.30</v>
      </c>
      <c r="AE2706" s="109"/>
      <c r="AF2706" s="109"/>
      <c r="AG2706" s="109"/>
      <c r="AH2706" s="109"/>
      <c r="AI2706" s="109"/>
      <c r="AJ2706" s="109"/>
      <c r="AK2706" s="109"/>
      <c r="AL2706" s="109"/>
      <c r="AM2706" s="109"/>
      <c r="AN2706" s="109"/>
      <c r="AO2706" s="109"/>
      <c r="AP2706" s="109"/>
      <c r="AQ2706" s="109"/>
      <c r="AR2706" s="109"/>
      <c r="AS2706" s="109"/>
    </row>
    <row r="2707" spans="1:45" ht="12.6" customHeight="1" x14ac:dyDescent="0.3">
      <c r="A2707" s="78"/>
      <c r="B2707" s="78"/>
      <c r="C2707" s="78"/>
      <c r="D2707" s="78"/>
      <c r="E2707" s="78"/>
      <c r="F2707" s="78"/>
      <c r="G2707" s="16" t="s">
        <v>1317</v>
      </c>
      <c r="Z2707" s="109"/>
      <c r="AA2707" s="109"/>
      <c r="AB2707" s="109"/>
      <c r="AC2707" s="109"/>
      <c r="AD2707" s="109"/>
      <c r="AE2707" s="109"/>
      <c r="AF2707" s="109"/>
      <c r="AG2707" s="109"/>
      <c r="AH2707" s="109"/>
      <c r="AI2707" s="109"/>
      <c r="AJ2707" s="109"/>
      <c r="AK2707" s="109"/>
      <c r="AL2707" s="109"/>
      <c r="AM2707" s="109"/>
      <c r="AN2707" s="109"/>
      <c r="AO2707" s="109"/>
      <c r="AP2707" s="109"/>
      <c r="AQ2707" s="109"/>
      <c r="AR2707" s="109"/>
      <c r="AS2707" s="109"/>
    </row>
    <row r="2708" spans="1:45" ht="12.6" customHeight="1" x14ac:dyDescent="0.3">
      <c r="A2708" s="68"/>
      <c r="B2708" s="97" t="str">
        <f>" f (토량의 체적 환산계수)  = "&amp;Z2708&amp;"/"&amp;AB2708&amp;" = "&amp;AD2708&amp;""</f>
        <v xml:space="preserve"> f (토량의 체적 환산계수)  = 0.9/1.25 = 0.72</v>
      </c>
      <c r="C2708" s="78"/>
      <c r="D2708" s="78"/>
      <c r="E2708" s="78"/>
      <c r="F2708" s="78"/>
      <c r="G2708" s="16" t="s">
        <v>1870</v>
      </c>
      <c r="Z2708" s="110">
        <v>0.9</v>
      </c>
      <c r="AA2708" s="20" t="s">
        <v>1387</v>
      </c>
      <c r="AB2708" s="110">
        <v>1.25</v>
      </c>
      <c r="AC2708" s="20" t="s">
        <v>1326</v>
      </c>
      <c r="AD2708" s="112" t="str">
        <f>TEXT(ROUND(Z2708/AB2708,2),"0.00")</f>
        <v>0.72</v>
      </c>
      <c r="AE2708" s="109"/>
      <c r="AF2708" s="109"/>
      <c r="AG2708" s="109"/>
      <c r="AH2708" s="109"/>
      <c r="AI2708" s="109"/>
      <c r="AJ2708" s="109"/>
      <c r="AK2708" s="109"/>
      <c r="AL2708" s="109"/>
      <c r="AM2708" s="109"/>
      <c r="AN2708" s="109"/>
      <c r="AO2708" s="109"/>
      <c r="AP2708" s="109"/>
      <c r="AQ2708" s="109"/>
      <c r="AR2708" s="109"/>
      <c r="AS2708" s="109"/>
    </row>
    <row r="2709" spans="1:45" ht="12.6" customHeight="1" x14ac:dyDescent="0.3">
      <c r="A2709" s="78"/>
      <c r="B2709" s="78"/>
      <c r="C2709" s="78"/>
      <c r="D2709" s="78"/>
      <c r="E2709" s="78"/>
      <c r="F2709" s="78"/>
      <c r="G2709" s="16" t="s">
        <v>1317</v>
      </c>
      <c r="Z2709" s="109"/>
      <c r="AA2709" s="109"/>
      <c r="AB2709" s="109"/>
      <c r="AC2709" s="109"/>
      <c r="AD2709" s="109"/>
      <c r="AE2709" s="109"/>
      <c r="AF2709" s="109"/>
      <c r="AG2709" s="109"/>
      <c r="AH2709" s="109"/>
      <c r="AI2709" s="109"/>
      <c r="AJ2709" s="109"/>
      <c r="AK2709" s="109"/>
      <c r="AL2709" s="109"/>
      <c r="AM2709" s="109"/>
      <c r="AN2709" s="109"/>
      <c r="AO2709" s="109"/>
      <c r="AP2709" s="109"/>
      <c r="AQ2709" s="109"/>
      <c r="AR2709" s="109"/>
      <c r="AS2709" s="109"/>
    </row>
    <row r="2710" spans="1:45" ht="12.6" customHeight="1" x14ac:dyDescent="0.3">
      <c r="A2710" s="68"/>
      <c r="B2710" s="97" t="str">
        <f>" E (작업효율) = "&amp;Z2710&amp;" , qo (거리를 고려하지 않은 삽날의 용량) = "&amp;AD2710&amp;""</f>
        <v xml:space="preserve"> E (작업효율) = 0.45 , qo (거리를 고려하지 않은 삽날의 용량) = 3.2</v>
      </c>
      <c r="C2710" s="78"/>
      <c r="D2710" s="78"/>
      <c r="E2710" s="78"/>
      <c r="F2710" s="78"/>
      <c r="G2710" s="16" t="s">
        <v>1871</v>
      </c>
      <c r="Z2710" s="110">
        <v>0.45</v>
      </c>
      <c r="AA2710" s="20" t="s">
        <v>1326</v>
      </c>
      <c r="AB2710" s="112">
        <f>Z2710</f>
        <v>0.45</v>
      </c>
      <c r="AC2710" s="20" t="s">
        <v>1385</v>
      </c>
      <c r="AD2710" s="110">
        <v>3.2</v>
      </c>
      <c r="AE2710" s="20" t="s">
        <v>1326</v>
      </c>
      <c r="AF2710" s="112">
        <f>AD2710</f>
        <v>3.2</v>
      </c>
      <c r="AG2710" s="20" t="s">
        <v>1385</v>
      </c>
      <c r="AH2710" s="109"/>
      <c r="AI2710" s="109"/>
      <c r="AJ2710" s="109"/>
      <c r="AK2710" s="109"/>
      <c r="AL2710" s="109"/>
      <c r="AM2710" s="109"/>
      <c r="AN2710" s="109"/>
      <c r="AO2710" s="109"/>
      <c r="AP2710" s="109"/>
      <c r="AQ2710" s="109"/>
      <c r="AR2710" s="109"/>
      <c r="AS2710" s="109"/>
    </row>
    <row r="2711" spans="1:45" ht="12.6" customHeight="1" x14ac:dyDescent="0.3">
      <c r="A2711" s="78"/>
      <c r="B2711" s="78"/>
      <c r="C2711" s="78"/>
      <c r="D2711" s="78"/>
      <c r="E2711" s="78"/>
      <c r="F2711" s="78"/>
      <c r="G2711" s="16" t="s">
        <v>1317</v>
      </c>
      <c r="Z2711" s="109"/>
      <c r="AA2711" s="109"/>
      <c r="AB2711" s="109"/>
      <c r="AC2711" s="109"/>
      <c r="AD2711" s="109"/>
      <c r="AE2711" s="109"/>
      <c r="AF2711" s="109"/>
      <c r="AG2711" s="109"/>
      <c r="AH2711" s="109"/>
      <c r="AI2711" s="109"/>
      <c r="AJ2711" s="109"/>
      <c r="AK2711" s="109"/>
      <c r="AL2711" s="109"/>
      <c r="AM2711" s="109"/>
      <c r="AN2711" s="109"/>
      <c r="AO2711" s="109"/>
      <c r="AP2711" s="109"/>
      <c r="AQ2711" s="109"/>
      <c r="AR2711" s="109"/>
      <c r="AS2711" s="109"/>
    </row>
    <row r="2712" spans="1:45" ht="12.6" customHeight="1" x14ac:dyDescent="0.3">
      <c r="A2712" s="68"/>
      <c r="B2712" s="97" t="str">
        <f>" eo (운반거리계수) = "&amp;Z2712&amp;""</f>
        <v xml:space="preserve"> eo (운반거리계수) = 0.92</v>
      </c>
      <c r="C2712" s="78"/>
      <c r="D2712" s="78"/>
      <c r="E2712" s="78"/>
      <c r="F2712" s="78"/>
      <c r="G2712" s="16" t="s">
        <v>1872</v>
      </c>
      <c r="Z2712" s="110">
        <v>0.92</v>
      </c>
      <c r="AA2712" s="20" t="s">
        <v>1326</v>
      </c>
      <c r="AB2712" s="112">
        <f>Z2712</f>
        <v>0.92</v>
      </c>
      <c r="AC2712" s="109"/>
      <c r="AD2712" s="109"/>
      <c r="AE2712" s="109"/>
      <c r="AF2712" s="109"/>
      <c r="AG2712" s="109"/>
      <c r="AH2712" s="109"/>
      <c r="AI2712" s="109"/>
      <c r="AJ2712" s="109"/>
      <c r="AK2712" s="109"/>
      <c r="AL2712" s="109"/>
      <c r="AM2712" s="109"/>
      <c r="AN2712" s="109"/>
      <c r="AO2712" s="109"/>
      <c r="AP2712" s="109"/>
      <c r="AQ2712" s="109"/>
      <c r="AR2712" s="109"/>
      <c r="AS2712" s="109"/>
    </row>
    <row r="2713" spans="1:45" ht="12.6" customHeight="1" x14ac:dyDescent="0.3">
      <c r="A2713" s="78"/>
      <c r="B2713" s="78"/>
      <c r="C2713" s="78"/>
      <c r="D2713" s="78"/>
      <c r="E2713" s="78"/>
      <c r="F2713" s="78"/>
      <c r="G2713" s="16" t="s">
        <v>1317</v>
      </c>
      <c r="Z2713" s="109"/>
      <c r="AA2713" s="109"/>
      <c r="AB2713" s="109"/>
      <c r="AC2713" s="109"/>
      <c r="AD2713" s="109"/>
      <c r="AE2713" s="109"/>
      <c r="AF2713" s="109"/>
      <c r="AG2713" s="109"/>
      <c r="AH2713" s="109"/>
      <c r="AI2713" s="109"/>
      <c r="AJ2713" s="109"/>
      <c r="AK2713" s="109"/>
      <c r="AL2713" s="109"/>
      <c r="AM2713" s="109"/>
      <c r="AN2713" s="109"/>
      <c r="AO2713" s="109"/>
      <c r="AP2713" s="109"/>
      <c r="AQ2713" s="109"/>
      <c r="AR2713" s="109"/>
      <c r="AS2713" s="109"/>
    </row>
    <row r="2714" spans="1:45" ht="12.6" customHeight="1" x14ac:dyDescent="0.3">
      <c r="A2714" s="68"/>
      <c r="B2714" s="77" t="s">
        <v>1874</v>
      </c>
      <c r="C2714" s="78"/>
      <c r="D2714" s="78"/>
      <c r="E2714" s="78"/>
      <c r="F2714" s="78"/>
      <c r="G2714" s="16" t="s">
        <v>1873</v>
      </c>
      <c r="Z2714" s="109"/>
      <c r="AA2714" s="109"/>
      <c r="AB2714" s="109"/>
      <c r="AC2714" s="109"/>
      <c r="AD2714" s="109"/>
      <c r="AE2714" s="109"/>
      <c r="AF2714" s="109"/>
      <c r="AG2714" s="109"/>
      <c r="AH2714" s="109"/>
      <c r="AI2714" s="109"/>
      <c r="AJ2714" s="109"/>
      <c r="AK2714" s="109"/>
      <c r="AL2714" s="109"/>
      <c r="AM2714" s="109"/>
      <c r="AN2714" s="109"/>
      <c r="AO2714" s="109"/>
      <c r="AP2714" s="109"/>
      <c r="AQ2714" s="109"/>
      <c r="AR2714" s="109"/>
      <c r="AS2714" s="109"/>
    </row>
    <row r="2715" spans="1:45" ht="12.6" customHeight="1" x14ac:dyDescent="0.3">
      <c r="A2715" s="78"/>
      <c r="B2715" s="78"/>
      <c r="C2715" s="78"/>
      <c r="D2715" s="78"/>
      <c r="E2715" s="78"/>
      <c r="F2715" s="78"/>
      <c r="G2715" s="16" t="s">
        <v>1317</v>
      </c>
      <c r="Z2715" s="109"/>
      <c r="AA2715" s="109"/>
      <c r="AB2715" s="109"/>
      <c r="AC2715" s="109"/>
      <c r="AD2715" s="109"/>
      <c r="AE2715" s="109"/>
      <c r="AF2715" s="109"/>
      <c r="AG2715" s="109"/>
      <c r="AH2715" s="109"/>
      <c r="AI2715" s="109"/>
      <c r="AJ2715" s="109"/>
      <c r="AK2715" s="109"/>
      <c r="AL2715" s="109"/>
      <c r="AM2715" s="109"/>
      <c r="AN2715" s="109"/>
      <c r="AO2715" s="109"/>
      <c r="AP2715" s="109"/>
      <c r="AQ2715" s="109"/>
      <c r="AR2715" s="109"/>
      <c r="AS2715" s="109"/>
    </row>
    <row r="2716" spans="1:45" ht="12.6" customHeight="1" x14ac:dyDescent="0.3">
      <c r="A2716" s="68"/>
      <c r="B2716" s="77" t="s">
        <v>1876</v>
      </c>
      <c r="C2716" s="78"/>
      <c r="D2716" s="78"/>
      <c r="E2716" s="78"/>
      <c r="F2716" s="78"/>
      <c r="G2716" s="16" t="s">
        <v>1875</v>
      </c>
      <c r="Z2716" s="109"/>
      <c r="AA2716" s="109"/>
      <c r="AB2716" s="109"/>
      <c r="AC2716" s="109"/>
      <c r="AD2716" s="109"/>
      <c r="AE2716" s="109"/>
      <c r="AF2716" s="109"/>
      <c r="AG2716" s="109"/>
      <c r="AH2716" s="109"/>
      <c r="AI2716" s="109"/>
      <c r="AJ2716" s="109"/>
      <c r="AK2716" s="109"/>
      <c r="AL2716" s="109"/>
      <c r="AM2716" s="109"/>
      <c r="AN2716" s="109"/>
      <c r="AO2716" s="109"/>
      <c r="AP2716" s="109"/>
      <c r="AQ2716" s="109"/>
      <c r="AR2716" s="109"/>
      <c r="AS2716" s="109"/>
    </row>
    <row r="2717" spans="1:45" ht="12.6" customHeight="1" x14ac:dyDescent="0.3">
      <c r="A2717" s="78"/>
      <c r="B2717" s="78"/>
      <c r="C2717" s="78"/>
      <c r="D2717" s="78"/>
      <c r="E2717" s="78"/>
      <c r="F2717" s="78"/>
      <c r="G2717" s="16" t="s">
        <v>1317</v>
      </c>
      <c r="Z2717" s="109"/>
      <c r="AA2717" s="109"/>
      <c r="AB2717" s="109"/>
      <c r="AC2717" s="109"/>
      <c r="AD2717" s="109"/>
      <c r="AE2717" s="109"/>
      <c r="AF2717" s="109"/>
      <c r="AG2717" s="109"/>
      <c r="AH2717" s="109"/>
      <c r="AI2717" s="109"/>
      <c r="AJ2717" s="109"/>
      <c r="AK2717" s="109"/>
      <c r="AL2717" s="109"/>
      <c r="AM2717" s="109"/>
      <c r="AN2717" s="109"/>
      <c r="AO2717" s="109"/>
      <c r="AP2717" s="109"/>
      <c r="AQ2717" s="109"/>
      <c r="AR2717" s="109"/>
      <c r="AS2717" s="109"/>
    </row>
    <row r="2718" spans="1:45" ht="12.6" customHeight="1" x14ac:dyDescent="0.3">
      <c r="A2718" s="68"/>
      <c r="B2718" s="97" t="str">
        <f>" P=qo*eo= "&amp;AD2718&amp;""</f>
        <v xml:space="preserve"> P=qo*eo= 2.94</v>
      </c>
      <c r="C2718" s="78"/>
      <c r="D2718" s="78"/>
      <c r="E2718" s="78"/>
      <c r="F2718" s="78"/>
      <c r="G2718" s="16" t="s">
        <v>1877</v>
      </c>
      <c r="Z2718" s="112">
        <f>AF2710</f>
        <v>3.2</v>
      </c>
      <c r="AA2718" s="20" t="s">
        <v>1390</v>
      </c>
      <c r="AB2718" s="112">
        <f>AB2712</f>
        <v>0.92</v>
      </c>
      <c r="AC2718" s="20" t="s">
        <v>1326</v>
      </c>
      <c r="AD2718" s="112" t="str">
        <f>TEXT(ROUND(AF2710*AB2712,2),"0.00")</f>
        <v>2.94</v>
      </c>
      <c r="AE2718" s="109"/>
      <c r="AF2718" s="109"/>
      <c r="AG2718" s="109"/>
      <c r="AH2718" s="109"/>
      <c r="AI2718" s="109"/>
      <c r="AJ2718" s="109"/>
      <c r="AK2718" s="109"/>
      <c r="AL2718" s="109"/>
      <c r="AM2718" s="109"/>
      <c r="AN2718" s="109"/>
      <c r="AO2718" s="109"/>
      <c r="AP2718" s="109"/>
      <c r="AQ2718" s="109"/>
      <c r="AR2718" s="109"/>
      <c r="AS2718" s="109"/>
    </row>
    <row r="2719" spans="1:45" ht="12.6" customHeight="1" x14ac:dyDescent="0.3">
      <c r="A2719" s="78"/>
      <c r="B2719" s="78"/>
      <c r="C2719" s="78"/>
      <c r="D2719" s="78"/>
      <c r="E2719" s="78"/>
      <c r="F2719" s="78"/>
      <c r="G2719" s="16" t="s">
        <v>1317</v>
      </c>
      <c r="Z2719" s="109"/>
      <c r="AA2719" s="109"/>
      <c r="AB2719" s="109"/>
      <c r="AC2719" s="109"/>
      <c r="AD2719" s="109"/>
      <c r="AE2719" s="109"/>
      <c r="AF2719" s="109"/>
      <c r="AG2719" s="109"/>
      <c r="AH2719" s="109"/>
      <c r="AI2719" s="109"/>
      <c r="AJ2719" s="109"/>
      <c r="AK2719" s="109"/>
      <c r="AL2719" s="109"/>
      <c r="AM2719" s="109"/>
      <c r="AN2719" s="109"/>
      <c r="AO2719" s="109"/>
      <c r="AP2719" s="109"/>
      <c r="AQ2719" s="109"/>
      <c r="AR2719" s="109"/>
      <c r="AS2719" s="109"/>
    </row>
    <row r="2720" spans="1:45" ht="12.6" customHeight="1" x14ac:dyDescent="0.3">
      <c r="A2720" s="68"/>
      <c r="B2720" s="97" t="str">
        <f>" V1 (전진속도) = "&amp;Z2720&amp;" m/min  , V2 (후진속도) = "&amp;AD2720&amp;" m/min "</f>
        <v xml:space="preserve"> V1 (전진속도) = 55 m/min  , V2 (후진속도) = 70 m/min </v>
      </c>
      <c r="C2720" s="78"/>
      <c r="D2720" s="78"/>
      <c r="E2720" s="78"/>
      <c r="F2720" s="78"/>
      <c r="G2720" s="16" t="s">
        <v>1878</v>
      </c>
      <c r="Z2720" s="111">
        <v>55</v>
      </c>
      <c r="AA2720" s="20" t="s">
        <v>1326</v>
      </c>
      <c r="AB2720" s="112">
        <f>Z2720</f>
        <v>55</v>
      </c>
      <c r="AC2720" s="20" t="s">
        <v>1385</v>
      </c>
      <c r="AD2720" s="111">
        <v>70</v>
      </c>
      <c r="AE2720" s="20" t="s">
        <v>1326</v>
      </c>
      <c r="AF2720" s="112">
        <f>AD2720</f>
        <v>70</v>
      </c>
      <c r="AG2720" s="20" t="s">
        <v>1385</v>
      </c>
      <c r="AH2720" s="109"/>
      <c r="AI2720" s="109"/>
      <c r="AJ2720" s="109"/>
      <c r="AK2720" s="109"/>
      <c r="AL2720" s="109"/>
      <c r="AM2720" s="109"/>
      <c r="AN2720" s="109"/>
      <c r="AO2720" s="109"/>
      <c r="AP2720" s="109"/>
      <c r="AQ2720" s="109"/>
      <c r="AR2720" s="109"/>
      <c r="AS2720" s="109"/>
    </row>
    <row r="2721" spans="1:45" ht="12.6" customHeight="1" x14ac:dyDescent="0.3">
      <c r="A2721" s="78"/>
      <c r="B2721" s="78"/>
      <c r="C2721" s="78"/>
      <c r="D2721" s="78"/>
      <c r="E2721" s="78"/>
      <c r="F2721" s="78"/>
      <c r="G2721" s="16" t="s">
        <v>1317</v>
      </c>
      <c r="Z2721" s="109"/>
      <c r="AA2721" s="109"/>
      <c r="AB2721" s="109"/>
      <c r="AC2721" s="109"/>
      <c r="AD2721" s="109"/>
      <c r="AE2721" s="109"/>
      <c r="AF2721" s="109"/>
      <c r="AG2721" s="109"/>
      <c r="AH2721" s="109"/>
      <c r="AI2721" s="109"/>
      <c r="AJ2721" s="109"/>
      <c r="AK2721" s="109"/>
      <c r="AL2721" s="109"/>
      <c r="AM2721" s="109"/>
      <c r="AN2721" s="109"/>
      <c r="AO2721" s="109"/>
      <c r="AP2721" s="109"/>
      <c r="AQ2721" s="109"/>
      <c r="AR2721" s="109"/>
      <c r="AS2721" s="109"/>
    </row>
    <row r="2722" spans="1:45" ht="12.6" customHeight="1" x14ac:dyDescent="0.3">
      <c r="A2722" s="68"/>
      <c r="B2722" s="97" t="str">
        <f>" Cm (1회 사이클 시간(분)) = L/V1 + L/V2 + "&amp;AH2722&amp;" = "&amp;AJ2722&amp;" 분 "</f>
        <v xml:space="preserve"> Cm (1회 사이클 시간(분)) = L/V1 + L/V2 + 0.25 = 0.84 분 </v>
      </c>
      <c r="C2722" s="78"/>
      <c r="D2722" s="78"/>
      <c r="E2722" s="78"/>
      <c r="F2722" s="78"/>
      <c r="G2722" s="16" t="s">
        <v>1879</v>
      </c>
      <c r="Z2722" s="112" t="str">
        <f>AD2706</f>
        <v>18.30</v>
      </c>
      <c r="AA2722" s="20" t="s">
        <v>1387</v>
      </c>
      <c r="AB2722" s="112">
        <f>AB2720</f>
        <v>55</v>
      </c>
      <c r="AC2722" s="20" t="s">
        <v>1535</v>
      </c>
      <c r="AD2722" s="112" t="str">
        <f>AD2706</f>
        <v>18.30</v>
      </c>
      <c r="AE2722" s="20" t="s">
        <v>1387</v>
      </c>
      <c r="AF2722" s="112">
        <f>AF2720</f>
        <v>70</v>
      </c>
      <c r="AG2722" s="20" t="s">
        <v>1535</v>
      </c>
      <c r="AH2722" s="110">
        <v>0.25</v>
      </c>
      <c r="AI2722" s="20" t="s">
        <v>1326</v>
      </c>
      <c r="AJ2722" s="112" t="str">
        <f>TEXT(ROUND(AD2706/AB2720+AD2706/AF2720+AH2722,2),"0.00")</f>
        <v>0.84</v>
      </c>
      <c r="AK2722" s="109"/>
      <c r="AL2722" s="109"/>
      <c r="AM2722" s="109"/>
      <c r="AN2722" s="109"/>
      <c r="AO2722" s="109"/>
      <c r="AP2722" s="109"/>
      <c r="AQ2722" s="109"/>
      <c r="AR2722" s="109"/>
      <c r="AS2722" s="109"/>
    </row>
    <row r="2723" spans="1:45" ht="12.6" customHeight="1" x14ac:dyDescent="0.3">
      <c r="A2723" s="78"/>
      <c r="B2723" s="78"/>
      <c r="C2723" s="78"/>
      <c r="D2723" s="78"/>
      <c r="E2723" s="78"/>
      <c r="F2723" s="78"/>
      <c r="G2723" s="16" t="s">
        <v>1317</v>
      </c>
      <c r="Z2723" s="109"/>
      <c r="AA2723" s="109"/>
      <c r="AB2723" s="109"/>
      <c r="AC2723" s="109"/>
      <c r="AD2723" s="109"/>
      <c r="AE2723" s="109"/>
      <c r="AF2723" s="109"/>
      <c r="AG2723" s="109"/>
      <c r="AH2723" s="109"/>
      <c r="AI2723" s="109"/>
      <c r="AJ2723" s="109"/>
      <c r="AK2723" s="109"/>
      <c r="AL2723" s="109"/>
      <c r="AM2723" s="109"/>
      <c r="AN2723" s="109"/>
      <c r="AO2723" s="109"/>
      <c r="AP2723" s="109"/>
      <c r="AQ2723" s="109"/>
      <c r="AR2723" s="109"/>
      <c r="AS2723" s="109"/>
    </row>
    <row r="2724" spans="1:45" ht="12.6" customHeight="1" x14ac:dyDescent="0.3">
      <c r="A2724" s="68"/>
      <c r="B2724" s="97" t="str">
        <f>" Q  (시간당 작업량) = "&amp;Z2724&amp;" * P * f * E / Cm = "&amp;AJ2724&amp;" m3/hr "</f>
        <v xml:space="preserve"> Q  (시간당 작업량) = 60 * P * f * E / Cm = 68.04 m3/hr </v>
      </c>
      <c r="C2724" s="78"/>
      <c r="D2724" s="78"/>
      <c r="E2724" s="78"/>
      <c r="F2724" s="78"/>
      <c r="G2724" s="16" t="s">
        <v>1880</v>
      </c>
      <c r="Z2724" s="111">
        <v>60</v>
      </c>
      <c r="AA2724" s="20" t="s">
        <v>1390</v>
      </c>
      <c r="AB2724" s="112" t="str">
        <f>AD2718</f>
        <v>2.94</v>
      </c>
      <c r="AC2724" s="20" t="s">
        <v>1390</v>
      </c>
      <c r="AD2724" s="112" t="str">
        <f>AD2708</f>
        <v>0.72</v>
      </c>
      <c r="AE2724" s="20" t="s">
        <v>1390</v>
      </c>
      <c r="AF2724" s="112">
        <f>AB2710</f>
        <v>0.45</v>
      </c>
      <c r="AG2724" s="20" t="s">
        <v>1387</v>
      </c>
      <c r="AH2724" s="112" t="str">
        <f>AJ2722</f>
        <v>0.84</v>
      </c>
      <c r="AI2724" s="20" t="s">
        <v>1326</v>
      </c>
      <c r="AJ2724" s="112" t="str">
        <f>TEXT(ROUND(Z2724*AD2718*AD2708*AB2710/AJ2722,2),"0.00")</f>
        <v>68.04</v>
      </c>
      <c r="AK2724" s="109"/>
      <c r="AL2724" s="109"/>
      <c r="AM2724" s="109"/>
      <c r="AN2724" s="109"/>
      <c r="AO2724" s="109"/>
      <c r="AP2724" s="109"/>
      <c r="AQ2724" s="109"/>
      <c r="AR2724" s="109"/>
      <c r="AS2724" s="109"/>
    </row>
    <row r="2725" spans="1:45" ht="12.6" customHeight="1" x14ac:dyDescent="0.3">
      <c r="A2725" s="78"/>
      <c r="B2725" s="78"/>
      <c r="C2725" s="78"/>
      <c r="D2725" s="78"/>
      <c r="E2725" s="78"/>
      <c r="F2725" s="78"/>
      <c r="G2725" s="16" t="s">
        <v>1317</v>
      </c>
      <c r="Z2725" s="109"/>
      <c r="AA2725" s="109"/>
      <c r="AB2725" s="109"/>
      <c r="AC2725" s="109"/>
      <c r="AD2725" s="109"/>
      <c r="AE2725" s="109"/>
      <c r="AF2725" s="109"/>
      <c r="AG2725" s="109"/>
      <c r="AH2725" s="109"/>
      <c r="AI2725" s="109"/>
      <c r="AJ2725" s="109"/>
      <c r="AK2725" s="109"/>
      <c r="AL2725" s="109"/>
      <c r="AM2725" s="109"/>
      <c r="AN2725" s="109"/>
      <c r="AO2725" s="109"/>
      <c r="AP2725" s="109"/>
      <c r="AQ2725" s="109"/>
      <c r="AR2725" s="109"/>
      <c r="AS2725" s="109"/>
    </row>
    <row r="2726" spans="1:45" ht="12.6" customHeight="1" x14ac:dyDescent="0.3">
      <c r="A2726" s="78"/>
      <c r="B2726" s="78"/>
      <c r="C2726" s="78"/>
      <c r="D2726" s="78"/>
      <c r="E2726" s="78"/>
      <c r="F2726" s="78"/>
      <c r="G2726" s="16" t="s">
        <v>1317</v>
      </c>
      <c r="Z2726" s="109"/>
      <c r="AA2726" s="109"/>
      <c r="AB2726" s="109"/>
      <c r="AC2726" s="109"/>
      <c r="AD2726" s="109"/>
      <c r="AE2726" s="109"/>
      <c r="AF2726" s="109"/>
      <c r="AG2726" s="109"/>
      <c r="AH2726" s="109"/>
      <c r="AI2726" s="109"/>
      <c r="AJ2726" s="109"/>
      <c r="AK2726" s="109"/>
      <c r="AL2726" s="109"/>
      <c r="AM2726" s="109"/>
      <c r="AN2726" s="109"/>
      <c r="AO2726" s="109"/>
      <c r="AP2726" s="109"/>
      <c r="AQ2726" s="109"/>
      <c r="AR2726" s="109"/>
      <c r="AS2726" s="109"/>
    </row>
    <row r="2727" spans="1:45" ht="12.6" customHeight="1" x14ac:dyDescent="0.3">
      <c r="A2727" s="68" t="s">
        <v>1882</v>
      </c>
      <c r="B2727" s="97" t="str">
        <f>" 노 무 비  :   "&amp;TEXT(I2727,"#,##0"&amp;IF(I2727&lt;&gt;INT(I2727),".###",""))&amp;" / Q = "&amp;TEXT(C2727,"#,##0.0")&amp;""</f>
        <v xml:space="preserve"> 노 무 비  :   55,700 / Q = 818.6</v>
      </c>
      <c r="C2727" s="99">
        <f>E2727+D2727+F2727</f>
        <v>818.6</v>
      </c>
      <c r="D2727" s="99">
        <f>IF(H2727=0,0,ROUNDDOWN(J2727*H2727,1))</f>
        <v>818.6</v>
      </c>
      <c r="E2727" s="99">
        <f>IF(H2727=0,0,ROUNDDOWN(K2727*H2727,1))</f>
        <v>0</v>
      </c>
      <c r="F2727" s="99">
        <f>IF(H2727=0,0,ROUNDDOWN(L2727*H2727,1))</f>
        <v>0</v>
      </c>
      <c r="G2727" s="16" t="s">
        <v>1881</v>
      </c>
      <c r="H2727" s="105">
        <f>AC2727</f>
        <v>1.469723691945914E-2</v>
      </c>
      <c r="I2727" s="106">
        <f>K2727+J2727+L2727</f>
        <v>55700</v>
      </c>
      <c r="J2727" s="39">
        <f>중기목록표!F4</f>
        <v>55700</v>
      </c>
      <c r="M2727" s="20" t="s">
        <v>1883</v>
      </c>
      <c r="N2727" s="20" t="s">
        <v>1332</v>
      </c>
      <c r="X2727" s="108" t="str">
        <f>중기목록표!B4&amp;" / "&amp;중기목록표!C4</f>
        <v>불도우저19ton / (토사)</v>
      </c>
      <c r="Y2727" s="19" t="str">
        <f ca="1">HYPERLINK("#"&amp;중기목록표!J2&amp;"!A"&amp;ROW(중기목록표!A4),"중기    1 →")</f>
        <v>중기    1 →</v>
      </c>
      <c r="Z2727" s="20" t="s">
        <v>1393</v>
      </c>
      <c r="AA2727" s="112" t="str">
        <f>AJ2724</f>
        <v>68.04</v>
      </c>
      <c r="AB2727" s="20" t="s">
        <v>1326</v>
      </c>
      <c r="AC2727" s="113">
        <f>1/AJ2724</f>
        <v>1.469723691945914E-2</v>
      </c>
      <c r="AD2727" s="109"/>
      <c r="AE2727" s="109"/>
      <c r="AF2727" s="109"/>
      <c r="AG2727" s="109"/>
      <c r="AH2727" s="109"/>
      <c r="AI2727" s="109"/>
      <c r="AJ2727" s="109"/>
      <c r="AK2727" s="109"/>
      <c r="AL2727" s="109"/>
      <c r="AM2727" s="109"/>
      <c r="AN2727" s="109"/>
      <c r="AO2727" s="109"/>
      <c r="AP2727" s="109"/>
      <c r="AQ2727" s="109"/>
      <c r="AR2727" s="109"/>
      <c r="AS2727" s="109"/>
    </row>
    <row r="2728" spans="1:45" ht="12.6" customHeight="1" x14ac:dyDescent="0.3">
      <c r="A2728" s="78"/>
      <c r="B2728" s="78"/>
      <c r="C2728" s="78"/>
      <c r="D2728" s="78"/>
      <c r="E2728" s="78"/>
      <c r="F2728" s="78"/>
      <c r="G2728" s="16" t="s">
        <v>1317</v>
      </c>
      <c r="Z2728" s="109"/>
      <c r="AA2728" s="109"/>
      <c r="AB2728" s="109"/>
      <c r="AC2728" s="109"/>
      <c r="AD2728" s="109"/>
      <c r="AE2728" s="109"/>
      <c r="AF2728" s="109"/>
      <c r="AG2728" s="109"/>
      <c r="AH2728" s="109"/>
      <c r="AI2728" s="109"/>
      <c r="AJ2728" s="109"/>
      <c r="AK2728" s="109"/>
      <c r="AL2728" s="109"/>
      <c r="AM2728" s="109"/>
      <c r="AN2728" s="109"/>
      <c r="AO2728" s="109"/>
      <c r="AP2728" s="109"/>
      <c r="AQ2728" s="109"/>
      <c r="AR2728" s="109"/>
      <c r="AS2728" s="109"/>
    </row>
    <row r="2729" spans="1:45" ht="12.6" customHeight="1" x14ac:dyDescent="0.3">
      <c r="A2729" s="68" t="s">
        <v>1885</v>
      </c>
      <c r="B2729" s="97" t="str">
        <f>" 재 료 비  :   "&amp;TEXT(I2729,"#,##0"&amp;IF(I2729&lt;&gt;INT(I2729),".###",""))&amp;" / Q = "&amp;TEXT(C2729,"#,##0.0")&amp;""</f>
        <v xml:space="preserve"> 재 료 비  :   36,888 / Q = 542.1</v>
      </c>
      <c r="C2729" s="99">
        <f>E2729+D2729+F2729</f>
        <v>542.1</v>
      </c>
      <c r="D2729" s="99">
        <f>IF(H2729=0,0,ROUNDDOWN(J2729*H2729,1))</f>
        <v>0</v>
      </c>
      <c r="E2729" s="99">
        <f>IF(H2729=0,0,ROUNDDOWN(K2729*H2729,1))</f>
        <v>542.1</v>
      </c>
      <c r="F2729" s="99">
        <f>IF(H2729=0,0,ROUNDDOWN(L2729*H2729,1))</f>
        <v>0</v>
      </c>
      <c r="G2729" s="16" t="s">
        <v>1884</v>
      </c>
      <c r="H2729" s="105">
        <f>AC2729</f>
        <v>1.469723691945914E-2</v>
      </c>
      <c r="I2729" s="106">
        <f>K2729+J2729+L2729</f>
        <v>36888</v>
      </c>
      <c r="K2729" s="39">
        <f>중기목록표!G4</f>
        <v>36888</v>
      </c>
      <c r="M2729" s="20" t="s">
        <v>1883</v>
      </c>
      <c r="N2729" s="20" t="s">
        <v>1332</v>
      </c>
      <c r="X2729" s="108" t="str">
        <f>중기목록표!B4&amp;" / "&amp;중기목록표!C4</f>
        <v>불도우저19ton / (토사)</v>
      </c>
      <c r="Y2729" s="19" t="str">
        <f ca="1">HYPERLINK("#"&amp;중기목록표!J2&amp;"!A"&amp;ROW(중기목록표!A4),"중기    1 →")</f>
        <v>중기    1 →</v>
      </c>
      <c r="Z2729" s="20" t="s">
        <v>1393</v>
      </c>
      <c r="AA2729" s="112" t="str">
        <f>AJ2724</f>
        <v>68.04</v>
      </c>
      <c r="AB2729" s="20" t="s">
        <v>1326</v>
      </c>
      <c r="AC2729" s="113">
        <f>1/AJ2724</f>
        <v>1.469723691945914E-2</v>
      </c>
      <c r="AD2729" s="109"/>
      <c r="AE2729" s="109"/>
      <c r="AF2729" s="109"/>
      <c r="AG2729" s="109"/>
      <c r="AH2729" s="109"/>
      <c r="AI2729" s="109"/>
      <c r="AJ2729" s="109"/>
      <c r="AK2729" s="109"/>
      <c r="AL2729" s="109"/>
      <c r="AM2729" s="109"/>
      <c r="AN2729" s="109"/>
      <c r="AO2729" s="109"/>
      <c r="AP2729" s="109"/>
      <c r="AQ2729" s="109"/>
      <c r="AR2729" s="109"/>
      <c r="AS2729" s="109"/>
    </row>
    <row r="2730" spans="1:45" ht="12.6" customHeight="1" x14ac:dyDescent="0.3">
      <c r="A2730" s="78"/>
      <c r="B2730" s="78"/>
      <c r="C2730" s="78"/>
      <c r="D2730" s="78"/>
      <c r="E2730" s="78"/>
      <c r="F2730" s="78"/>
      <c r="G2730" s="16" t="s">
        <v>1317</v>
      </c>
      <c r="Z2730" s="109"/>
      <c r="AA2730" s="109"/>
      <c r="AB2730" s="109"/>
      <c r="AC2730" s="109"/>
      <c r="AD2730" s="109"/>
      <c r="AE2730" s="109"/>
      <c r="AF2730" s="109"/>
      <c r="AG2730" s="109"/>
      <c r="AH2730" s="109"/>
      <c r="AI2730" s="109"/>
      <c r="AJ2730" s="109"/>
      <c r="AK2730" s="109"/>
      <c r="AL2730" s="109"/>
      <c r="AM2730" s="109"/>
      <c r="AN2730" s="109"/>
      <c r="AO2730" s="109"/>
      <c r="AP2730" s="109"/>
      <c r="AQ2730" s="109"/>
      <c r="AR2730" s="109"/>
      <c r="AS2730" s="109"/>
    </row>
    <row r="2731" spans="1:45" ht="12.6" customHeight="1" x14ac:dyDescent="0.3">
      <c r="A2731" s="68" t="s">
        <v>1887</v>
      </c>
      <c r="B2731" s="97" t="str">
        <f>" 경    비  :   "&amp;TEXT(I2731,"#,##0"&amp;IF(I2731&lt;&gt;INT(I2731),".###",""))&amp;" / Q = "&amp;TEXT(C2731,"#,##0.0")&amp;""</f>
        <v xml:space="preserve"> 경    비  :   33,412 / Q = 491.0</v>
      </c>
      <c r="C2731" s="99">
        <f>E2731+D2731+F2731</f>
        <v>491</v>
      </c>
      <c r="D2731" s="99">
        <f>IF(H2731=0,0,ROUNDDOWN(J2731*H2731,1))</f>
        <v>0</v>
      </c>
      <c r="E2731" s="99">
        <f>IF(H2731=0,0,ROUNDDOWN(K2731*H2731,1))</f>
        <v>0</v>
      </c>
      <c r="F2731" s="99">
        <f>IF(H2731=0,0,ROUNDDOWN(L2731*H2731,1))</f>
        <v>491</v>
      </c>
      <c r="G2731" s="16" t="s">
        <v>1886</v>
      </c>
      <c r="H2731" s="105">
        <f>AC2731</f>
        <v>1.469723691945914E-2</v>
      </c>
      <c r="I2731" s="106">
        <f>K2731+J2731+L2731</f>
        <v>33412</v>
      </c>
      <c r="L2731" s="39">
        <f>중기목록표!H4</f>
        <v>33412</v>
      </c>
      <c r="M2731" s="20" t="s">
        <v>1883</v>
      </c>
      <c r="N2731" s="20" t="s">
        <v>1332</v>
      </c>
      <c r="X2731" s="108" t="str">
        <f>중기목록표!B4&amp;" / "&amp;중기목록표!C4</f>
        <v>불도우저19ton / (토사)</v>
      </c>
      <c r="Y2731" s="19" t="str">
        <f ca="1">HYPERLINK("#"&amp;중기목록표!J2&amp;"!A"&amp;ROW(중기목록표!A4),"중기    1 →")</f>
        <v>중기    1 →</v>
      </c>
      <c r="Z2731" s="20" t="s">
        <v>1393</v>
      </c>
      <c r="AA2731" s="112" t="str">
        <f>AJ2724</f>
        <v>68.04</v>
      </c>
      <c r="AB2731" s="20" t="s">
        <v>1326</v>
      </c>
      <c r="AC2731" s="113">
        <f>1/AJ2724</f>
        <v>1.469723691945914E-2</v>
      </c>
      <c r="AD2731" s="109"/>
      <c r="AE2731" s="109"/>
      <c r="AF2731" s="109"/>
      <c r="AG2731" s="109"/>
      <c r="AH2731" s="109"/>
      <c r="AI2731" s="109"/>
      <c r="AJ2731" s="109"/>
      <c r="AK2731" s="109"/>
      <c r="AL2731" s="109"/>
      <c r="AM2731" s="109"/>
      <c r="AN2731" s="109"/>
      <c r="AO2731" s="109"/>
      <c r="AP2731" s="109"/>
      <c r="AQ2731" s="109"/>
      <c r="AR2731" s="109"/>
      <c r="AS2731" s="109"/>
    </row>
    <row r="2732" spans="1:45" ht="12.6" customHeight="1" x14ac:dyDescent="0.3">
      <c r="A2732" s="78"/>
      <c r="B2732" s="78"/>
      <c r="C2732" s="78"/>
      <c r="D2732" s="78"/>
      <c r="E2732" s="78"/>
      <c r="F2732" s="78"/>
      <c r="G2732" s="16" t="s">
        <v>1317</v>
      </c>
      <c r="Z2732" s="109"/>
      <c r="AA2732" s="109"/>
      <c r="AB2732" s="109"/>
      <c r="AC2732" s="109"/>
      <c r="AD2732" s="109"/>
      <c r="AE2732" s="109"/>
      <c r="AF2732" s="109"/>
      <c r="AG2732" s="109"/>
      <c r="AH2732" s="109"/>
      <c r="AI2732" s="109"/>
      <c r="AJ2732" s="109"/>
      <c r="AK2732" s="109"/>
      <c r="AL2732" s="109"/>
      <c r="AM2732" s="109"/>
      <c r="AN2732" s="109"/>
      <c r="AO2732" s="109"/>
      <c r="AP2732" s="109"/>
      <c r="AQ2732" s="109"/>
      <c r="AR2732" s="109"/>
      <c r="AS2732" s="109"/>
    </row>
    <row r="2733" spans="1:45" ht="12.6" customHeight="1" x14ac:dyDescent="0.3">
      <c r="A2733" s="68"/>
      <c r="B2733" s="77" t="s">
        <v>1331</v>
      </c>
      <c r="C2733" s="100">
        <f>E2733+D2733+F2733</f>
        <v>1851.7</v>
      </c>
      <c r="D2733" s="100">
        <f>SUMIF(N2702:N2732,M2733,D2702:D2732)</f>
        <v>818.6</v>
      </c>
      <c r="E2733" s="100">
        <f>SUMIF(N2702:N2732,M2733,E2702:E2732)</f>
        <v>542.1</v>
      </c>
      <c r="F2733" s="100">
        <f>SUMIF(N2702:N2732,M2733,F2702:F2732)</f>
        <v>491</v>
      </c>
      <c r="G2733" s="16" t="s">
        <v>1415</v>
      </c>
      <c r="M2733" s="20" t="s">
        <v>1332</v>
      </c>
      <c r="N2733" s="20" t="s">
        <v>1128</v>
      </c>
      <c r="Z2733" s="109"/>
      <c r="AA2733" s="109"/>
      <c r="AB2733" s="109"/>
      <c r="AC2733" s="109"/>
      <c r="AD2733" s="109"/>
      <c r="AE2733" s="109"/>
      <c r="AF2733" s="109"/>
      <c r="AG2733" s="109"/>
      <c r="AH2733" s="109"/>
      <c r="AI2733" s="109"/>
      <c r="AJ2733" s="109"/>
      <c r="AK2733" s="109"/>
      <c r="AL2733" s="109"/>
      <c r="AM2733" s="109"/>
      <c r="AN2733" s="109"/>
      <c r="AO2733" s="109"/>
      <c r="AP2733" s="109"/>
      <c r="AQ2733" s="109"/>
      <c r="AR2733" s="109"/>
      <c r="AS2733" s="109"/>
    </row>
    <row r="2734" spans="1:45" ht="12.6" customHeight="1" x14ac:dyDescent="0.3">
      <c r="A2734" s="78"/>
      <c r="B2734" s="78"/>
      <c r="C2734" s="98"/>
      <c r="D2734" s="98"/>
      <c r="E2734" s="98"/>
      <c r="F2734" s="98"/>
      <c r="Z2734" s="109"/>
      <c r="AA2734" s="109"/>
      <c r="AB2734" s="109"/>
      <c r="AC2734" s="109"/>
      <c r="AD2734" s="109"/>
      <c r="AE2734" s="109"/>
      <c r="AF2734" s="109"/>
      <c r="AG2734" s="109"/>
      <c r="AH2734" s="109"/>
      <c r="AI2734" s="109"/>
      <c r="AJ2734" s="109"/>
      <c r="AK2734" s="109"/>
      <c r="AL2734" s="109"/>
      <c r="AM2734" s="109"/>
      <c r="AN2734" s="109"/>
      <c r="AO2734" s="109"/>
      <c r="AP2734" s="109"/>
      <c r="AQ2734" s="109"/>
      <c r="AR2734" s="109"/>
      <c r="AS2734" s="109"/>
    </row>
    <row r="2735" spans="1:45" ht="12.6" customHeight="1" x14ac:dyDescent="0.3">
      <c r="A2735" s="78"/>
      <c r="B2735" s="78"/>
      <c r="C2735" s="78"/>
      <c r="D2735" s="78"/>
      <c r="E2735" s="78"/>
      <c r="F2735" s="78"/>
      <c r="Z2735" s="109"/>
      <c r="AA2735" s="109"/>
      <c r="AB2735" s="109"/>
      <c r="AC2735" s="109"/>
      <c r="AD2735" s="109"/>
      <c r="AE2735" s="109"/>
      <c r="AF2735" s="109"/>
      <c r="AG2735" s="109"/>
      <c r="AH2735" s="109"/>
      <c r="AI2735" s="109"/>
      <c r="AJ2735" s="109"/>
      <c r="AK2735" s="109"/>
      <c r="AL2735" s="109"/>
      <c r="AM2735" s="109"/>
      <c r="AN2735" s="109"/>
      <c r="AO2735" s="109"/>
      <c r="AP2735" s="109"/>
      <c r="AQ2735" s="109"/>
      <c r="AR2735" s="109"/>
      <c r="AS2735" s="109"/>
    </row>
    <row r="2736" spans="1:45" ht="12.6" customHeight="1" x14ac:dyDescent="0.3">
      <c r="A2736" s="78"/>
      <c r="B2736" s="78"/>
      <c r="C2736" s="78"/>
      <c r="D2736" s="78"/>
      <c r="E2736" s="78"/>
      <c r="F2736" s="78"/>
      <c r="Z2736" s="109"/>
      <c r="AA2736" s="109"/>
      <c r="AB2736" s="109"/>
      <c r="AC2736" s="109"/>
      <c r="AD2736" s="109"/>
      <c r="AE2736" s="109"/>
      <c r="AF2736" s="109"/>
      <c r="AG2736" s="109"/>
      <c r="AH2736" s="109"/>
      <c r="AI2736" s="109"/>
      <c r="AJ2736" s="109"/>
      <c r="AK2736" s="109"/>
      <c r="AL2736" s="109"/>
      <c r="AM2736" s="109"/>
      <c r="AN2736" s="109"/>
      <c r="AO2736" s="109"/>
      <c r="AP2736" s="109"/>
      <c r="AQ2736" s="109"/>
      <c r="AR2736" s="109"/>
      <c r="AS2736" s="109"/>
    </row>
    <row r="2737" spans="1:45" ht="12.6" customHeight="1" x14ac:dyDescent="0.3">
      <c r="A2737" s="78"/>
      <c r="B2737" s="78"/>
      <c r="C2737" s="78"/>
      <c r="D2737" s="78"/>
      <c r="E2737" s="78"/>
      <c r="F2737" s="78"/>
      <c r="Z2737" s="109"/>
      <c r="AA2737" s="109"/>
      <c r="AB2737" s="109"/>
      <c r="AC2737" s="109"/>
      <c r="AD2737" s="109"/>
      <c r="AE2737" s="109"/>
      <c r="AF2737" s="109"/>
      <c r="AG2737" s="109"/>
      <c r="AH2737" s="109"/>
      <c r="AI2737" s="109"/>
      <c r="AJ2737" s="109"/>
      <c r="AK2737" s="109"/>
      <c r="AL2737" s="109"/>
      <c r="AM2737" s="109"/>
      <c r="AN2737" s="109"/>
      <c r="AO2737" s="109"/>
      <c r="AP2737" s="109"/>
      <c r="AQ2737" s="109"/>
      <c r="AR2737" s="109"/>
      <c r="AS2737" s="109"/>
    </row>
    <row r="2738" spans="1:45" ht="12.6" customHeight="1" x14ac:dyDescent="0.3">
      <c r="A2738" s="78"/>
      <c r="B2738" s="78"/>
      <c r="C2738" s="78"/>
      <c r="D2738" s="78"/>
      <c r="E2738" s="78"/>
      <c r="F2738" s="78"/>
      <c r="Z2738" s="109"/>
      <c r="AA2738" s="109"/>
      <c r="AB2738" s="109"/>
      <c r="AC2738" s="109"/>
      <c r="AD2738" s="109"/>
      <c r="AE2738" s="109"/>
      <c r="AF2738" s="109"/>
      <c r="AG2738" s="109"/>
      <c r="AH2738" s="109"/>
      <c r="AI2738" s="109"/>
      <c r="AJ2738" s="109"/>
      <c r="AK2738" s="109"/>
      <c r="AL2738" s="109"/>
      <c r="AM2738" s="109"/>
      <c r="AN2738" s="109"/>
      <c r="AO2738" s="109"/>
      <c r="AP2738" s="109"/>
      <c r="AQ2738" s="109"/>
      <c r="AR2738" s="109"/>
      <c r="AS2738" s="109"/>
    </row>
    <row r="2739" spans="1:45" ht="12.6" customHeight="1" x14ac:dyDescent="0.3">
      <c r="A2739" s="78"/>
      <c r="B2739" s="78"/>
      <c r="C2739" s="78"/>
      <c r="D2739" s="78"/>
      <c r="E2739" s="78"/>
      <c r="F2739" s="78"/>
      <c r="Z2739" s="109"/>
      <c r="AA2739" s="109"/>
      <c r="AB2739" s="109"/>
      <c r="AC2739" s="109"/>
      <c r="AD2739" s="109"/>
      <c r="AE2739" s="109"/>
      <c r="AF2739" s="109"/>
      <c r="AG2739" s="109"/>
      <c r="AH2739" s="109"/>
      <c r="AI2739" s="109"/>
      <c r="AJ2739" s="109"/>
      <c r="AK2739" s="109"/>
      <c r="AL2739" s="109"/>
      <c r="AM2739" s="109"/>
      <c r="AN2739" s="109"/>
      <c r="AO2739" s="109"/>
      <c r="AP2739" s="109"/>
      <c r="AQ2739" s="109"/>
      <c r="AR2739" s="109"/>
      <c r="AS2739" s="109"/>
    </row>
    <row r="2740" spans="1:45" ht="12.6" customHeight="1" x14ac:dyDescent="0.3">
      <c r="A2740" s="78"/>
      <c r="B2740" s="78"/>
      <c r="C2740" s="78"/>
      <c r="D2740" s="78"/>
      <c r="E2740" s="78"/>
      <c r="F2740" s="78"/>
      <c r="Z2740" s="109"/>
      <c r="AA2740" s="109"/>
      <c r="AB2740" s="109"/>
      <c r="AC2740" s="109"/>
      <c r="AD2740" s="109"/>
      <c r="AE2740" s="109"/>
      <c r="AF2740" s="109"/>
      <c r="AG2740" s="109"/>
      <c r="AH2740" s="109"/>
      <c r="AI2740" s="109"/>
      <c r="AJ2740" s="109"/>
      <c r="AK2740" s="109"/>
      <c r="AL2740" s="109"/>
      <c r="AM2740" s="109"/>
      <c r="AN2740" s="109"/>
      <c r="AO2740" s="109"/>
      <c r="AP2740" s="109"/>
      <c r="AQ2740" s="109"/>
      <c r="AR2740" s="109"/>
      <c r="AS2740" s="109"/>
    </row>
    <row r="2741" spans="1:45" ht="12.6" customHeight="1" x14ac:dyDescent="0.3">
      <c r="A2741" s="78"/>
      <c r="B2741" s="78"/>
      <c r="C2741" s="78"/>
      <c r="D2741" s="78"/>
      <c r="E2741" s="78"/>
      <c r="F2741" s="78"/>
      <c r="Z2741" s="109"/>
      <c r="AA2741" s="109"/>
      <c r="AB2741" s="109"/>
      <c r="AC2741" s="109"/>
      <c r="AD2741" s="109"/>
      <c r="AE2741" s="109"/>
      <c r="AF2741" s="109"/>
      <c r="AG2741" s="109"/>
      <c r="AH2741" s="109"/>
      <c r="AI2741" s="109"/>
      <c r="AJ2741" s="109"/>
      <c r="AK2741" s="109"/>
      <c r="AL2741" s="109"/>
      <c r="AM2741" s="109"/>
      <c r="AN2741" s="109"/>
      <c r="AO2741" s="109"/>
      <c r="AP2741" s="109"/>
      <c r="AQ2741" s="109"/>
      <c r="AR2741" s="109"/>
      <c r="AS2741" s="109"/>
    </row>
    <row r="2742" spans="1:45" ht="12.6" customHeight="1" x14ac:dyDescent="0.3">
      <c r="A2742" s="78"/>
      <c r="B2742" s="78"/>
      <c r="C2742" s="78"/>
      <c r="D2742" s="78"/>
      <c r="E2742" s="78"/>
      <c r="F2742" s="78"/>
      <c r="Z2742" s="109"/>
      <c r="AA2742" s="109"/>
      <c r="AB2742" s="109"/>
      <c r="AC2742" s="109"/>
      <c r="AD2742" s="109"/>
      <c r="AE2742" s="109"/>
      <c r="AF2742" s="109"/>
      <c r="AG2742" s="109"/>
      <c r="AH2742" s="109"/>
      <c r="AI2742" s="109"/>
      <c r="AJ2742" s="109"/>
      <c r="AK2742" s="109"/>
      <c r="AL2742" s="109"/>
      <c r="AM2742" s="109"/>
      <c r="AN2742" s="109"/>
      <c r="AO2742" s="109"/>
      <c r="AP2742" s="109"/>
      <c r="AQ2742" s="109"/>
      <c r="AR2742" s="109"/>
      <c r="AS2742" s="109"/>
    </row>
    <row r="2743" spans="1:45" ht="12.6" customHeight="1" x14ac:dyDescent="0.3">
      <c r="A2743" s="78"/>
      <c r="B2743" s="78"/>
      <c r="C2743" s="78"/>
      <c r="D2743" s="78"/>
      <c r="E2743" s="78"/>
      <c r="F2743" s="78"/>
      <c r="Z2743" s="109"/>
      <c r="AA2743" s="109"/>
      <c r="AB2743" s="109"/>
      <c r="AC2743" s="109"/>
      <c r="AD2743" s="109"/>
      <c r="AE2743" s="109"/>
      <c r="AF2743" s="109"/>
      <c r="AG2743" s="109"/>
      <c r="AH2743" s="109"/>
      <c r="AI2743" s="109"/>
      <c r="AJ2743" s="109"/>
      <c r="AK2743" s="109"/>
      <c r="AL2743" s="109"/>
      <c r="AM2743" s="109"/>
      <c r="AN2743" s="109"/>
      <c r="AO2743" s="109"/>
      <c r="AP2743" s="109"/>
      <c r="AQ2743" s="109"/>
      <c r="AR2743" s="109"/>
      <c r="AS2743" s="109"/>
    </row>
    <row r="2744" spans="1:45" ht="12.6" customHeight="1" x14ac:dyDescent="0.3">
      <c r="A2744" s="78"/>
      <c r="B2744" s="78"/>
      <c r="C2744" s="78"/>
      <c r="D2744" s="78"/>
      <c r="E2744" s="78"/>
      <c r="F2744" s="78"/>
      <c r="Z2744" s="109"/>
      <c r="AA2744" s="109"/>
      <c r="AB2744" s="109"/>
      <c r="AC2744" s="109"/>
      <c r="AD2744" s="109"/>
      <c r="AE2744" s="109"/>
      <c r="AF2744" s="109"/>
      <c r="AG2744" s="109"/>
      <c r="AH2744" s="109"/>
      <c r="AI2744" s="109"/>
      <c r="AJ2744" s="109"/>
      <c r="AK2744" s="109"/>
      <c r="AL2744" s="109"/>
      <c r="AM2744" s="109"/>
      <c r="AN2744" s="109"/>
      <c r="AO2744" s="109"/>
      <c r="AP2744" s="109"/>
      <c r="AQ2744" s="109"/>
      <c r="AR2744" s="109"/>
      <c r="AS2744" s="109"/>
    </row>
    <row r="2745" spans="1:45" ht="12.6" customHeight="1" x14ac:dyDescent="0.3">
      <c r="A2745" s="78"/>
      <c r="B2745" s="78"/>
      <c r="C2745" s="78"/>
      <c r="D2745" s="78"/>
      <c r="E2745" s="78"/>
      <c r="F2745" s="78"/>
      <c r="Z2745" s="109"/>
      <c r="AA2745" s="109"/>
      <c r="AB2745" s="109"/>
      <c r="AC2745" s="109"/>
      <c r="AD2745" s="109"/>
      <c r="AE2745" s="109"/>
      <c r="AF2745" s="109"/>
      <c r="AG2745" s="109"/>
      <c r="AH2745" s="109"/>
      <c r="AI2745" s="109"/>
      <c r="AJ2745" s="109"/>
      <c r="AK2745" s="109"/>
      <c r="AL2745" s="109"/>
      <c r="AM2745" s="109"/>
      <c r="AN2745" s="109"/>
      <c r="AO2745" s="109"/>
      <c r="AP2745" s="109"/>
      <c r="AQ2745" s="109"/>
      <c r="AR2745" s="109"/>
      <c r="AS2745" s="109"/>
    </row>
    <row r="2746" spans="1:45" ht="12.6" customHeight="1" x14ac:dyDescent="0.3">
      <c r="A2746" s="78"/>
      <c r="B2746" s="78"/>
      <c r="C2746" s="78"/>
      <c r="D2746" s="78"/>
      <c r="E2746" s="78"/>
      <c r="F2746" s="78"/>
      <c r="Z2746" s="109"/>
      <c r="AA2746" s="109"/>
      <c r="AB2746" s="109"/>
      <c r="AC2746" s="109"/>
      <c r="AD2746" s="109"/>
      <c r="AE2746" s="109"/>
      <c r="AF2746" s="109"/>
      <c r="AG2746" s="109"/>
      <c r="AH2746" s="109"/>
      <c r="AI2746" s="109"/>
      <c r="AJ2746" s="109"/>
      <c r="AK2746" s="109"/>
      <c r="AL2746" s="109"/>
      <c r="AM2746" s="109"/>
      <c r="AN2746" s="109"/>
      <c r="AO2746" s="109"/>
      <c r="AP2746" s="109"/>
      <c r="AQ2746" s="109"/>
      <c r="AR2746" s="109"/>
      <c r="AS2746" s="109"/>
    </row>
    <row r="2747" spans="1:45" ht="12.6" customHeight="1" x14ac:dyDescent="0.3">
      <c r="A2747" s="78"/>
      <c r="B2747" s="78"/>
      <c r="C2747" s="78"/>
      <c r="D2747" s="78"/>
      <c r="E2747" s="78"/>
      <c r="F2747" s="78"/>
      <c r="Z2747" s="109"/>
      <c r="AA2747" s="109"/>
      <c r="AB2747" s="109"/>
      <c r="AC2747" s="109"/>
      <c r="AD2747" s="109"/>
      <c r="AE2747" s="109"/>
      <c r="AF2747" s="109"/>
      <c r="AG2747" s="109"/>
      <c r="AH2747" s="109"/>
      <c r="AI2747" s="109"/>
      <c r="AJ2747" s="109"/>
      <c r="AK2747" s="109"/>
      <c r="AL2747" s="109"/>
      <c r="AM2747" s="109"/>
      <c r="AN2747" s="109"/>
      <c r="AO2747" s="109"/>
      <c r="AP2747" s="109"/>
      <c r="AQ2747" s="109"/>
      <c r="AR2747" s="109"/>
      <c r="AS2747" s="109"/>
    </row>
    <row r="2748" spans="1:45" ht="12.6" customHeight="1" x14ac:dyDescent="0.3">
      <c r="A2748" s="78"/>
      <c r="B2748" s="78"/>
      <c r="C2748" s="78"/>
      <c r="D2748" s="78"/>
      <c r="E2748" s="78"/>
      <c r="F2748" s="78"/>
      <c r="Z2748" s="109"/>
      <c r="AA2748" s="109"/>
      <c r="AB2748" s="109"/>
      <c r="AC2748" s="109"/>
      <c r="AD2748" s="109"/>
      <c r="AE2748" s="109"/>
      <c r="AF2748" s="109"/>
      <c r="AG2748" s="109"/>
      <c r="AH2748" s="109"/>
      <c r="AI2748" s="109"/>
      <c r="AJ2748" s="109"/>
      <c r="AK2748" s="109"/>
      <c r="AL2748" s="109"/>
      <c r="AM2748" s="109"/>
      <c r="AN2748" s="109"/>
      <c r="AO2748" s="109"/>
      <c r="AP2748" s="109"/>
      <c r="AQ2748" s="109"/>
      <c r="AR2748" s="109"/>
      <c r="AS2748" s="109"/>
    </row>
    <row r="2749" spans="1:45" ht="12.6" customHeight="1" x14ac:dyDescent="0.3">
      <c r="A2749" s="78"/>
      <c r="B2749" s="78"/>
      <c r="C2749" s="78"/>
      <c r="D2749" s="78"/>
      <c r="E2749" s="78"/>
      <c r="F2749" s="78"/>
      <c r="Z2749" s="109"/>
      <c r="AA2749" s="109"/>
      <c r="AB2749" s="109"/>
      <c r="AC2749" s="109"/>
      <c r="AD2749" s="109"/>
      <c r="AE2749" s="109"/>
      <c r="AF2749" s="109"/>
      <c r="AG2749" s="109"/>
      <c r="AH2749" s="109"/>
      <c r="AI2749" s="109"/>
      <c r="AJ2749" s="109"/>
      <c r="AK2749" s="109"/>
      <c r="AL2749" s="109"/>
      <c r="AM2749" s="109"/>
      <c r="AN2749" s="109"/>
      <c r="AO2749" s="109"/>
      <c r="AP2749" s="109"/>
      <c r="AQ2749" s="109"/>
      <c r="AR2749" s="109"/>
      <c r="AS2749" s="109"/>
    </row>
    <row r="2750" spans="1:45" ht="12.6" customHeight="1" x14ac:dyDescent="0.3">
      <c r="A2750" s="78"/>
      <c r="B2750" s="78"/>
      <c r="C2750" s="78"/>
      <c r="D2750" s="78"/>
      <c r="E2750" s="78"/>
      <c r="F2750" s="78"/>
      <c r="Z2750" s="109"/>
      <c r="AA2750" s="109"/>
      <c r="AB2750" s="109"/>
      <c r="AC2750" s="109"/>
      <c r="AD2750" s="109"/>
      <c r="AE2750" s="109"/>
      <c r="AF2750" s="109"/>
      <c r="AG2750" s="109"/>
      <c r="AH2750" s="109"/>
      <c r="AI2750" s="109"/>
      <c r="AJ2750" s="109"/>
      <c r="AK2750" s="109"/>
      <c r="AL2750" s="109"/>
      <c r="AM2750" s="109"/>
      <c r="AN2750" s="109"/>
      <c r="AO2750" s="109"/>
      <c r="AP2750" s="109"/>
      <c r="AQ2750" s="109"/>
      <c r="AR2750" s="109"/>
      <c r="AS2750" s="109"/>
    </row>
    <row r="2751" spans="1:45" ht="12.6" customHeight="1" x14ac:dyDescent="0.3">
      <c r="A2751" s="78"/>
      <c r="B2751" s="78"/>
      <c r="C2751" s="78"/>
      <c r="D2751" s="78"/>
      <c r="E2751" s="78"/>
      <c r="F2751" s="78"/>
      <c r="Z2751" s="109"/>
      <c r="AA2751" s="109"/>
      <c r="AB2751" s="109"/>
      <c r="AC2751" s="109"/>
      <c r="AD2751" s="109"/>
      <c r="AE2751" s="109"/>
      <c r="AF2751" s="109"/>
      <c r="AG2751" s="109"/>
      <c r="AH2751" s="109"/>
      <c r="AI2751" s="109"/>
      <c r="AJ2751" s="109"/>
      <c r="AK2751" s="109"/>
      <c r="AL2751" s="109"/>
      <c r="AM2751" s="109"/>
      <c r="AN2751" s="109"/>
      <c r="AO2751" s="109"/>
      <c r="AP2751" s="109"/>
      <c r="AQ2751" s="109"/>
      <c r="AR2751" s="109"/>
      <c r="AS2751" s="109"/>
    </row>
    <row r="2752" spans="1:45" ht="12.6" customHeight="1" x14ac:dyDescent="0.3">
      <c r="A2752" s="78"/>
      <c r="B2752" s="78"/>
      <c r="C2752" s="78"/>
      <c r="D2752" s="78"/>
      <c r="E2752" s="78"/>
      <c r="F2752" s="78"/>
      <c r="Z2752" s="109"/>
      <c r="AA2752" s="109"/>
      <c r="AB2752" s="109"/>
      <c r="AC2752" s="109"/>
      <c r="AD2752" s="109"/>
      <c r="AE2752" s="109"/>
      <c r="AF2752" s="109"/>
      <c r="AG2752" s="109"/>
      <c r="AH2752" s="109"/>
      <c r="AI2752" s="109"/>
      <c r="AJ2752" s="109"/>
      <c r="AK2752" s="109"/>
      <c r="AL2752" s="109"/>
      <c r="AM2752" s="109"/>
      <c r="AN2752" s="109"/>
      <c r="AO2752" s="109"/>
      <c r="AP2752" s="109"/>
      <c r="AQ2752" s="109"/>
      <c r="AR2752" s="109"/>
      <c r="AS2752" s="109"/>
    </row>
    <row r="2753" spans="1:45" ht="12.6" customHeight="1" x14ac:dyDescent="0.3">
      <c r="A2753" s="78"/>
      <c r="B2753" s="78"/>
      <c r="C2753" s="78"/>
      <c r="D2753" s="78"/>
      <c r="E2753" s="78"/>
      <c r="F2753" s="78"/>
      <c r="Z2753" s="109"/>
      <c r="AA2753" s="109"/>
      <c r="AB2753" s="109"/>
      <c r="AC2753" s="109"/>
      <c r="AD2753" s="109"/>
      <c r="AE2753" s="109"/>
      <c r="AF2753" s="109"/>
      <c r="AG2753" s="109"/>
      <c r="AH2753" s="109"/>
      <c r="AI2753" s="109"/>
      <c r="AJ2753" s="109"/>
      <c r="AK2753" s="109"/>
      <c r="AL2753" s="109"/>
      <c r="AM2753" s="109"/>
      <c r="AN2753" s="109"/>
      <c r="AO2753" s="109"/>
      <c r="AP2753" s="109"/>
      <c r="AQ2753" s="109"/>
      <c r="AR2753" s="109"/>
      <c r="AS2753" s="109"/>
    </row>
    <row r="2754" spans="1:45" ht="12.6" customHeight="1" x14ac:dyDescent="0.3">
      <c r="A2754" s="78"/>
      <c r="B2754" s="78"/>
      <c r="C2754" s="78"/>
      <c r="D2754" s="78"/>
      <c r="E2754" s="78"/>
      <c r="F2754" s="78"/>
      <c r="Z2754" s="109"/>
      <c r="AA2754" s="109"/>
      <c r="AB2754" s="109"/>
      <c r="AC2754" s="109"/>
      <c r="AD2754" s="109"/>
      <c r="AE2754" s="109"/>
      <c r="AF2754" s="109"/>
      <c r="AG2754" s="109"/>
      <c r="AH2754" s="109"/>
      <c r="AI2754" s="109"/>
      <c r="AJ2754" s="109"/>
      <c r="AK2754" s="109"/>
      <c r="AL2754" s="109"/>
      <c r="AM2754" s="109"/>
      <c r="AN2754" s="109"/>
      <c r="AO2754" s="109"/>
      <c r="AP2754" s="109"/>
      <c r="AQ2754" s="109"/>
      <c r="AR2754" s="109"/>
      <c r="AS2754" s="109"/>
    </row>
    <row r="2755" spans="1:45" ht="12.6" customHeight="1" x14ac:dyDescent="0.3">
      <c r="A2755" s="78"/>
      <c r="B2755" s="78"/>
      <c r="C2755" s="78"/>
      <c r="D2755" s="78"/>
      <c r="E2755" s="78"/>
      <c r="F2755" s="78"/>
      <c r="Z2755" s="109"/>
      <c r="AA2755" s="109"/>
      <c r="AB2755" s="109"/>
      <c r="AC2755" s="109"/>
      <c r="AD2755" s="109"/>
      <c r="AE2755" s="109"/>
      <c r="AF2755" s="109"/>
      <c r="AG2755" s="109"/>
      <c r="AH2755" s="109"/>
      <c r="AI2755" s="109"/>
      <c r="AJ2755" s="109"/>
      <c r="AK2755" s="109"/>
      <c r="AL2755" s="109"/>
      <c r="AM2755" s="109"/>
      <c r="AN2755" s="109"/>
      <c r="AO2755" s="109"/>
      <c r="AP2755" s="109"/>
      <c r="AQ2755" s="109"/>
      <c r="AR2755" s="109"/>
      <c r="AS2755" s="109"/>
    </row>
    <row r="2756" spans="1:45" ht="12.6" customHeight="1" x14ac:dyDescent="0.3">
      <c r="A2756" s="78"/>
      <c r="B2756" s="78"/>
      <c r="C2756" s="78"/>
      <c r="D2756" s="78"/>
      <c r="E2756" s="78"/>
      <c r="F2756" s="78"/>
      <c r="Z2756" s="109"/>
      <c r="AA2756" s="109"/>
      <c r="AB2756" s="109"/>
      <c r="AC2756" s="109"/>
      <c r="AD2756" s="109"/>
      <c r="AE2756" s="109"/>
      <c r="AF2756" s="109"/>
      <c r="AG2756" s="109"/>
      <c r="AH2756" s="109"/>
      <c r="AI2756" s="109"/>
      <c r="AJ2756" s="109"/>
      <c r="AK2756" s="109"/>
      <c r="AL2756" s="109"/>
      <c r="AM2756" s="109"/>
      <c r="AN2756" s="109"/>
      <c r="AO2756" s="109"/>
      <c r="AP2756" s="109"/>
      <c r="AQ2756" s="109"/>
      <c r="AR2756" s="109"/>
      <c r="AS2756" s="109"/>
    </row>
    <row r="2757" spans="1:45" ht="12.6" customHeight="1" x14ac:dyDescent="0.3">
      <c r="A2757" s="78"/>
      <c r="B2757" s="78"/>
      <c r="C2757" s="78"/>
      <c r="D2757" s="78"/>
      <c r="E2757" s="78"/>
      <c r="F2757" s="78"/>
      <c r="Z2757" s="109"/>
      <c r="AA2757" s="109"/>
      <c r="AB2757" s="109"/>
      <c r="AC2757" s="109"/>
      <c r="AD2757" s="109"/>
      <c r="AE2757" s="109"/>
      <c r="AF2757" s="109"/>
      <c r="AG2757" s="109"/>
      <c r="AH2757" s="109"/>
      <c r="AI2757" s="109"/>
      <c r="AJ2757" s="109"/>
      <c r="AK2757" s="109"/>
      <c r="AL2757" s="109"/>
      <c r="AM2757" s="109"/>
      <c r="AN2757" s="109"/>
      <c r="AO2757" s="109"/>
      <c r="AP2757" s="109"/>
      <c r="AQ2757" s="109"/>
      <c r="AR2757" s="109"/>
      <c r="AS2757" s="109"/>
    </row>
    <row r="2758" spans="1:45" ht="12.6" customHeight="1" x14ac:dyDescent="0.3">
      <c r="A2758" s="78"/>
      <c r="B2758" s="78"/>
      <c r="C2758" s="78"/>
      <c r="D2758" s="78"/>
      <c r="E2758" s="78"/>
      <c r="F2758" s="78"/>
      <c r="Z2758" s="109"/>
      <c r="AA2758" s="109"/>
      <c r="AB2758" s="109"/>
      <c r="AC2758" s="109"/>
      <c r="AD2758" s="109"/>
      <c r="AE2758" s="109"/>
      <c r="AF2758" s="109"/>
      <c r="AG2758" s="109"/>
      <c r="AH2758" s="109"/>
      <c r="AI2758" s="109"/>
      <c r="AJ2758" s="109"/>
      <c r="AK2758" s="109"/>
      <c r="AL2758" s="109"/>
      <c r="AM2758" s="109"/>
      <c r="AN2758" s="109"/>
      <c r="AO2758" s="109"/>
      <c r="AP2758" s="109"/>
      <c r="AQ2758" s="109"/>
      <c r="AR2758" s="109"/>
      <c r="AS2758" s="109"/>
    </row>
    <row r="2759" spans="1:45" ht="12.6" customHeight="1" x14ac:dyDescent="0.3">
      <c r="A2759" s="78"/>
      <c r="B2759" s="78"/>
      <c r="C2759" s="78"/>
      <c r="D2759" s="78"/>
      <c r="E2759" s="78"/>
      <c r="F2759" s="78"/>
      <c r="Z2759" s="109"/>
      <c r="AA2759" s="109"/>
      <c r="AB2759" s="109"/>
      <c r="AC2759" s="109"/>
      <c r="AD2759" s="109"/>
      <c r="AE2759" s="109"/>
      <c r="AF2759" s="109"/>
      <c r="AG2759" s="109"/>
      <c r="AH2759" s="109"/>
      <c r="AI2759" s="109"/>
      <c r="AJ2759" s="109"/>
      <c r="AK2759" s="109"/>
      <c r="AL2759" s="109"/>
      <c r="AM2759" s="109"/>
      <c r="AN2759" s="109"/>
      <c r="AO2759" s="109"/>
      <c r="AP2759" s="109"/>
      <c r="AQ2759" s="109"/>
      <c r="AR2759" s="109"/>
      <c r="AS2759" s="109"/>
    </row>
    <row r="2760" spans="1:45" ht="12.6" customHeight="1" x14ac:dyDescent="0.3">
      <c r="A2760" s="78"/>
      <c r="B2760" s="78"/>
      <c r="C2760" s="78"/>
      <c r="D2760" s="78"/>
      <c r="E2760" s="78"/>
      <c r="F2760" s="78"/>
      <c r="Z2760" s="109"/>
      <c r="AA2760" s="109"/>
      <c r="AB2760" s="109"/>
      <c r="AC2760" s="109"/>
      <c r="AD2760" s="109"/>
      <c r="AE2760" s="109"/>
      <c r="AF2760" s="109"/>
      <c r="AG2760" s="109"/>
      <c r="AH2760" s="109"/>
      <c r="AI2760" s="109"/>
      <c r="AJ2760" s="109"/>
      <c r="AK2760" s="109"/>
      <c r="AL2760" s="109"/>
      <c r="AM2760" s="109"/>
      <c r="AN2760" s="109"/>
      <c r="AO2760" s="109"/>
      <c r="AP2760" s="109"/>
      <c r="AQ2760" s="109"/>
      <c r="AR2760" s="109"/>
      <c r="AS2760" s="109"/>
    </row>
    <row r="2761" spans="1:45" ht="12.6" customHeight="1" x14ac:dyDescent="0.3">
      <c r="A2761" s="78"/>
      <c r="B2761" s="78"/>
      <c r="C2761" s="78"/>
      <c r="D2761" s="78"/>
      <c r="E2761" s="78"/>
      <c r="F2761" s="78"/>
      <c r="Z2761" s="109"/>
      <c r="AA2761" s="109"/>
      <c r="AB2761" s="109"/>
      <c r="AC2761" s="109"/>
      <c r="AD2761" s="109"/>
      <c r="AE2761" s="109"/>
      <c r="AF2761" s="109"/>
      <c r="AG2761" s="109"/>
      <c r="AH2761" s="109"/>
      <c r="AI2761" s="109"/>
      <c r="AJ2761" s="109"/>
      <c r="AK2761" s="109"/>
      <c r="AL2761" s="109"/>
      <c r="AM2761" s="109"/>
      <c r="AN2761" s="109"/>
      <c r="AO2761" s="109"/>
      <c r="AP2761" s="109"/>
      <c r="AQ2761" s="109"/>
      <c r="AR2761" s="109"/>
      <c r="AS2761" s="109"/>
    </row>
    <row r="2762" spans="1:45" ht="12.6" customHeight="1" x14ac:dyDescent="0.3">
      <c r="A2762" s="78"/>
      <c r="B2762" s="78"/>
      <c r="C2762" s="78"/>
      <c r="D2762" s="78"/>
      <c r="E2762" s="78"/>
      <c r="F2762" s="78"/>
      <c r="Z2762" s="109"/>
      <c r="AA2762" s="109"/>
      <c r="AB2762" s="109"/>
      <c r="AC2762" s="109"/>
      <c r="AD2762" s="109"/>
      <c r="AE2762" s="109"/>
      <c r="AF2762" s="109"/>
      <c r="AG2762" s="109"/>
      <c r="AH2762" s="109"/>
      <c r="AI2762" s="109"/>
      <c r="AJ2762" s="109"/>
      <c r="AK2762" s="109"/>
      <c r="AL2762" s="109"/>
      <c r="AM2762" s="109"/>
      <c r="AN2762" s="109"/>
      <c r="AO2762" s="109"/>
      <c r="AP2762" s="109"/>
      <c r="AQ2762" s="109"/>
      <c r="AR2762" s="109"/>
      <c r="AS2762" s="109"/>
    </row>
    <row r="2763" spans="1:45" ht="12.6" customHeight="1" x14ac:dyDescent="0.3">
      <c r="A2763" s="78"/>
      <c r="B2763" s="78"/>
      <c r="C2763" s="78"/>
      <c r="D2763" s="78"/>
      <c r="E2763" s="78"/>
      <c r="F2763" s="78"/>
      <c r="Z2763" s="109"/>
      <c r="AA2763" s="109"/>
      <c r="AB2763" s="109"/>
      <c r="AC2763" s="109"/>
      <c r="AD2763" s="109"/>
      <c r="AE2763" s="109"/>
      <c r="AF2763" s="109"/>
      <c r="AG2763" s="109"/>
      <c r="AH2763" s="109"/>
      <c r="AI2763" s="109"/>
      <c r="AJ2763" s="109"/>
      <c r="AK2763" s="109"/>
      <c r="AL2763" s="109"/>
      <c r="AM2763" s="109"/>
      <c r="AN2763" s="109"/>
      <c r="AO2763" s="109"/>
      <c r="AP2763" s="109"/>
      <c r="AQ2763" s="109"/>
      <c r="AR2763" s="109"/>
      <c r="AS2763" s="109"/>
    </row>
    <row r="2764" spans="1:45" ht="12.6" customHeight="1" x14ac:dyDescent="0.3">
      <c r="A2764" s="78"/>
      <c r="B2764" s="78"/>
      <c r="C2764" s="78"/>
      <c r="D2764" s="78"/>
      <c r="E2764" s="78"/>
      <c r="F2764" s="78"/>
      <c r="Z2764" s="109"/>
      <c r="AA2764" s="109"/>
      <c r="AB2764" s="109"/>
      <c r="AC2764" s="109"/>
      <c r="AD2764" s="109"/>
      <c r="AE2764" s="109"/>
      <c r="AF2764" s="109"/>
      <c r="AG2764" s="109"/>
      <c r="AH2764" s="109"/>
      <c r="AI2764" s="109"/>
      <c r="AJ2764" s="109"/>
      <c r="AK2764" s="109"/>
      <c r="AL2764" s="109"/>
      <c r="AM2764" s="109"/>
      <c r="AN2764" s="109"/>
      <c r="AO2764" s="109"/>
      <c r="AP2764" s="109"/>
      <c r="AQ2764" s="109"/>
      <c r="AR2764" s="109"/>
      <c r="AS2764" s="109"/>
    </row>
    <row r="2765" spans="1:45" ht="12.6" customHeight="1" x14ac:dyDescent="0.3">
      <c r="A2765" s="78"/>
      <c r="B2765" s="78"/>
      <c r="C2765" s="78"/>
      <c r="D2765" s="78"/>
      <c r="E2765" s="78"/>
      <c r="F2765" s="78"/>
      <c r="Z2765" s="109"/>
      <c r="AA2765" s="109"/>
      <c r="AB2765" s="109"/>
      <c r="AC2765" s="109"/>
      <c r="AD2765" s="109"/>
      <c r="AE2765" s="109"/>
      <c r="AF2765" s="109"/>
      <c r="AG2765" s="109"/>
      <c r="AH2765" s="109"/>
      <c r="AI2765" s="109"/>
      <c r="AJ2765" s="109"/>
      <c r="AK2765" s="109"/>
      <c r="AL2765" s="109"/>
      <c r="AM2765" s="109"/>
      <c r="AN2765" s="109"/>
      <c r="AO2765" s="109"/>
      <c r="AP2765" s="109"/>
      <c r="AQ2765" s="109"/>
      <c r="AR2765" s="109"/>
      <c r="AS2765" s="109"/>
    </row>
    <row r="2766" spans="1:45" ht="12.6" customHeight="1" x14ac:dyDescent="0.3">
      <c r="A2766" s="78"/>
      <c r="B2766" s="78"/>
      <c r="C2766" s="78"/>
      <c r="D2766" s="78"/>
      <c r="E2766" s="78"/>
      <c r="F2766" s="78"/>
      <c r="Z2766" s="109"/>
      <c r="AA2766" s="109"/>
      <c r="AB2766" s="109"/>
      <c r="AC2766" s="109"/>
      <c r="AD2766" s="109"/>
      <c r="AE2766" s="109"/>
      <c r="AF2766" s="109"/>
      <c r="AG2766" s="109"/>
      <c r="AH2766" s="109"/>
      <c r="AI2766" s="109"/>
      <c r="AJ2766" s="109"/>
      <c r="AK2766" s="109"/>
      <c r="AL2766" s="109"/>
      <c r="AM2766" s="109"/>
      <c r="AN2766" s="109"/>
      <c r="AO2766" s="109"/>
      <c r="AP2766" s="109"/>
      <c r="AQ2766" s="109"/>
      <c r="AR2766" s="109"/>
      <c r="AS2766" s="109"/>
    </row>
    <row r="2767" spans="1:45" ht="12.6" customHeight="1" x14ac:dyDescent="0.3">
      <c r="A2767" s="78"/>
      <c r="B2767" s="78"/>
      <c r="C2767" s="78"/>
      <c r="D2767" s="78"/>
      <c r="E2767" s="78"/>
      <c r="F2767" s="78"/>
      <c r="Z2767" s="109"/>
      <c r="AA2767" s="109"/>
      <c r="AB2767" s="109"/>
      <c r="AC2767" s="109"/>
      <c r="AD2767" s="109"/>
      <c r="AE2767" s="109"/>
      <c r="AF2767" s="109"/>
      <c r="AG2767" s="109"/>
      <c r="AH2767" s="109"/>
      <c r="AI2767" s="109"/>
      <c r="AJ2767" s="109"/>
      <c r="AK2767" s="109"/>
      <c r="AL2767" s="109"/>
      <c r="AM2767" s="109"/>
      <c r="AN2767" s="109"/>
      <c r="AO2767" s="109"/>
      <c r="AP2767" s="109"/>
      <c r="AQ2767" s="109"/>
      <c r="AR2767" s="109"/>
      <c r="AS2767" s="109"/>
    </row>
    <row r="2768" spans="1:45" ht="12.6" customHeight="1" x14ac:dyDescent="0.3">
      <c r="A2768" s="58"/>
      <c r="B2768" s="58"/>
      <c r="C2768" s="58"/>
      <c r="D2768" s="58"/>
      <c r="E2768" s="58"/>
      <c r="F2768" s="58"/>
      <c r="Z2768" s="109"/>
      <c r="AA2768" s="109"/>
      <c r="AB2768" s="109"/>
      <c r="AC2768" s="109"/>
      <c r="AD2768" s="109"/>
      <c r="AE2768" s="109"/>
      <c r="AF2768" s="109"/>
      <c r="AG2768" s="109"/>
      <c r="AH2768" s="109"/>
      <c r="AI2768" s="109"/>
      <c r="AJ2768" s="109"/>
      <c r="AK2768" s="109"/>
      <c r="AL2768" s="109"/>
      <c r="AM2768" s="109"/>
      <c r="AN2768" s="109"/>
      <c r="AO2768" s="109"/>
      <c r="AP2768" s="109"/>
      <c r="AQ2768" s="109"/>
      <c r="AR2768" s="109"/>
      <c r="AS2768" s="109"/>
    </row>
    <row r="2769" spans="1:45" ht="12.6" customHeight="1" x14ac:dyDescent="0.3">
      <c r="A2769" s="159" t="s">
        <v>1401</v>
      </c>
      <c r="B2769" s="152"/>
      <c r="C2769" s="55">
        <f>E2769+D2769+F2769</f>
        <v>1851</v>
      </c>
      <c r="D2769" s="54">
        <f>ROUNDDOWN(SUMIF(N2702:N2733,M2769,D2702:D2733),0)</f>
        <v>818</v>
      </c>
      <c r="E2769" s="63">
        <f>ROUNDDOWN(SUMIF(N2702:N2733,M2769,E2702:E2733),0)</f>
        <v>542</v>
      </c>
      <c r="F2769" s="55">
        <f>ROUNDDOWN(SUMIF(N2702:N2733,M2769,F2702:F2733),0)</f>
        <v>491</v>
      </c>
      <c r="M2769" s="20" t="s">
        <v>1128</v>
      </c>
      <c r="Z2769" s="109"/>
      <c r="AA2769" s="109"/>
      <c r="AB2769" s="109"/>
      <c r="AC2769" s="109"/>
      <c r="AD2769" s="109"/>
      <c r="AE2769" s="109"/>
      <c r="AF2769" s="109"/>
      <c r="AG2769" s="109"/>
      <c r="AH2769" s="109"/>
      <c r="AI2769" s="109"/>
      <c r="AJ2769" s="109"/>
      <c r="AK2769" s="109"/>
      <c r="AL2769" s="109"/>
      <c r="AM2769" s="109"/>
      <c r="AN2769" s="109"/>
      <c r="AO2769" s="109"/>
      <c r="AP2769" s="109"/>
      <c r="AQ2769" s="109"/>
      <c r="AR2769" s="109"/>
      <c r="AS2769" s="109"/>
    </row>
    <row r="2770" spans="1:45" ht="12.6" customHeight="1" x14ac:dyDescent="0.3">
      <c r="A2770" s="95" t="s">
        <v>320</v>
      </c>
      <c r="B2770" s="96" t="s">
        <v>320</v>
      </c>
      <c r="C2770" s="158">
        <f>C2839</f>
        <v>2301</v>
      </c>
      <c r="D2770" s="158">
        <f>D2839</f>
        <v>979</v>
      </c>
      <c r="E2770" s="158">
        <f>E2839</f>
        <v>648</v>
      </c>
      <c r="F2770" s="158">
        <f>F2839</f>
        <v>674</v>
      </c>
      <c r="G2770" s="36" t="str">
        <f>HYPERLINK("#G"&amp;ROW(G2804),"_x0005_`BDCOD|D02259_x0007_`POSS|"&amp;ROW(G2772)&amp;"_x0007_`POSE|"&amp;ROW(G2804)&amp;"_x0007_`")</f>
        <v>_x0005_`BDCOD|D02259_x0007_`POSS|2772_x0007_`POSE|2804_x0007_`</v>
      </c>
      <c r="Z2770" s="109"/>
      <c r="AA2770" s="109"/>
      <c r="AB2770" s="109"/>
      <c r="AC2770" s="109"/>
      <c r="AD2770" s="109"/>
      <c r="AE2770" s="109"/>
      <c r="AF2770" s="109"/>
      <c r="AG2770" s="109"/>
      <c r="AH2770" s="109"/>
      <c r="AI2770" s="109"/>
      <c r="AJ2770" s="109"/>
      <c r="AK2770" s="109"/>
      <c r="AL2770" s="109"/>
      <c r="AM2770" s="109"/>
      <c r="AN2770" s="109"/>
      <c r="AO2770" s="109"/>
      <c r="AP2770" s="109"/>
      <c r="AQ2770" s="109"/>
      <c r="AR2770" s="109"/>
      <c r="AS2770" s="109"/>
    </row>
    <row r="2771" spans="1:45" ht="12.6" customHeight="1" x14ac:dyDescent="0.3">
      <c r="A2771" s="84"/>
      <c r="B2771" s="96" t="s">
        <v>319</v>
      </c>
      <c r="C2771" s="141"/>
      <c r="D2771" s="141"/>
      <c r="E2771" s="141"/>
      <c r="F2771" s="141"/>
      <c r="M2771" s="20" t="s">
        <v>318</v>
      </c>
      <c r="Z2771" s="109"/>
      <c r="AA2771" s="109"/>
      <c r="AB2771" s="109"/>
      <c r="AC2771" s="109"/>
      <c r="AD2771" s="109"/>
      <c r="AE2771" s="109"/>
      <c r="AF2771" s="109"/>
      <c r="AG2771" s="109"/>
      <c r="AH2771" s="109"/>
      <c r="AI2771" s="109"/>
      <c r="AJ2771" s="109"/>
      <c r="AK2771" s="109"/>
      <c r="AL2771" s="109"/>
      <c r="AM2771" s="109"/>
      <c r="AN2771" s="109"/>
      <c r="AO2771" s="109"/>
      <c r="AP2771" s="109"/>
      <c r="AQ2771" s="109"/>
      <c r="AR2771" s="109"/>
      <c r="AS2771" s="109"/>
    </row>
    <row r="2772" spans="1:45" ht="12.6" customHeight="1" x14ac:dyDescent="0.3">
      <c r="A2772" s="68"/>
      <c r="B2772" s="77" t="s">
        <v>1889</v>
      </c>
      <c r="C2772" s="98"/>
      <c r="D2772" s="98"/>
      <c r="E2772" s="98"/>
      <c r="F2772" s="98"/>
      <c r="G2772" s="16" t="s">
        <v>1888</v>
      </c>
      <c r="Z2772" s="109"/>
      <c r="AA2772" s="109"/>
      <c r="AB2772" s="109"/>
      <c r="AC2772" s="109"/>
      <c r="AD2772" s="109"/>
      <c r="AE2772" s="109"/>
      <c r="AF2772" s="109"/>
      <c r="AG2772" s="109"/>
      <c r="AH2772" s="109"/>
      <c r="AI2772" s="109"/>
      <c r="AJ2772" s="109"/>
      <c r="AK2772" s="109"/>
      <c r="AL2772" s="109"/>
      <c r="AM2772" s="109"/>
      <c r="AN2772" s="109"/>
      <c r="AO2772" s="109"/>
      <c r="AP2772" s="109"/>
      <c r="AQ2772" s="109"/>
      <c r="AR2772" s="109"/>
      <c r="AS2772" s="109"/>
    </row>
    <row r="2773" spans="1:45" ht="12.6" customHeight="1" x14ac:dyDescent="0.3">
      <c r="A2773" s="78"/>
      <c r="B2773" s="78"/>
      <c r="C2773" s="78"/>
      <c r="D2773" s="78"/>
      <c r="E2773" s="78"/>
      <c r="F2773" s="78"/>
      <c r="G2773" s="16" t="s">
        <v>1317</v>
      </c>
      <c r="Z2773" s="109"/>
      <c r="AA2773" s="109"/>
      <c r="AB2773" s="109"/>
      <c r="AC2773" s="109"/>
      <c r="AD2773" s="109"/>
      <c r="AE2773" s="109"/>
      <c r="AF2773" s="109"/>
      <c r="AG2773" s="109"/>
      <c r="AH2773" s="109"/>
      <c r="AI2773" s="109"/>
      <c r="AJ2773" s="109"/>
      <c r="AK2773" s="109"/>
      <c r="AL2773" s="109"/>
      <c r="AM2773" s="109"/>
      <c r="AN2773" s="109"/>
      <c r="AO2773" s="109"/>
      <c r="AP2773" s="109"/>
      <c r="AQ2773" s="109"/>
      <c r="AR2773" s="109"/>
      <c r="AS2773" s="109"/>
    </row>
    <row r="2774" spans="1:45" ht="12.6" customHeight="1" x14ac:dyDescent="0.3">
      <c r="A2774" s="68"/>
      <c r="B2774" s="97" t="str">
        <f>"   도자 19 Ton     ( L1 = "&amp;Z2774&amp;" m) "</f>
        <v xml:space="preserve">   도자 19 Ton     ( L1 = 40.9 m) </v>
      </c>
      <c r="C2774" s="78"/>
      <c r="D2774" s="78"/>
      <c r="E2774" s="78"/>
      <c r="F2774" s="78"/>
      <c r="G2774" s="16" t="s">
        <v>2103</v>
      </c>
      <c r="Z2774" s="110">
        <v>40.9</v>
      </c>
      <c r="AA2774" s="20" t="s">
        <v>1326</v>
      </c>
      <c r="AB2774" s="112">
        <f>Z2774</f>
        <v>40.9</v>
      </c>
      <c r="AC2774" s="109"/>
      <c r="AD2774" s="109"/>
      <c r="AE2774" s="109"/>
      <c r="AF2774" s="109"/>
      <c r="AG2774" s="109"/>
      <c r="AH2774" s="109"/>
      <c r="AI2774" s="109"/>
      <c r="AJ2774" s="109"/>
      <c r="AK2774" s="109"/>
      <c r="AL2774" s="109"/>
      <c r="AM2774" s="109"/>
      <c r="AN2774" s="109"/>
      <c r="AO2774" s="109"/>
      <c r="AP2774" s="109"/>
      <c r="AQ2774" s="109"/>
      <c r="AR2774" s="109"/>
      <c r="AS2774" s="109"/>
    </row>
    <row r="2775" spans="1:45" ht="12.6" customHeight="1" x14ac:dyDescent="0.3">
      <c r="A2775" s="78"/>
      <c r="B2775" s="78"/>
      <c r="C2775" s="78"/>
      <c r="D2775" s="78"/>
      <c r="E2775" s="78"/>
      <c r="F2775" s="78"/>
      <c r="G2775" s="16" t="s">
        <v>1317</v>
      </c>
      <c r="Z2775" s="109"/>
      <c r="AA2775" s="109"/>
      <c r="AB2775" s="109"/>
      <c r="AC2775" s="109"/>
      <c r="AD2775" s="109"/>
      <c r="AE2775" s="109"/>
      <c r="AF2775" s="109"/>
      <c r="AG2775" s="109"/>
      <c r="AH2775" s="109"/>
      <c r="AI2775" s="109"/>
      <c r="AJ2775" s="109"/>
      <c r="AK2775" s="109"/>
      <c r="AL2775" s="109"/>
      <c r="AM2775" s="109"/>
      <c r="AN2775" s="109"/>
      <c r="AO2775" s="109"/>
      <c r="AP2775" s="109"/>
      <c r="AQ2775" s="109"/>
      <c r="AR2775" s="109"/>
      <c r="AS2775" s="109"/>
    </row>
    <row r="2776" spans="1:45" ht="12.6" customHeight="1" x14ac:dyDescent="0.3">
      <c r="A2776" s="68"/>
      <c r="B2776" s="97" t="str">
        <f>" L (운반거리) = L1-"&amp;AB2776&amp;"= "&amp;AD2776&amp;" m "</f>
        <v xml:space="preserve"> L (운반거리) = L1-20= 20.90 m </v>
      </c>
      <c r="C2776" s="78"/>
      <c r="D2776" s="78"/>
      <c r="E2776" s="78"/>
      <c r="F2776" s="78"/>
      <c r="G2776" s="16" t="s">
        <v>1869</v>
      </c>
      <c r="Z2776" s="112">
        <f>AB2774</f>
        <v>40.9</v>
      </c>
      <c r="AA2776" s="20" t="s">
        <v>1407</v>
      </c>
      <c r="AB2776" s="111">
        <v>20</v>
      </c>
      <c r="AC2776" s="20" t="s">
        <v>1326</v>
      </c>
      <c r="AD2776" s="112" t="str">
        <f>TEXT(ROUND(AB2774-AB2776,2),"0.00")</f>
        <v>20.90</v>
      </c>
      <c r="AE2776" s="109"/>
      <c r="AF2776" s="109"/>
      <c r="AG2776" s="109"/>
      <c r="AH2776" s="109"/>
      <c r="AI2776" s="109"/>
      <c r="AJ2776" s="109"/>
      <c r="AK2776" s="109"/>
      <c r="AL2776" s="109"/>
      <c r="AM2776" s="109"/>
      <c r="AN2776" s="109"/>
      <c r="AO2776" s="109"/>
      <c r="AP2776" s="109"/>
      <c r="AQ2776" s="109"/>
      <c r="AR2776" s="109"/>
      <c r="AS2776" s="109"/>
    </row>
    <row r="2777" spans="1:45" ht="12.6" customHeight="1" x14ac:dyDescent="0.3">
      <c r="A2777" s="78"/>
      <c r="B2777" s="78"/>
      <c r="C2777" s="78"/>
      <c r="D2777" s="78"/>
      <c r="E2777" s="78"/>
      <c r="F2777" s="78"/>
      <c r="G2777" s="16" t="s">
        <v>1317</v>
      </c>
      <c r="Z2777" s="109"/>
      <c r="AA2777" s="109"/>
      <c r="AB2777" s="109"/>
      <c r="AC2777" s="109"/>
      <c r="AD2777" s="109"/>
      <c r="AE2777" s="109"/>
      <c r="AF2777" s="109"/>
      <c r="AG2777" s="109"/>
      <c r="AH2777" s="109"/>
      <c r="AI2777" s="109"/>
      <c r="AJ2777" s="109"/>
      <c r="AK2777" s="109"/>
      <c r="AL2777" s="109"/>
      <c r="AM2777" s="109"/>
      <c r="AN2777" s="109"/>
      <c r="AO2777" s="109"/>
      <c r="AP2777" s="109"/>
      <c r="AQ2777" s="109"/>
      <c r="AR2777" s="109"/>
      <c r="AS2777" s="109"/>
    </row>
    <row r="2778" spans="1:45" ht="12.6" customHeight="1" x14ac:dyDescent="0.3">
      <c r="A2778" s="68"/>
      <c r="B2778" s="97" t="str">
        <f>" f (토량의 체적 환산계수) = "&amp;Z2778&amp;"/"&amp;AB2778&amp;" = "&amp;AD2778&amp;""</f>
        <v xml:space="preserve"> f (토량의 체적 환산계수) = 1.15/1.4 = 0.82</v>
      </c>
      <c r="C2778" s="78"/>
      <c r="D2778" s="78"/>
      <c r="E2778" s="78"/>
      <c r="F2778" s="78"/>
      <c r="G2778" s="16" t="s">
        <v>1891</v>
      </c>
      <c r="Z2778" s="110">
        <v>1.1499999999999999</v>
      </c>
      <c r="AA2778" s="20" t="s">
        <v>1387</v>
      </c>
      <c r="AB2778" s="110">
        <v>1.4</v>
      </c>
      <c r="AC2778" s="20" t="s">
        <v>1326</v>
      </c>
      <c r="AD2778" s="112" t="str">
        <f>TEXT(ROUND(Z2778/AB2778,2),"0.00")</f>
        <v>0.82</v>
      </c>
      <c r="AE2778" s="109"/>
      <c r="AF2778" s="109"/>
      <c r="AG2778" s="109"/>
      <c r="AH2778" s="109"/>
      <c r="AI2778" s="109"/>
      <c r="AJ2778" s="109"/>
      <c r="AK2778" s="109"/>
      <c r="AL2778" s="109"/>
      <c r="AM2778" s="109"/>
      <c r="AN2778" s="109"/>
      <c r="AO2778" s="109"/>
      <c r="AP2778" s="109"/>
      <c r="AQ2778" s="109"/>
      <c r="AR2778" s="109"/>
      <c r="AS2778" s="109"/>
    </row>
    <row r="2779" spans="1:45" ht="12.6" customHeight="1" x14ac:dyDescent="0.3">
      <c r="A2779" s="78"/>
      <c r="B2779" s="78"/>
      <c r="C2779" s="78"/>
      <c r="D2779" s="78"/>
      <c r="E2779" s="78"/>
      <c r="F2779" s="78"/>
      <c r="G2779" s="16" t="s">
        <v>1317</v>
      </c>
      <c r="Z2779" s="109"/>
      <c r="AA2779" s="109"/>
      <c r="AB2779" s="109"/>
      <c r="AC2779" s="109"/>
      <c r="AD2779" s="109"/>
      <c r="AE2779" s="109"/>
      <c r="AF2779" s="109"/>
      <c r="AG2779" s="109"/>
      <c r="AH2779" s="109"/>
      <c r="AI2779" s="109"/>
      <c r="AJ2779" s="109"/>
      <c r="AK2779" s="109"/>
      <c r="AL2779" s="109"/>
      <c r="AM2779" s="109"/>
      <c r="AN2779" s="109"/>
      <c r="AO2779" s="109"/>
      <c r="AP2779" s="109"/>
      <c r="AQ2779" s="109"/>
      <c r="AR2779" s="109"/>
      <c r="AS2779" s="109"/>
    </row>
    <row r="2780" spans="1:45" ht="12.6" customHeight="1" x14ac:dyDescent="0.3">
      <c r="A2780" s="68"/>
      <c r="B2780" s="97" t="str">
        <f>" E (작업효율) = "&amp;Z2780&amp;" , qo (거리를 고려하지 않은 삽날의 용량) = "&amp;AD2780&amp;""</f>
        <v xml:space="preserve"> E (작업효율) = 0.35 , qo (거리를 고려하지 않은 삽날의 용량) = 3.2</v>
      </c>
      <c r="C2780" s="78"/>
      <c r="D2780" s="78"/>
      <c r="E2780" s="78"/>
      <c r="F2780" s="78"/>
      <c r="G2780" s="16" t="s">
        <v>1892</v>
      </c>
      <c r="Z2780" s="110">
        <v>0.35</v>
      </c>
      <c r="AA2780" s="20" t="s">
        <v>1326</v>
      </c>
      <c r="AB2780" s="112">
        <f>Z2780</f>
        <v>0.35</v>
      </c>
      <c r="AC2780" s="20" t="s">
        <v>1385</v>
      </c>
      <c r="AD2780" s="110">
        <v>3.2</v>
      </c>
      <c r="AE2780" s="20" t="s">
        <v>1326</v>
      </c>
      <c r="AF2780" s="112">
        <f>AD2780</f>
        <v>3.2</v>
      </c>
      <c r="AG2780" s="20" t="s">
        <v>1385</v>
      </c>
      <c r="AH2780" s="109"/>
      <c r="AI2780" s="109"/>
      <c r="AJ2780" s="109"/>
      <c r="AK2780" s="109"/>
      <c r="AL2780" s="109"/>
      <c r="AM2780" s="109"/>
      <c r="AN2780" s="109"/>
      <c r="AO2780" s="109"/>
      <c r="AP2780" s="109"/>
      <c r="AQ2780" s="109"/>
      <c r="AR2780" s="109"/>
      <c r="AS2780" s="109"/>
    </row>
    <row r="2781" spans="1:45" ht="12.6" customHeight="1" x14ac:dyDescent="0.3">
      <c r="A2781" s="78"/>
      <c r="B2781" s="78"/>
      <c r="C2781" s="78"/>
      <c r="D2781" s="78"/>
      <c r="E2781" s="78"/>
      <c r="F2781" s="78"/>
      <c r="G2781" s="16" t="s">
        <v>1317</v>
      </c>
      <c r="Z2781" s="109"/>
      <c r="AA2781" s="109"/>
      <c r="AB2781" s="109"/>
      <c r="AC2781" s="109"/>
      <c r="AD2781" s="109"/>
      <c r="AE2781" s="109"/>
      <c r="AF2781" s="109"/>
      <c r="AG2781" s="109"/>
      <c r="AH2781" s="109"/>
      <c r="AI2781" s="109"/>
      <c r="AJ2781" s="109"/>
      <c r="AK2781" s="109"/>
      <c r="AL2781" s="109"/>
      <c r="AM2781" s="109"/>
      <c r="AN2781" s="109"/>
      <c r="AO2781" s="109"/>
      <c r="AP2781" s="109"/>
      <c r="AQ2781" s="109"/>
      <c r="AR2781" s="109"/>
      <c r="AS2781" s="109"/>
    </row>
    <row r="2782" spans="1:45" ht="12.6" customHeight="1" x14ac:dyDescent="0.3">
      <c r="A2782" s="68"/>
      <c r="B2782" s="97" t="str">
        <f>" eo (운반거리계수) = "&amp;Z2782&amp;""</f>
        <v xml:space="preserve"> eo (운반거리계수) = 0.96</v>
      </c>
      <c r="C2782" s="78"/>
      <c r="D2782" s="78"/>
      <c r="E2782" s="78"/>
      <c r="F2782" s="78"/>
      <c r="G2782" s="16" t="s">
        <v>1893</v>
      </c>
      <c r="Z2782" s="110">
        <v>0.96</v>
      </c>
      <c r="AA2782" s="20" t="s">
        <v>1326</v>
      </c>
      <c r="AB2782" s="112">
        <f>Z2782</f>
        <v>0.96</v>
      </c>
      <c r="AC2782" s="109"/>
      <c r="AD2782" s="109"/>
      <c r="AE2782" s="109"/>
      <c r="AF2782" s="109"/>
      <c r="AG2782" s="109"/>
      <c r="AH2782" s="109"/>
      <c r="AI2782" s="109"/>
      <c r="AJ2782" s="109"/>
      <c r="AK2782" s="109"/>
      <c r="AL2782" s="109"/>
      <c r="AM2782" s="109"/>
      <c r="AN2782" s="109"/>
      <c r="AO2782" s="109"/>
      <c r="AP2782" s="109"/>
      <c r="AQ2782" s="109"/>
      <c r="AR2782" s="109"/>
      <c r="AS2782" s="109"/>
    </row>
    <row r="2783" spans="1:45" ht="12.6" customHeight="1" x14ac:dyDescent="0.3">
      <c r="A2783" s="78"/>
      <c r="B2783" s="78"/>
      <c r="C2783" s="78"/>
      <c r="D2783" s="78"/>
      <c r="E2783" s="78"/>
      <c r="F2783" s="78"/>
      <c r="G2783" s="16" t="s">
        <v>1317</v>
      </c>
      <c r="Z2783" s="109"/>
      <c r="AA2783" s="109"/>
      <c r="AB2783" s="109"/>
      <c r="AC2783" s="109"/>
      <c r="AD2783" s="109"/>
      <c r="AE2783" s="109"/>
      <c r="AF2783" s="109"/>
      <c r="AG2783" s="109"/>
      <c r="AH2783" s="109"/>
      <c r="AI2783" s="109"/>
      <c r="AJ2783" s="109"/>
      <c r="AK2783" s="109"/>
      <c r="AL2783" s="109"/>
      <c r="AM2783" s="109"/>
      <c r="AN2783" s="109"/>
      <c r="AO2783" s="109"/>
      <c r="AP2783" s="109"/>
      <c r="AQ2783" s="109"/>
      <c r="AR2783" s="109"/>
      <c r="AS2783" s="109"/>
    </row>
    <row r="2784" spans="1:45" ht="12.6" customHeight="1" x14ac:dyDescent="0.3">
      <c r="A2784" s="68"/>
      <c r="B2784" s="77" t="s">
        <v>1874</v>
      </c>
      <c r="C2784" s="78"/>
      <c r="D2784" s="78"/>
      <c r="E2784" s="78"/>
      <c r="F2784" s="78"/>
      <c r="G2784" s="16" t="s">
        <v>1873</v>
      </c>
      <c r="Z2784" s="109"/>
      <c r="AA2784" s="109"/>
      <c r="AB2784" s="109"/>
      <c r="AC2784" s="109"/>
      <c r="AD2784" s="109"/>
      <c r="AE2784" s="109"/>
      <c r="AF2784" s="109"/>
      <c r="AG2784" s="109"/>
      <c r="AH2784" s="109"/>
      <c r="AI2784" s="109"/>
      <c r="AJ2784" s="109"/>
      <c r="AK2784" s="109"/>
      <c r="AL2784" s="109"/>
      <c r="AM2784" s="109"/>
      <c r="AN2784" s="109"/>
      <c r="AO2784" s="109"/>
      <c r="AP2784" s="109"/>
      <c r="AQ2784" s="109"/>
      <c r="AR2784" s="109"/>
      <c r="AS2784" s="109"/>
    </row>
    <row r="2785" spans="1:45" ht="12.6" customHeight="1" x14ac:dyDescent="0.3">
      <c r="A2785" s="78"/>
      <c r="B2785" s="78"/>
      <c r="C2785" s="78"/>
      <c r="D2785" s="78"/>
      <c r="E2785" s="78"/>
      <c r="F2785" s="78"/>
      <c r="G2785" s="16" t="s">
        <v>1317</v>
      </c>
      <c r="Z2785" s="109"/>
      <c r="AA2785" s="109"/>
      <c r="AB2785" s="109"/>
      <c r="AC2785" s="109"/>
      <c r="AD2785" s="109"/>
      <c r="AE2785" s="109"/>
      <c r="AF2785" s="109"/>
      <c r="AG2785" s="109"/>
      <c r="AH2785" s="109"/>
      <c r="AI2785" s="109"/>
      <c r="AJ2785" s="109"/>
      <c r="AK2785" s="109"/>
      <c r="AL2785" s="109"/>
      <c r="AM2785" s="109"/>
      <c r="AN2785" s="109"/>
      <c r="AO2785" s="109"/>
      <c r="AP2785" s="109"/>
      <c r="AQ2785" s="109"/>
      <c r="AR2785" s="109"/>
      <c r="AS2785" s="109"/>
    </row>
    <row r="2786" spans="1:45" ht="12.6" customHeight="1" x14ac:dyDescent="0.3">
      <c r="A2786" s="68"/>
      <c r="B2786" s="77" t="s">
        <v>1876</v>
      </c>
      <c r="C2786" s="78"/>
      <c r="D2786" s="78"/>
      <c r="E2786" s="78"/>
      <c r="F2786" s="78"/>
      <c r="G2786" s="16" t="s">
        <v>1875</v>
      </c>
      <c r="Z2786" s="109"/>
      <c r="AA2786" s="109"/>
      <c r="AB2786" s="109"/>
      <c r="AC2786" s="109"/>
      <c r="AD2786" s="109"/>
      <c r="AE2786" s="109"/>
      <c r="AF2786" s="109"/>
      <c r="AG2786" s="109"/>
      <c r="AH2786" s="109"/>
      <c r="AI2786" s="109"/>
      <c r="AJ2786" s="109"/>
      <c r="AK2786" s="109"/>
      <c r="AL2786" s="109"/>
      <c r="AM2786" s="109"/>
      <c r="AN2786" s="109"/>
      <c r="AO2786" s="109"/>
      <c r="AP2786" s="109"/>
      <c r="AQ2786" s="109"/>
      <c r="AR2786" s="109"/>
      <c r="AS2786" s="109"/>
    </row>
    <row r="2787" spans="1:45" ht="12.6" customHeight="1" x14ac:dyDescent="0.3">
      <c r="A2787" s="78"/>
      <c r="B2787" s="78"/>
      <c r="C2787" s="78"/>
      <c r="D2787" s="78"/>
      <c r="E2787" s="78"/>
      <c r="F2787" s="78"/>
      <c r="G2787" s="16" t="s">
        <v>1317</v>
      </c>
      <c r="Z2787" s="109"/>
      <c r="AA2787" s="109"/>
      <c r="AB2787" s="109"/>
      <c r="AC2787" s="109"/>
      <c r="AD2787" s="109"/>
      <c r="AE2787" s="109"/>
      <c r="AF2787" s="109"/>
      <c r="AG2787" s="109"/>
      <c r="AH2787" s="109"/>
      <c r="AI2787" s="109"/>
      <c r="AJ2787" s="109"/>
      <c r="AK2787" s="109"/>
      <c r="AL2787" s="109"/>
      <c r="AM2787" s="109"/>
      <c r="AN2787" s="109"/>
      <c r="AO2787" s="109"/>
      <c r="AP2787" s="109"/>
      <c r="AQ2787" s="109"/>
      <c r="AR2787" s="109"/>
      <c r="AS2787" s="109"/>
    </row>
    <row r="2788" spans="1:45" ht="12.6" customHeight="1" x14ac:dyDescent="0.3">
      <c r="A2788" s="68"/>
      <c r="B2788" s="97" t="str">
        <f>" P=qo*eo= "&amp;AD2788&amp;""</f>
        <v xml:space="preserve"> P=qo*eo= 3.07</v>
      </c>
      <c r="C2788" s="78"/>
      <c r="D2788" s="78"/>
      <c r="E2788" s="78"/>
      <c r="F2788" s="78"/>
      <c r="G2788" s="16" t="s">
        <v>1877</v>
      </c>
      <c r="Z2788" s="112">
        <f>AF2780</f>
        <v>3.2</v>
      </c>
      <c r="AA2788" s="20" t="s">
        <v>1390</v>
      </c>
      <c r="AB2788" s="112">
        <f>AB2782</f>
        <v>0.96</v>
      </c>
      <c r="AC2788" s="20" t="s">
        <v>1326</v>
      </c>
      <c r="AD2788" s="112" t="str">
        <f>TEXT(ROUND(AF2780*AB2782,2),"0.00")</f>
        <v>3.07</v>
      </c>
      <c r="AE2788" s="109"/>
      <c r="AF2788" s="109"/>
      <c r="AG2788" s="109"/>
      <c r="AH2788" s="109"/>
      <c r="AI2788" s="109"/>
      <c r="AJ2788" s="109"/>
      <c r="AK2788" s="109"/>
      <c r="AL2788" s="109"/>
      <c r="AM2788" s="109"/>
      <c r="AN2788" s="109"/>
      <c r="AO2788" s="109"/>
      <c r="AP2788" s="109"/>
      <c r="AQ2788" s="109"/>
      <c r="AR2788" s="109"/>
      <c r="AS2788" s="109"/>
    </row>
    <row r="2789" spans="1:45" ht="12.6" customHeight="1" x14ac:dyDescent="0.3">
      <c r="A2789" s="78"/>
      <c r="B2789" s="78"/>
      <c r="C2789" s="78"/>
      <c r="D2789" s="78"/>
      <c r="E2789" s="78"/>
      <c r="F2789" s="78"/>
      <c r="G2789" s="16" t="s">
        <v>1317</v>
      </c>
      <c r="Z2789" s="109"/>
      <c r="AA2789" s="109"/>
      <c r="AB2789" s="109"/>
      <c r="AC2789" s="109"/>
      <c r="AD2789" s="109"/>
      <c r="AE2789" s="109"/>
      <c r="AF2789" s="109"/>
      <c r="AG2789" s="109"/>
      <c r="AH2789" s="109"/>
      <c r="AI2789" s="109"/>
      <c r="AJ2789" s="109"/>
      <c r="AK2789" s="109"/>
      <c r="AL2789" s="109"/>
      <c r="AM2789" s="109"/>
      <c r="AN2789" s="109"/>
      <c r="AO2789" s="109"/>
      <c r="AP2789" s="109"/>
      <c r="AQ2789" s="109"/>
      <c r="AR2789" s="109"/>
      <c r="AS2789" s="109"/>
    </row>
    <row r="2790" spans="1:45" ht="12.6" customHeight="1" x14ac:dyDescent="0.3">
      <c r="A2790" s="68"/>
      <c r="B2790" s="97" t="str">
        <f>" V1 (전진속도) = "&amp;Z2790&amp;" m/min  , V2 (후진속도)  = "&amp;AD2790&amp;" m/min "</f>
        <v xml:space="preserve"> V1 (전진속도) = 55 m/min  , V2 (후진속도)  = 70 m/min </v>
      </c>
      <c r="C2790" s="78"/>
      <c r="D2790" s="78"/>
      <c r="E2790" s="78"/>
      <c r="F2790" s="78"/>
      <c r="G2790" s="16" t="s">
        <v>1894</v>
      </c>
      <c r="Z2790" s="111">
        <v>55</v>
      </c>
      <c r="AA2790" s="20" t="s">
        <v>1326</v>
      </c>
      <c r="AB2790" s="112">
        <f>Z2790</f>
        <v>55</v>
      </c>
      <c r="AC2790" s="20" t="s">
        <v>1385</v>
      </c>
      <c r="AD2790" s="111">
        <v>70</v>
      </c>
      <c r="AE2790" s="20" t="s">
        <v>1326</v>
      </c>
      <c r="AF2790" s="112">
        <f>AD2790</f>
        <v>70</v>
      </c>
      <c r="AG2790" s="20" t="s">
        <v>1385</v>
      </c>
      <c r="AH2790" s="109"/>
      <c r="AI2790" s="109"/>
      <c r="AJ2790" s="109"/>
      <c r="AK2790" s="109"/>
      <c r="AL2790" s="109"/>
      <c r="AM2790" s="109"/>
      <c r="AN2790" s="109"/>
      <c r="AO2790" s="109"/>
      <c r="AP2790" s="109"/>
      <c r="AQ2790" s="109"/>
      <c r="AR2790" s="109"/>
      <c r="AS2790" s="109"/>
    </row>
    <row r="2791" spans="1:45" ht="12.6" customHeight="1" x14ac:dyDescent="0.3">
      <c r="A2791" s="78"/>
      <c r="B2791" s="78"/>
      <c r="C2791" s="78"/>
      <c r="D2791" s="78"/>
      <c r="E2791" s="78"/>
      <c r="F2791" s="78"/>
      <c r="G2791" s="16" t="s">
        <v>1317</v>
      </c>
      <c r="Z2791" s="109"/>
      <c r="AA2791" s="109"/>
      <c r="AB2791" s="109"/>
      <c r="AC2791" s="109"/>
      <c r="AD2791" s="109"/>
      <c r="AE2791" s="109"/>
      <c r="AF2791" s="109"/>
      <c r="AG2791" s="109"/>
      <c r="AH2791" s="109"/>
      <c r="AI2791" s="109"/>
      <c r="AJ2791" s="109"/>
      <c r="AK2791" s="109"/>
      <c r="AL2791" s="109"/>
      <c r="AM2791" s="109"/>
      <c r="AN2791" s="109"/>
      <c r="AO2791" s="109"/>
      <c r="AP2791" s="109"/>
      <c r="AQ2791" s="109"/>
      <c r="AR2791" s="109"/>
      <c r="AS2791" s="109"/>
    </row>
    <row r="2792" spans="1:45" ht="12.6" customHeight="1" x14ac:dyDescent="0.3">
      <c r="A2792" s="68"/>
      <c r="B2792" s="97" t="str">
        <f>" Cm (1회 사이클 시간(분))  = L/V1 + L/V2 + "&amp;AH2792&amp;" = "&amp;AJ2792&amp;" 분 "</f>
        <v xml:space="preserve"> Cm (1회 사이클 시간(분))  = L/V1 + L/V2 + 0.25 = 0.93 분 </v>
      </c>
      <c r="C2792" s="78"/>
      <c r="D2792" s="78"/>
      <c r="E2792" s="78"/>
      <c r="F2792" s="78"/>
      <c r="G2792" s="16" t="s">
        <v>1895</v>
      </c>
      <c r="Z2792" s="112" t="str">
        <f>AD2776</f>
        <v>20.90</v>
      </c>
      <c r="AA2792" s="20" t="s">
        <v>1387</v>
      </c>
      <c r="AB2792" s="112">
        <f>AB2790</f>
        <v>55</v>
      </c>
      <c r="AC2792" s="20" t="s">
        <v>1535</v>
      </c>
      <c r="AD2792" s="112" t="str">
        <f>AD2776</f>
        <v>20.90</v>
      </c>
      <c r="AE2792" s="20" t="s">
        <v>1387</v>
      </c>
      <c r="AF2792" s="112">
        <f>AF2790</f>
        <v>70</v>
      </c>
      <c r="AG2792" s="20" t="s">
        <v>1535</v>
      </c>
      <c r="AH2792" s="110">
        <v>0.25</v>
      </c>
      <c r="AI2792" s="20" t="s">
        <v>1326</v>
      </c>
      <c r="AJ2792" s="112" t="str">
        <f>TEXT(ROUND(AD2776/AB2790+AD2776/AF2790+AH2792,2),"0.00")</f>
        <v>0.93</v>
      </c>
      <c r="AK2792" s="109"/>
      <c r="AL2792" s="109"/>
      <c r="AM2792" s="109"/>
      <c r="AN2792" s="109"/>
      <c r="AO2792" s="109"/>
      <c r="AP2792" s="109"/>
      <c r="AQ2792" s="109"/>
      <c r="AR2792" s="109"/>
      <c r="AS2792" s="109"/>
    </row>
    <row r="2793" spans="1:45" ht="12.6" customHeight="1" x14ac:dyDescent="0.3">
      <c r="A2793" s="78"/>
      <c r="B2793" s="78"/>
      <c r="C2793" s="78"/>
      <c r="D2793" s="78"/>
      <c r="E2793" s="78"/>
      <c r="F2793" s="78"/>
      <c r="G2793" s="16" t="s">
        <v>1317</v>
      </c>
      <c r="Z2793" s="109"/>
      <c r="AA2793" s="109"/>
      <c r="AB2793" s="109"/>
      <c r="AC2793" s="109"/>
      <c r="AD2793" s="109"/>
      <c r="AE2793" s="109"/>
      <c r="AF2793" s="109"/>
      <c r="AG2793" s="109"/>
      <c r="AH2793" s="109"/>
      <c r="AI2793" s="109"/>
      <c r="AJ2793" s="109"/>
      <c r="AK2793" s="109"/>
      <c r="AL2793" s="109"/>
      <c r="AM2793" s="109"/>
      <c r="AN2793" s="109"/>
      <c r="AO2793" s="109"/>
      <c r="AP2793" s="109"/>
      <c r="AQ2793" s="109"/>
      <c r="AR2793" s="109"/>
      <c r="AS2793" s="109"/>
    </row>
    <row r="2794" spans="1:45" ht="12.6" customHeight="1" x14ac:dyDescent="0.3">
      <c r="A2794" s="68"/>
      <c r="B2794" s="97" t="str">
        <f>" Q  (시간당 작업량) = "&amp;Z2794&amp;" * P * f * E / Cm = "&amp;AJ2794&amp;" m3/hr "</f>
        <v xml:space="preserve"> Q  (시간당 작업량) = 60 * P * f * E / Cm = 56.84 m3/hr </v>
      </c>
      <c r="C2794" s="78"/>
      <c r="D2794" s="78"/>
      <c r="E2794" s="78"/>
      <c r="F2794" s="78"/>
      <c r="G2794" s="16" t="s">
        <v>1896</v>
      </c>
      <c r="Z2794" s="111">
        <v>60</v>
      </c>
      <c r="AA2794" s="20" t="s">
        <v>1390</v>
      </c>
      <c r="AB2794" s="112" t="str">
        <f>AD2788</f>
        <v>3.07</v>
      </c>
      <c r="AC2794" s="20" t="s">
        <v>1390</v>
      </c>
      <c r="AD2794" s="112" t="str">
        <f>AD2778</f>
        <v>0.82</v>
      </c>
      <c r="AE2794" s="20" t="s">
        <v>1390</v>
      </c>
      <c r="AF2794" s="112">
        <f>AB2780</f>
        <v>0.35</v>
      </c>
      <c r="AG2794" s="20" t="s">
        <v>1387</v>
      </c>
      <c r="AH2794" s="112" t="str">
        <f>AJ2792</f>
        <v>0.93</v>
      </c>
      <c r="AI2794" s="20" t="s">
        <v>1326</v>
      </c>
      <c r="AJ2794" s="112" t="str">
        <f>TEXT(ROUND(Z2794*AD2788*AD2778*AB2780/AJ2792,2),"0.00")</f>
        <v>56.84</v>
      </c>
      <c r="AK2794" s="109"/>
      <c r="AL2794" s="109"/>
      <c r="AM2794" s="109"/>
      <c r="AN2794" s="109"/>
      <c r="AO2794" s="109"/>
      <c r="AP2794" s="109"/>
      <c r="AQ2794" s="109"/>
      <c r="AR2794" s="109"/>
      <c r="AS2794" s="109"/>
    </row>
    <row r="2795" spans="1:45" ht="12.6" customHeight="1" x14ac:dyDescent="0.3">
      <c r="A2795" s="78"/>
      <c r="B2795" s="78"/>
      <c r="C2795" s="78"/>
      <c r="D2795" s="78"/>
      <c r="E2795" s="78"/>
      <c r="F2795" s="78"/>
      <c r="G2795" s="16" t="s">
        <v>1317</v>
      </c>
      <c r="Z2795" s="109"/>
      <c r="AA2795" s="109"/>
      <c r="AB2795" s="109"/>
      <c r="AC2795" s="109"/>
      <c r="AD2795" s="109"/>
      <c r="AE2795" s="109"/>
      <c r="AF2795" s="109"/>
      <c r="AG2795" s="109"/>
      <c r="AH2795" s="109"/>
      <c r="AI2795" s="109"/>
      <c r="AJ2795" s="109"/>
      <c r="AK2795" s="109"/>
      <c r="AL2795" s="109"/>
      <c r="AM2795" s="109"/>
      <c r="AN2795" s="109"/>
      <c r="AO2795" s="109"/>
      <c r="AP2795" s="109"/>
      <c r="AQ2795" s="109"/>
      <c r="AR2795" s="109"/>
      <c r="AS2795" s="109"/>
    </row>
    <row r="2796" spans="1:45" ht="12.6" customHeight="1" x14ac:dyDescent="0.3">
      <c r="A2796" s="78"/>
      <c r="B2796" s="78"/>
      <c r="C2796" s="78"/>
      <c r="D2796" s="78"/>
      <c r="E2796" s="78"/>
      <c r="F2796" s="78"/>
      <c r="G2796" s="16" t="s">
        <v>1317</v>
      </c>
      <c r="Z2796" s="109"/>
      <c r="AA2796" s="109"/>
      <c r="AB2796" s="109"/>
      <c r="AC2796" s="109"/>
      <c r="AD2796" s="109"/>
      <c r="AE2796" s="109"/>
      <c r="AF2796" s="109"/>
      <c r="AG2796" s="109"/>
      <c r="AH2796" s="109"/>
      <c r="AI2796" s="109"/>
      <c r="AJ2796" s="109"/>
      <c r="AK2796" s="109"/>
      <c r="AL2796" s="109"/>
      <c r="AM2796" s="109"/>
      <c r="AN2796" s="109"/>
      <c r="AO2796" s="109"/>
      <c r="AP2796" s="109"/>
      <c r="AQ2796" s="109"/>
      <c r="AR2796" s="109"/>
      <c r="AS2796" s="109"/>
    </row>
    <row r="2797" spans="1:45" ht="12.6" customHeight="1" x14ac:dyDescent="0.3">
      <c r="A2797" s="68" t="s">
        <v>1898</v>
      </c>
      <c r="B2797" s="97" t="str">
        <f>" 노 무 비  :   "&amp;TEXT(I2797,"#,##0"&amp;IF(I2797&lt;&gt;INT(I2797),".###",""))&amp;" / Q = "&amp;TEXT(C2797,"#,##0.0")&amp;""</f>
        <v xml:space="preserve"> 노 무 비  :   55,700 / Q = 979.9</v>
      </c>
      <c r="C2797" s="99">
        <f>E2797+D2797+F2797</f>
        <v>979.9</v>
      </c>
      <c r="D2797" s="99">
        <f>IF(H2797=0,0,ROUNDDOWN(J2797*H2797,1))</f>
        <v>979.9</v>
      </c>
      <c r="E2797" s="99">
        <f>IF(H2797=0,0,ROUNDDOWN(K2797*H2797,1))</f>
        <v>0</v>
      </c>
      <c r="F2797" s="99">
        <f>IF(H2797=0,0,ROUNDDOWN(L2797*H2797,1))</f>
        <v>0</v>
      </c>
      <c r="G2797" s="16" t="s">
        <v>1897</v>
      </c>
      <c r="H2797" s="105">
        <f>AC2797</f>
        <v>1.7593244194229415E-2</v>
      </c>
      <c r="I2797" s="106">
        <f>K2797+J2797+L2797</f>
        <v>55700</v>
      </c>
      <c r="J2797" s="39">
        <f>중기목록표!F20</f>
        <v>55700</v>
      </c>
      <c r="M2797" s="20" t="s">
        <v>1899</v>
      </c>
      <c r="N2797" s="20" t="s">
        <v>1332</v>
      </c>
      <c r="X2797" s="108" t="str">
        <f>중기목록표!B20&amp;" / "&amp;중기목록표!C20</f>
        <v>불도우저19ton / (암)</v>
      </c>
      <c r="Y2797" s="19" t="str">
        <f ca="1">HYPERLINK("#"&amp;중기목록표!J2&amp;"!A"&amp;ROW(중기목록표!A20),"중기   17 →")</f>
        <v>중기   17 →</v>
      </c>
      <c r="Z2797" s="20" t="s">
        <v>1393</v>
      </c>
      <c r="AA2797" s="112" t="str">
        <f>AJ2794</f>
        <v>56.84</v>
      </c>
      <c r="AB2797" s="20" t="s">
        <v>1326</v>
      </c>
      <c r="AC2797" s="113">
        <f>1/AJ2794</f>
        <v>1.7593244194229415E-2</v>
      </c>
      <c r="AD2797" s="109"/>
      <c r="AE2797" s="109"/>
      <c r="AF2797" s="109"/>
      <c r="AG2797" s="109"/>
      <c r="AH2797" s="109"/>
      <c r="AI2797" s="109"/>
      <c r="AJ2797" s="109"/>
      <c r="AK2797" s="109"/>
      <c r="AL2797" s="109"/>
      <c r="AM2797" s="109"/>
      <c r="AN2797" s="109"/>
      <c r="AO2797" s="109"/>
      <c r="AP2797" s="109"/>
      <c r="AQ2797" s="109"/>
      <c r="AR2797" s="109"/>
      <c r="AS2797" s="109"/>
    </row>
    <row r="2798" spans="1:45" ht="12.6" customHeight="1" x14ac:dyDescent="0.3">
      <c r="A2798" s="78"/>
      <c r="B2798" s="78"/>
      <c r="C2798" s="78"/>
      <c r="D2798" s="78"/>
      <c r="E2798" s="78"/>
      <c r="F2798" s="78"/>
      <c r="G2798" s="16" t="s">
        <v>1317</v>
      </c>
      <c r="Z2798" s="109"/>
      <c r="AA2798" s="109"/>
      <c r="AB2798" s="109"/>
      <c r="AC2798" s="109"/>
      <c r="AD2798" s="109"/>
      <c r="AE2798" s="109"/>
      <c r="AF2798" s="109"/>
      <c r="AG2798" s="109"/>
      <c r="AH2798" s="109"/>
      <c r="AI2798" s="109"/>
      <c r="AJ2798" s="109"/>
      <c r="AK2798" s="109"/>
      <c r="AL2798" s="109"/>
      <c r="AM2798" s="109"/>
      <c r="AN2798" s="109"/>
      <c r="AO2798" s="109"/>
      <c r="AP2798" s="109"/>
      <c r="AQ2798" s="109"/>
      <c r="AR2798" s="109"/>
      <c r="AS2798" s="109"/>
    </row>
    <row r="2799" spans="1:45" ht="12.6" customHeight="1" x14ac:dyDescent="0.3">
      <c r="A2799" s="68" t="s">
        <v>1901</v>
      </c>
      <c r="B2799" s="97" t="str">
        <f>" 재 료 비  :   "&amp;TEXT(I2799,"#,##0"&amp;IF(I2799&lt;&gt;INT(I2799),".###",""))&amp;" / Q = "&amp;TEXT(C2799,"#,##0.0")&amp;""</f>
        <v xml:space="preserve"> 재 료 비  :   36,888 / Q = 648.9</v>
      </c>
      <c r="C2799" s="99">
        <f>E2799+D2799+F2799</f>
        <v>648.9</v>
      </c>
      <c r="D2799" s="99">
        <f>IF(H2799=0,0,ROUNDDOWN(J2799*H2799,1))</f>
        <v>0</v>
      </c>
      <c r="E2799" s="99">
        <f>IF(H2799=0,0,ROUNDDOWN(K2799*H2799,1))</f>
        <v>648.9</v>
      </c>
      <c r="F2799" s="99">
        <f>IF(H2799=0,0,ROUNDDOWN(L2799*H2799,1))</f>
        <v>0</v>
      </c>
      <c r="G2799" s="16" t="s">
        <v>1900</v>
      </c>
      <c r="H2799" s="105">
        <f>AC2799</f>
        <v>1.7593244194229415E-2</v>
      </c>
      <c r="I2799" s="106">
        <f>K2799+J2799+L2799</f>
        <v>36888</v>
      </c>
      <c r="K2799" s="39">
        <f>중기목록표!G20</f>
        <v>36888</v>
      </c>
      <c r="M2799" s="20" t="s">
        <v>1899</v>
      </c>
      <c r="N2799" s="20" t="s">
        <v>1332</v>
      </c>
      <c r="X2799" s="108" t="str">
        <f>중기목록표!B20&amp;" / "&amp;중기목록표!C20</f>
        <v>불도우저19ton / (암)</v>
      </c>
      <c r="Y2799" s="19" t="str">
        <f ca="1">HYPERLINK("#"&amp;중기목록표!J2&amp;"!A"&amp;ROW(중기목록표!A20),"중기   17 →")</f>
        <v>중기   17 →</v>
      </c>
      <c r="Z2799" s="20" t="s">
        <v>1393</v>
      </c>
      <c r="AA2799" s="112" t="str">
        <f>AJ2794</f>
        <v>56.84</v>
      </c>
      <c r="AB2799" s="20" t="s">
        <v>1326</v>
      </c>
      <c r="AC2799" s="113">
        <f>1/AJ2794</f>
        <v>1.7593244194229415E-2</v>
      </c>
      <c r="AD2799" s="109"/>
      <c r="AE2799" s="109"/>
      <c r="AF2799" s="109"/>
      <c r="AG2799" s="109"/>
      <c r="AH2799" s="109"/>
      <c r="AI2799" s="109"/>
      <c r="AJ2799" s="109"/>
      <c r="AK2799" s="109"/>
      <c r="AL2799" s="109"/>
      <c r="AM2799" s="109"/>
      <c r="AN2799" s="109"/>
      <c r="AO2799" s="109"/>
      <c r="AP2799" s="109"/>
      <c r="AQ2799" s="109"/>
      <c r="AR2799" s="109"/>
      <c r="AS2799" s="109"/>
    </row>
    <row r="2800" spans="1:45" ht="12.6" customHeight="1" x14ac:dyDescent="0.3">
      <c r="A2800" s="78"/>
      <c r="B2800" s="78"/>
      <c r="C2800" s="78"/>
      <c r="D2800" s="78"/>
      <c r="E2800" s="78"/>
      <c r="F2800" s="78"/>
      <c r="G2800" s="16" t="s">
        <v>1317</v>
      </c>
      <c r="Z2800" s="109"/>
      <c r="AA2800" s="109"/>
      <c r="AB2800" s="109"/>
      <c r="AC2800" s="109"/>
      <c r="AD2800" s="109"/>
      <c r="AE2800" s="109"/>
      <c r="AF2800" s="109"/>
      <c r="AG2800" s="109"/>
      <c r="AH2800" s="109"/>
      <c r="AI2800" s="109"/>
      <c r="AJ2800" s="109"/>
      <c r="AK2800" s="109"/>
      <c r="AL2800" s="109"/>
      <c r="AM2800" s="109"/>
      <c r="AN2800" s="109"/>
      <c r="AO2800" s="109"/>
      <c r="AP2800" s="109"/>
      <c r="AQ2800" s="109"/>
      <c r="AR2800" s="109"/>
      <c r="AS2800" s="109"/>
    </row>
    <row r="2801" spans="1:45" ht="12.6" customHeight="1" x14ac:dyDescent="0.3">
      <c r="A2801" s="68" t="s">
        <v>1903</v>
      </c>
      <c r="B2801" s="97" t="str">
        <f>" 경    비  :   "&amp;TEXT(I2801,"#,##0"&amp;IF(I2801&lt;&gt;INT(I2801),".###",""))&amp;" / Q = "&amp;TEXT(C2801,"#,##0.0")&amp;""</f>
        <v xml:space="preserve"> 경    비  :   38,320 / Q = 674.1</v>
      </c>
      <c r="C2801" s="99">
        <f>E2801+D2801+F2801</f>
        <v>674.1</v>
      </c>
      <c r="D2801" s="99">
        <f>IF(H2801=0,0,ROUNDDOWN(J2801*H2801,1))</f>
        <v>0</v>
      </c>
      <c r="E2801" s="99">
        <f>IF(H2801=0,0,ROUNDDOWN(K2801*H2801,1))</f>
        <v>0</v>
      </c>
      <c r="F2801" s="99">
        <f>IF(H2801=0,0,ROUNDDOWN(L2801*H2801,1))</f>
        <v>674.1</v>
      </c>
      <c r="G2801" s="16" t="s">
        <v>1902</v>
      </c>
      <c r="H2801" s="105">
        <f>AC2801</f>
        <v>1.7593244194229415E-2</v>
      </c>
      <c r="I2801" s="106">
        <f>K2801+J2801+L2801</f>
        <v>38320</v>
      </c>
      <c r="L2801" s="39">
        <f>중기목록표!H20</f>
        <v>38320</v>
      </c>
      <c r="M2801" s="20" t="s">
        <v>1899</v>
      </c>
      <c r="N2801" s="20" t="s">
        <v>1332</v>
      </c>
      <c r="X2801" s="108" t="str">
        <f>중기목록표!B20&amp;" / "&amp;중기목록표!C20</f>
        <v>불도우저19ton / (암)</v>
      </c>
      <c r="Y2801" s="19" t="str">
        <f ca="1">HYPERLINK("#"&amp;중기목록표!J2&amp;"!A"&amp;ROW(중기목록표!A20),"중기   17 →")</f>
        <v>중기   17 →</v>
      </c>
      <c r="Z2801" s="20" t="s">
        <v>1393</v>
      </c>
      <c r="AA2801" s="112" t="str">
        <f>AJ2794</f>
        <v>56.84</v>
      </c>
      <c r="AB2801" s="20" t="s">
        <v>1326</v>
      </c>
      <c r="AC2801" s="113">
        <f>1/AJ2794</f>
        <v>1.7593244194229415E-2</v>
      </c>
      <c r="AD2801" s="109"/>
      <c r="AE2801" s="109"/>
      <c r="AF2801" s="109"/>
      <c r="AG2801" s="109"/>
      <c r="AH2801" s="109"/>
      <c r="AI2801" s="109"/>
      <c r="AJ2801" s="109"/>
      <c r="AK2801" s="109"/>
      <c r="AL2801" s="109"/>
      <c r="AM2801" s="109"/>
      <c r="AN2801" s="109"/>
      <c r="AO2801" s="109"/>
      <c r="AP2801" s="109"/>
      <c r="AQ2801" s="109"/>
      <c r="AR2801" s="109"/>
      <c r="AS2801" s="109"/>
    </row>
    <row r="2802" spans="1:45" ht="12.6" customHeight="1" x14ac:dyDescent="0.3">
      <c r="A2802" s="78"/>
      <c r="B2802" s="78"/>
      <c r="C2802" s="78"/>
      <c r="D2802" s="78"/>
      <c r="E2802" s="78"/>
      <c r="F2802" s="78"/>
      <c r="G2802" s="16" t="s">
        <v>1317</v>
      </c>
      <c r="Z2802" s="109"/>
      <c r="AA2802" s="109"/>
      <c r="AB2802" s="109"/>
      <c r="AC2802" s="109"/>
      <c r="AD2802" s="109"/>
      <c r="AE2802" s="109"/>
      <c r="AF2802" s="109"/>
      <c r="AG2802" s="109"/>
      <c r="AH2802" s="109"/>
      <c r="AI2802" s="109"/>
      <c r="AJ2802" s="109"/>
      <c r="AK2802" s="109"/>
      <c r="AL2802" s="109"/>
      <c r="AM2802" s="109"/>
      <c r="AN2802" s="109"/>
      <c r="AO2802" s="109"/>
      <c r="AP2802" s="109"/>
      <c r="AQ2802" s="109"/>
      <c r="AR2802" s="109"/>
      <c r="AS2802" s="109"/>
    </row>
    <row r="2803" spans="1:45" ht="12.6" customHeight="1" x14ac:dyDescent="0.3">
      <c r="A2803" s="78"/>
      <c r="B2803" s="78"/>
      <c r="C2803" s="78"/>
      <c r="D2803" s="78"/>
      <c r="E2803" s="78"/>
      <c r="F2803" s="78"/>
      <c r="G2803" s="16" t="s">
        <v>1317</v>
      </c>
      <c r="Z2803" s="109"/>
      <c r="AA2803" s="109"/>
      <c r="AB2803" s="109"/>
      <c r="AC2803" s="109"/>
      <c r="AD2803" s="109"/>
      <c r="AE2803" s="109"/>
      <c r="AF2803" s="109"/>
      <c r="AG2803" s="109"/>
      <c r="AH2803" s="109"/>
      <c r="AI2803" s="109"/>
      <c r="AJ2803" s="109"/>
      <c r="AK2803" s="109"/>
      <c r="AL2803" s="109"/>
      <c r="AM2803" s="109"/>
      <c r="AN2803" s="109"/>
      <c r="AO2803" s="109"/>
      <c r="AP2803" s="109"/>
      <c r="AQ2803" s="109"/>
      <c r="AR2803" s="109"/>
      <c r="AS2803" s="109"/>
    </row>
    <row r="2804" spans="1:45" ht="12.6" customHeight="1" x14ac:dyDescent="0.3">
      <c r="A2804" s="68"/>
      <c r="B2804" s="77" t="s">
        <v>1331</v>
      </c>
      <c r="C2804" s="100">
        <f>E2804+D2804+F2804</f>
        <v>2302.9</v>
      </c>
      <c r="D2804" s="100">
        <f>SUMIF(N2772:N2803,M2804,D2772:D2803)</f>
        <v>979.9</v>
      </c>
      <c r="E2804" s="100">
        <f>SUMIF(N2772:N2803,M2804,E2772:E2803)</f>
        <v>648.9</v>
      </c>
      <c r="F2804" s="100">
        <f>SUMIF(N2772:N2803,M2804,F2772:F2803)</f>
        <v>674.1</v>
      </c>
      <c r="G2804" s="16" t="s">
        <v>1415</v>
      </c>
      <c r="M2804" s="20" t="s">
        <v>1332</v>
      </c>
      <c r="N2804" s="20" t="s">
        <v>1128</v>
      </c>
      <c r="Z2804" s="109"/>
      <c r="AA2804" s="109"/>
      <c r="AB2804" s="109"/>
      <c r="AC2804" s="109"/>
      <c r="AD2804" s="109"/>
      <c r="AE2804" s="109"/>
      <c r="AF2804" s="109"/>
      <c r="AG2804" s="109"/>
      <c r="AH2804" s="109"/>
      <c r="AI2804" s="109"/>
      <c r="AJ2804" s="109"/>
      <c r="AK2804" s="109"/>
      <c r="AL2804" s="109"/>
      <c r="AM2804" s="109"/>
      <c r="AN2804" s="109"/>
      <c r="AO2804" s="109"/>
      <c r="AP2804" s="109"/>
      <c r="AQ2804" s="109"/>
      <c r="AR2804" s="109"/>
      <c r="AS2804" s="109"/>
    </row>
    <row r="2805" spans="1:45" ht="12.6" customHeight="1" x14ac:dyDescent="0.3">
      <c r="A2805" s="78"/>
      <c r="B2805" s="78"/>
      <c r="C2805" s="98"/>
      <c r="D2805" s="98"/>
      <c r="E2805" s="98"/>
      <c r="F2805" s="98"/>
      <c r="Z2805" s="109"/>
      <c r="AA2805" s="109"/>
      <c r="AB2805" s="109"/>
      <c r="AC2805" s="109"/>
      <c r="AD2805" s="109"/>
      <c r="AE2805" s="109"/>
      <c r="AF2805" s="109"/>
      <c r="AG2805" s="109"/>
      <c r="AH2805" s="109"/>
      <c r="AI2805" s="109"/>
      <c r="AJ2805" s="109"/>
      <c r="AK2805" s="109"/>
      <c r="AL2805" s="109"/>
      <c r="AM2805" s="109"/>
      <c r="AN2805" s="109"/>
      <c r="AO2805" s="109"/>
      <c r="AP2805" s="109"/>
      <c r="AQ2805" s="109"/>
      <c r="AR2805" s="109"/>
      <c r="AS2805" s="109"/>
    </row>
    <row r="2806" spans="1:45" ht="12.6" customHeight="1" x14ac:dyDescent="0.3">
      <c r="A2806" s="78"/>
      <c r="B2806" s="78"/>
      <c r="C2806" s="78"/>
      <c r="D2806" s="78"/>
      <c r="E2806" s="78"/>
      <c r="F2806" s="78"/>
      <c r="Z2806" s="109"/>
      <c r="AA2806" s="109"/>
      <c r="AB2806" s="109"/>
      <c r="AC2806" s="109"/>
      <c r="AD2806" s="109"/>
      <c r="AE2806" s="109"/>
      <c r="AF2806" s="109"/>
      <c r="AG2806" s="109"/>
      <c r="AH2806" s="109"/>
      <c r="AI2806" s="109"/>
      <c r="AJ2806" s="109"/>
      <c r="AK2806" s="109"/>
      <c r="AL2806" s="109"/>
      <c r="AM2806" s="109"/>
      <c r="AN2806" s="109"/>
      <c r="AO2806" s="109"/>
      <c r="AP2806" s="109"/>
      <c r="AQ2806" s="109"/>
      <c r="AR2806" s="109"/>
      <c r="AS2806" s="109"/>
    </row>
    <row r="2807" spans="1:45" ht="12.6" customHeight="1" x14ac:dyDescent="0.3">
      <c r="A2807" s="78"/>
      <c r="B2807" s="78"/>
      <c r="C2807" s="78"/>
      <c r="D2807" s="78"/>
      <c r="E2807" s="78"/>
      <c r="F2807" s="78"/>
      <c r="Z2807" s="109"/>
      <c r="AA2807" s="109"/>
      <c r="AB2807" s="109"/>
      <c r="AC2807" s="109"/>
      <c r="AD2807" s="109"/>
      <c r="AE2807" s="109"/>
      <c r="AF2807" s="109"/>
      <c r="AG2807" s="109"/>
      <c r="AH2807" s="109"/>
      <c r="AI2807" s="109"/>
      <c r="AJ2807" s="109"/>
      <c r="AK2807" s="109"/>
      <c r="AL2807" s="109"/>
      <c r="AM2807" s="109"/>
      <c r="AN2807" s="109"/>
      <c r="AO2807" s="109"/>
      <c r="AP2807" s="109"/>
      <c r="AQ2807" s="109"/>
      <c r="AR2807" s="109"/>
      <c r="AS2807" s="109"/>
    </row>
    <row r="2808" spans="1:45" ht="12.6" customHeight="1" x14ac:dyDescent="0.3">
      <c r="A2808" s="78"/>
      <c r="B2808" s="78"/>
      <c r="C2808" s="78"/>
      <c r="D2808" s="78"/>
      <c r="E2808" s="78"/>
      <c r="F2808" s="78"/>
      <c r="Z2808" s="109"/>
      <c r="AA2808" s="109"/>
      <c r="AB2808" s="109"/>
      <c r="AC2808" s="109"/>
      <c r="AD2808" s="109"/>
      <c r="AE2808" s="109"/>
      <c r="AF2808" s="109"/>
      <c r="AG2808" s="109"/>
      <c r="AH2808" s="109"/>
      <c r="AI2808" s="109"/>
      <c r="AJ2808" s="109"/>
      <c r="AK2808" s="109"/>
      <c r="AL2808" s="109"/>
      <c r="AM2808" s="109"/>
      <c r="AN2808" s="109"/>
      <c r="AO2808" s="109"/>
      <c r="AP2808" s="109"/>
      <c r="AQ2808" s="109"/>
      <c r="AR2808" s="109"/>
      <c r="AS2808" s="109"/>
    </row>
    <row r="2809" spans="1:45" ht="12.6" customHeight="1" x14ac:dyDescent="0.3">
      <c r="A2809" s="78"/>
      <c r="B2809" s="78"/>
      <c r="C2809" s="78"/>
      <c r="D2809" s="78"/>
      <c r="E2809" s="78"/>
      <c r="F2809" s="78"/>
      <c r="Z2809" s="109"/>
      <c r="AA2809" s="109"/>
      <c r="AB2809" s="109"/>
      <c r="AC2809" s="109"/>
      <c r="AD2809" s="109"/>
      <c r="AE2809" s="109"/>
      <c r="AF2809" s="109"/>
      <c r="AG2809" s="109"/>
      <c r="AH2809" s="109"/>
      <c r="AI2809" s="109"/>
      <c r="AJ2809" s="109"/>
      <c r="AK2809" s="109"/>
      <c r="AL2809" s="109"/>
      <c r="AM2809" s="109"/>
      <c r="AN2809" s="109"/>
      <c r="AO2809" s="109"/>
      <c r="AP2809" s="109"/>
      <c r="AQ2809" s="109"/>
      <c r="AR2809" s="109"/>
      <c r="AS2809" s="109"/>
    </row>
    <row r="2810" spans="1:45" ht="12.6" customHeight="1" x14ac:dyDescent="0.3">
      <c r="A2810" s="78"/>
      <c r="B2810" s="78"/>
      <c r="C2810" s="78"/>
      <c r="D2810" s="78"/>
      <c r="E2810" s="78"/>
      <c r="F2810" s="78"/>
      <c r="Z2810" s="109"/>
      <c r="AA2810" s="109"/>
      <c r="AB2810" s="109"/>
      <c r="AC2810" s="109"/>
      <c r="AD2810" s="109"/>
      <c r="AE2810" s="109"/>
      <c r="AF2810" s="109"/>
      <c r="AG2810" s="109"/>
      <c r="AH2810" s="109"/>
      <c r="AI2810" s="109"/>
      <c r="AJ2810" s="109"/>
      <c r="AK2810" s="109"/>
      <c r="AL2810" s="109"/>
      <c r="AM2810" s="109"/>
      <c r="AN2810" s="109"/>
      <c r="AO2810" s="109"/>
      <c r="AP2810" s="109"/>
      <c r="AQ2810" s="109"/>
      <c r="AR2810" s="109"/>
      <c r="AS2810" s="109"/>
    </row>
    <row r="2811" spans="1:45" ht="12.6" customHeight="1" x14ac:dyDescent="0.3">
      <c r="A2811" s="78"/>
      <c r="B2811" s="78"/>
      <c r="C2811" s="78"/>
      <c r="D2811" s="78"/>
      <c r="E2811" s="78"/>
      <c r="F2811" s="78"/>
      <c r="Z2811" s="109"/>
      <c r="AA2811" s="109"/>
      <c r="AB2811" s="109"/>
      <c r="AC2811" s="109"/>
      <c r="AD2811" s="109"/>
      <c r="AE2811" s="109"/>
      <c r="AF2811" s="109"/>
      <c r="AG2811" s="109"/>
      <c r="AH2811" s="109"/>
      <c r="AI2811" s="109"/>
      <c r="AJ2811" s="109"/>
      <c r="AK2811" s="109"/>
      <c r="AL2811" s="109"/>
      <c r="AM2811" s="109"/>
      <c r="AN2811" s="109"/>
      <c r="AO2811" s="109"/>
      <c r="AP2811" s="109"/>
      <c r="AQ2811" s="109"/>
      <c r="AR2811" s="109"/>
      <c r="AS2811" s="109"/>
    </row>
    <row r="2812" spans="1:45" ht="12.6" customHeight="1" x14ac:dyDescent="0.3">
      <c r="A2812" s="78"/>
      <c r="B2812" s="78"/>
      <c r="C2812" s="78"/>
      <c r="D2812" s="78"/>
      <c r="E2812" s="78"/>
      <c r="F2812" s="78"/>
      <c r="Z2812" s="109"/>
      <c r="AA2812" s="109"/>
      <c r="AB2812" s="109"/>
      <c r="AC2812" s="109"/>
      <c r="AD2812" s="109"/>
      <c r="AE2812" s="109"/>
      <c r="AF2812" s="109"/>
      <c r="AG2812" s="109"/>
      <c r="AH2812" s="109"/>
      <c r="AI2812" s="109"/>
      <c r="AJ2812" s="109"/>
      <c r="AK2812" s="109"/>
      <c r="AL2812" s="109"/>
      <c r="AM2812" s="109"/>
      <c r="AN2812" s="109"/>
      <c r="AO2812" s="109"/>
      <c r="AP2812" s="109"/>
      <c r="AQ2812" s="109"/>
      <c r="AR2812" s="109"/>
      <c r="AS2812" s="109"/>
    </row>
    <row r="2813" spans="1:45" ht="12.6" customHeight="1" x14ac:dyDescent="0.3">
      <c r="A2813" s="78"/>
      <c r="B2813" s="78"/>
      <c r="C2813" s="78"/>
      <c r="D2813" s="78"/>
      <c r="E2813" s="78"/>
      <c r="F2813" s="78"/>
      <c r="Z2813" s="109"/>
      <c r="AA2813" s="109"/>
      <c r="AB2813" s="109"/>
      <c r="AC2813" s="109"/>
      <c r="AD2813" s="109"/>
      <c r="AE2813" s="109"/>
      <c r="AF2813" s="109"/>
      <c r="AG2813" s="109"/>
      <c r="AH2813" s="109"/>
      <c r="AI2813" s="109"/>
      <c r="AJ2813" s="109"/>
      <c r="AK2813" s="109"/>
      <c r="AL2813" s="109"/>
      <c r="AM2813" s="109"/>
      <c r="AN2813" s="109"/>
      <c r="AO2813" s="109"/>
      <c r="AP2813" s="109"/>
      <c r="AQ2813" s="109"/>
      <c r="AR2813" s="109"/>
      <c r="AS2813" s="109"/>
    </row>
    <row r="2814" spans="1:45" ht="12.6" customHeight="1" x14ac:dyDescent="0.3">
      <c r="A2814" s="78"/>
      <c r="B2814" s="78"/>
      <c r="C2814" s="78"/>
      <c r="D2814" s="78"/>
      <c r="E2814" s="78"/>
      <c r="F2814" s="78"/>
      <c r="Z2814" s="109"/>
      <c r="AA2814" s="109"/>
      <c r="AB2814" s="109"/>
      <c r="AC2814" s="109"/>
      <c r="AD2814" s="109"/>
      <c r="AE2814" s="109"/>
      <c r="AF2814" s="109"/>
      <c r="AG2814" s="109"/>
      <c r="AH2814" s="109"/>
      <c r="AI2814" s="109"/>
      <c r="AJ2814" s="109"/>
      <c r="AK2814" s="109"/>
      <c r="AL2814" s="109"/>
      <c r="AM2814" s="109"/>
      <c r="AN2814" s="109"/>
      <c r="AO2814" s="109"/>
      <c r="AP2814" s="109"/>
      <c r="AQ2814" s="109"/>
      <c r="AR2814" s="109"/>
      <c r="AS2814" s="109"/>
    </row>
    <row r="2815" spans="1:45" ht="12.6" customHeight="1" x14ac:dyDescent="0.3">
      <c r="A2815" s="78"/>
      <c r="B2815" s="78"/>
      <c r="C2815" s="78"/>
      <c r="D2815" s="78"/>
      <c r="E2815" s="78"/>
      <c r="F2815" s="78"/>
      <c r="Z2815" s="109"/>
      <c r="AA2815" s="109"/>
      <c r="AB2815" s="109"/>
      <c r="AC2815" s="109"/>
      <c r="AD2815" s="109"/>
      <c r="AE2815" s="109"/>
      <c r="AF2815" s="109"/>
      <c r="AG2815" s="109"/>
      <c r="AH2815" s="109"/>
      <c r="AI2815" s="109"/>
      <c r="AJ2815" s="109"/>
      <c r="AK2815" s="109"/>
      <c r="AL2815" s="109"/>
      <c r="AM2815" s="109"/>
      <c r="AN2815" s="109"/>
      <c r="AO2815" s="109"/>
      <c r="AP2815" s="109"/>
      <c r="AQ2815" s="109"/>
      <c r="AR2815" s="109"/>
      <c r="AS2815" s="109"/>
    </row>
    <row r="2816" spans="1:45" ht="12.6" customHeight="1" x14ac:dyDescent="0.3">
      <c r="A2816" s="78"/>
      <c r="B2816" s="78"/>
      <c r="C2816" s="78"/>
      <c r="D2816" s="78"/>
      <c r="E2816" s="78"/>
      <c r="F2816" s="78"/>
      <c r="Z2816" s="109"/>
      <c r="AA2816" s="109"/>
      <c r="AB2816" s="109"/>
      <c r="AC2816" s="109"/>
      <c r="AD2816" s="109"/>
      <c r="AE2816" s="109"/>
      <c r="AF2816" s="109"/>
      <c r="AG2816" s="109"/>
      <c r="AH2816" s="109"/>
      <c r="AI2816" s="109"/>
      <c r="AJ2816" s="109"/>
      <c r="AK2816" s="109"/>
      <c r="AL2816" s="109"/>
      <c r="AM2816" s="109"/>
      <c r="AN2816" s="109"/>
      <c r="AO2816" s="109"/>
      <c r="AP2816" s="109"/>
      <c r="AQ2816" s="109"/>
      <c r="AR2816" s="109"/>
      <c r="AS2816" s="109"/>
    </row>
    <row r="2817" spans="1:45" ht="12.6" customHeight="1" x14ac:dyDescent="0.3">
      <c r="A2817" s="78"/>
      <c r="B2817" s="78"/>
      <c r="C2817" s="78"/>
      <c r="D2817" s="78"/>
      <c r="E2817" s="78"/>
      <c r="F2817" s="78"/>
      <c r="Z2817" s="109"/>
      <c r="AA2817" s="109"/>
      <c r="AB2817" s="109"/>
      <c r="AC2817" s="109"/>
      <c r="AD2817" s="109"/>
      <c r="AE2817" s="109"/>
      <c r="AF2817" s="109"/>
      <c r="AG2817" s="109"/>
      <c r="AH2817" s="109"/>
      <c r="AI2817" s="109"/>
      <c r="AJ2817" s="109"/>
      <c r="AK2817" s="109"/>
      <c r="AL2817" s="109"/>
      <c r="AM2817" s="109"/>
      <c r="AN2817" s="109"/>
      <c r="AO2817" s="109"/>
      <c r="AP2817" s="109"/>
      <c r="AQ2817" s="109"/>
      <c r="AR2817" s="109"/>
      <c r="AS2817" s="109"/>
    </row>
    <row r="2818" spans="1:45" ht="12.6" customHeight="1" x14ac:dyDescent="0.3">
      <c r="A2818" s="78"/>
      <c r="B2818" s="78"/>
      <c r="C2818" s="78"/>
      <c r="D2818" s="78"/>
      <c r="E2818" s="78"/>
      <c r="F2818" s="78"/>
      <c r="Z2818" s="109"/>
      <c r="AA2818" s="109"/>
      <c r="AB2818" s="109"/>
      <c r="AC2818" s="109"/>
      <c r="AD2818" s="109"/>
      <c r="AE2818" s="109"/>
      <c r="AF2818" s="109"/>
      <c r="AG2818" s="109"/>
      <c r="AH2818" s="109"/>
      <c r="AI2818" s="109"/>
      <c r="AJ2818" s="109"/>
      <c r="AK2818" s="109"/>
      <c r="AL2818" s="109"/>
      <c r="AM2818" s="109"/>
      <c r="AN2818" s="109"/>
      <c r="AO2818" s="109"/>
      <c r="AP2818" s="109"/>
      <c r="AQ2818" s="109"/>
      <c r="AR2818" s="109"/>
      <c r="AS2818" s="109"/>
    </row>
    <row r="2819" spans="1:45" ht="12.6" customHeight="1" x14ac:dyDescent="0.3">
      <c r="A2819" s="78"/>
      <c r="B2819" s="78"/>
      <c r="C2819" s="78"/>
      <c r="D2819" s="78"/>
      <c r="E2819" s="78"/>
      <c r="F2819" s="78"/>
      <c r="Z2819" s="109"/>
      <c r="AA2819" s="109"/>
      <c r="AB2819" s="109"/>
      <c r="AC2819" s="109"/>
      <c r="AD2819" s="109"/>
      <c r="AE2819" s="109"/>
      <c r="AF2819" s="109"/>
      <c r="AG2819" s="109"/>
      <c r="AH2819" s="109"/>
      <c r="AI2819" s="109"/>
      <c r="AJ2819" s="109"/>
      <c r="AK2819" s="109"/>
      <c r="AL2819" s="109"/>
      <c r="AM2819" s="109"/>
      <c r="AN2819" s="109"/>
      <c r="AO2819" s="109"/>
      <c r="AP2819" s="109"/>
      <c r="AQ2819" s="109"/>
      <c r="AR2819" s="109"/>
      <c r="AS2819" s="109"/>
    </row>
    <row r="2820" spans="1:45" ht="12.6" customHeight="1" x14ac:dyDescent="0.3">
      <c r="A2820" s="78"/>
      <c r="B2820" s="78"/>
      <c r="C2820" s="78"/>
      <c r="D2820" s="78"/>
      <c r="E2820" s="78"/>
      <c r="F2820" s="78"/>
      <c r="Z2820" s="109"/>
      <c r="AA2820" s="109"/>
      <c r="AB2820" s="109"/>
      <c r="AC2820" s="109"/>
      <c r="AD2820" s="109"/>
      <c r="AE2820" s="109"/>
      <c r="AF2820" s="109"/>
      <c r="AG2820" s="109"/>
      <c r="AH2820" s="109"/>
      <c r="AI2820" s="109"/>
      <c r="AJ2820" s="109"/>
      <c r="AK2820" s="109"/>
      <c r="AL2820" s="109"/>
      <c r="AM2820" s="109"/>
      <c r="AN2820" s="109"/>
      <c r="AO2820" s="109"/>
      <c r="AP2820" s="109"/>
      <c r="AQ2820" s="109"/>
      <c r="AR2820" s="109"/>
      <c r="AS2820" s="109"/>
    </row>
    <row r="2821" spans="1:45" ht="12.6" customHeight="1" x14ac:dyDescent="0.3">
      <c r="A2821" s="78"/>
      <c r="B2821" s="78"/>
      <c r="C2821" s="78"/>
      <c r="D2821" s="78"/>
      <c r="E2821" s="78"/>
      <c r="F2821" s="78"/>
      <c r="Z2821" s="109"/>
      <c r="AA2821" s="109"/>
      <c r="AB2821" s="109"/>
      <c r="AC2821" s="109"/>
      <c r="AD2821" s="109"/>
      <c r="AE2821" s="109"/>
      <c r="AF2821" s="109"/>
      <c r="AG2821" s="109"/>
      <c r="AH2821" s="109"/>
      <c r="AI2821" s="109"/>
      <c r="AJ2821" s="109"/>
      <c r="AK2821" s="109"/>
      <c r="AL2821" s="109"/>
      <c r="AM2821" s="109"/>
      <c r="AN2821" s="109"/>
      <c r="AO2821" s="109"/>
      <c r="AP2821" s="109"/>
      <c r="AQ2821" s="109"/>
      <c r="AR2821" s="109"/>
      <c r="AS2821" s="109"/>
    </row>
    <row r="2822" spans="1:45" ht="12.6" customHeight="1" x14ac:dyDescent="0.3">
      <c r="A2822" s="78"/>
      <c r="B2822" s="78"/>
      <c r="C2822" s="78"/>
      <c r="D2822" s="78"/>
      <c r="E2822" s="78"/>
      <c r="F2822" s="78"/>
      <c r="Z2822" s="109"/>
      <c r="AA2822" s="109"/>
      <c r="AB2822" s="109"/>
      <c r="AC2822" s="109"/>
      <c r="AD2822" s="109"/>
      <c r="AE2822" s="109"/>
      <c r="AF2822" s="109"/>
      <c r="AG2822" s="109"/>
      <c r="AH2822" s="109"/>
      <c r="AI2822" s="109"/>
      <c r="AJ2822" s="109"/>
      <c r="AK2822" s="109"/>
      <c r="AL2822" s="109"/>
      <c r="AM2822" s="109"/>
      <c r="AN2822" s="109"/>
      <c r="AO2822" s="109"/>
      <c r="AP2822" s="109"/>
      <c r="AQ2822" s="109"/>
      <c r="AR2822" s="109"/>
      <c r="AS2822" s="109"/>
    </row>
    <row r="2823" spans="1:45" ht="12.6" customHeight="1" x14ac:dyDescent="0.3">
      <c r="A2823" s="78"/>
      <c r="B2823" s="78"/>
      <c r="C2823" s="78"/>
      <c r="D2823" s="78"/>
      <c r="E2823" s="78"/>
      <c r="F2823" s="78"/>
      <c r="Z2823" s="109"/>
      <c r="AA2823" s="109"/>
      <c r="AB2823" s="109"/>
      <c r="AC2823" s="109"/>
      <c r="AD2823" s="109"/>
      <c r="AE2823" s="109"/>
      <c r="AF2823" s="109"/>
      <c r="AG2823" s="109"/>
      <c r="AH2823" s="109"/>
      <c r="AI2823" s="109"/>
      <c r="AJ2823" s="109"/>
      <c r="AK2823" s="109"/>
      <c r="AL2823" s="109"/>
      <c r="AM2823" s="109"/>
      <c r="AN2823" s="109"/>
      <c r="AO2823" s="109"/>
      <c r="AP2823" s="109"/>
      <c r="AQ2823" s="109"/>
      <c r="AR2823" s="109"/>
      <c r="AS2823" s="109"/>
    </row>
    <row r="2824" spans="1:45" ht="12.6" customHeight="1" x14ac:dyDescent="0.3">
      <c r="A2824" s="78"/>
      <c r="B2824" s="78"/>
      <c r="C2824" s="78"/>
      <c r="D2824" s="78"/>
      <c r="E2824" s="78"/>
      <c r="F2824" s="78"/>
      <c r="Z2824" s="109"/>
      <c r="AA2824" s="109"/>
      <c r="AB2824" s="109"/>
      <c r="AC2824" s="109"/>
      <c r="AD2824" s="109"/>
      <c r="AE2824" s="109"/>
      <c r="AF2824" s="109"/>
      <c r="AG2824" s="109"/>
      <c r="AH2824" s="109"/>
      <c r="AI2824" s="109"/>
      <c r="AJ2824" s="109"/>
      <c r="AK2824" s="109"/>
      <c r="AL2824" s="109"/>
      <c r="AM2824" s="109"/>
      <c r="AN2824" s="109"/>
      <c r="AO2824" s="109"/>
      <c r="AP2824" s="109"/>
      <c r="AQ2824" s="109"/>
      <c r="AR2824" s="109"/>
      <c r="AS2824" s="109"/>
    </row>
    <row r="2825" spans="1:45" ht="12.6" customHeight="1" x14ac:dyDescent="0.3">
      <c r="A2825" s="78"/>
      <c r="B2825" s="78"/>
      <c r="C2825" s="78"/>
      <c r="D2825" s="78"/>
      <c r="E2825" s="78"/>
      <c r="F2825" s="78"/>
      <c r="Z2825" s="109"/>
      <c r="AA2825" s="109"/>
      <c r="AB2825" s="109"/>
      <c r="AC2825" s="109"/>
      <c r="AD2825" s="109"/>
      <c r="AE2825" s="109"/>
      <c r="AF2825" s="109"/>
      <c r="AG2825" s="109"/>
      <c r="AH2825" s="109"/>
      <c r="AI2825" s="109"/>
      <c r="AJ2825" s="109"/>
      <c r="AK2825" s="109"/>
      <c r="AL2825" s="109"/>
      <c r="AM2825" s="109"/>
      <c r="AN2825" s="109"/>
      <c r="AO2825" s="109"/>
      <c r="AP2825" s="109"/>
      <c r="AQ2825" s="109"/>
      <c r="AR2825" s="109"/>
      <c r="AS2825" s="109"/>
    </row>
    <row r="2826" spans="1:45" ht="12.6" customHeight="1" x14ac:dyDescent="0.3">
      <c r="A2826" s="78"/>
      <c r="B2826" s="78"/>
      <c r="C2826" s="78"/>
      <c r="D2826" s="78"/>
      <c r="E2826" s="78"/>
      <c r="F2826" s="78"/>
      <c r="Z2826" s="109"/>
      <c r="AA2826" s="109"/>
      <c r="AB2826" s="109"/>
      <c r="AC2826" s="109"/>
      <c r="AD2826" s="109"/>
      <c r="AE2826" s="109"/>
      <c r="AF2826" s="109"/>
      <c r="AG2826" s="109"/>
      <c r="AH2826" s="109"/>
      <c r="AI2826" s="109"/>
      <c r="AJ2826" s="109"/>
      <c r="AK2826" s="109"/>
      <c r="AL2826" s="109"/>
      <c r="AM2826" s="109"/>
      <c r="AN2826" s="109"/>
      <c r="AO2826" s="109"/>
      <c r="AP2826" s="109"/>
      <c r="AQ2826" s="109"/>
      <c r="AR2826" s="109"/>
      <c r="AS2826" s="109"/>
    </row>
    <row r="2827" spans="1:45" ht="12.6" customHeight="1" x14ac:dyDescent="0.3">
      <c r="A2827" s="78"/>
      <c r="B2827" s="78"/>
      <c r="C2827" s="78"/>
      <c r="D2827" s="78"/>
      <c r="E2827" s="78"/>
      <c r="F2827" s="78"/>
      <c r="Z2827" s="109"/>
      <c r="AA2827" s="109"/>
      <c r="AB2827" s="109"/>
      <c r="AC2827" s="109"/>
      <c r="AD2827" s="109"/>
      <c r="AE2827" s="109"/>
      <c r="AF2827" s="109"/>
      <c r="AG2827" s="109"/>
      <c r="AH2827" s="109"/>
      <c r="AI2827" s="109"/>
      <c r="AJ2827" s="109"/>
      <c r="AK2827" s="109"/>
      <c r="AL2827" s="109"/>
      <c r="AM2827" s="109"/>
      <c r="AN2827" s="109"/>
      <c r="AO2827" s="109"/>
      <c r="AP2827" s="109"/>
      <c r="AQ2827" s="109"/>
      <c r="AR2827" s="109"/>
      <c r="AS2827" s="109"/>
    </row>
    <row r="2828" spans="1:45" ht="12.6" customHeight="1" x14ac:dyDescent="0.3">
      <c r="A2828" s="78"/>
      <c r="B2828" s="78"/>
      <c r="C2828" s="78"/>
      <c r="D2828" s="78"/>
      <c r="E2828" s="78"/>
      <c r="F2828" s="78"/>
      <c r="Z2828" s="109"/>
      <c r="AA2828" s="109"/>
      <c r="AB2828" s="109"/>
      <c r="AC2828" s="109"/>
      <c r="AD2828" s="109"/>
      <c r="AE2828" s="109"/>
      <c r="AF2828" s="109"/>
      <c r="AG2828" s="109"/>
      <c r="AH2828" s="109"/>
      <c r="AI2828" s="109"/>
      <c r="AJ2828" s="109"/>
      <c r="AK2828" s="109"/>
      <c r="AL2828" s="109"/>
      <c r="AM2828" s="109"/>
      <c r="AN2828" s="109"/>
      <c r="AO2828" s="109"/>
      <c r="AP2828" s="109"/>
      <c r="AQ2828" s="109"/>
      <c r="AR2828" s="109"/>
      <c r="AS2828" s="109"/>
    </row>
    <row r="2829" spans="1:45" ht="12.6" customHeight="1" x14ac:dyDescent="0.3">
      <c r="A2829" s="78"/>
      <c r="B2829" s="78"/>
      <c r="C2829" s="78"/>
      <c r="D2829" s="78"/>
      <c r="E2829" s="78"/>
      <c r="F2829" s="78"/>
      <c r="Z2829" s="109"/>
      <c r="AA2829" s="109"/>
      <c r="AB2829" s="109"/>
      <c r="AC2829" s="109"/>
      <c r="AD2829" s="109"/>
      <c r="AE2829" s="109"/>
      <c r="AF2829" s="109"/>
      <c r="AG2829" s="109"/>
      <c r="AH2829" s="109"/>
      <c r="AI2829" s="109"/>
      <c r="AJ2829" s="109"/>
      <c r="AK2829" s="109"/>
      <c r="AL2829" s="109"/>
      <c r="AM2829" s="109"/>
      <c r="AN2829" s="109"/>
      <c r="AO2829" s="109"/>
      <c r="AP2829" s="109"/>
      <c r="AQ2829" s="109"/>
      <c r="AR2829" s="109"/>
      <c r="AS2829" s="109"/>
    </row>
    <row r="2830" spans="1:45" ht="12.6" customHeight="1" x14ac:dyDescent="0.3">
      <c r="A2830" s="78"/>
      <c r="B2830" s="78"/>
      <c r="C2830" s="78"/>
      <c r="D2830" s="78"/>
      <c r="E2830" s="78"/>
      <c r="F2830" s="78"/>
      <c r="Z2830" s="109"/>
      <c r="AA2830" s="109"/>
      <c r="AB2830" s="109"/>
      <c r="AC2830" s="109"/>
      <c r="AD2830" s="109"/>
      <c r="AE2830" s="109"/>
      <c r="AF2830" s="109"/>
      <c r="AG2830" s="109"/>
      <c r="AH2830" s="109"/>
      <c r="AI2830" s="109"/>
      <c r="AJ2830" s="109"/>
      <c r="AK2830" s="109"/>
      <c r="AL2830" s="109"/>
      <c r="AM2830" s="109"/>
      <c r="AN2830" s="109"/>
      <c r="AO2830" s="109"/>
      <c r="AP2830" s="109"/>
      <c r="AQ2830" s="109"/>
      <c r="AR2830" s="109"/>
      <c r="AS2830" s="109"/>
    </row>
    <row r="2831" spans="1:45" ht="12.6" customHeight="1" x14ac:dyDescent="0.3">
      <c r="A2831" s="78"/>
      <c r="B2831" s="78"/>
      <c r="C2831" s="78"/>
      <c r="D2831" s="78"/>
      <c r="E2831" s="78"/>
      <c r="F2831" s="78"/>
      <c r="Z2831" s="109"/>
      <c r="AA2831" s="109"/>
      <c r="AB2831" s="109"/>
      <c r="AC2831" s="109"/>
      <c r="AD2831" s="109"/>
      <c r="AE2831" s="109"/>
      <c r="AF2831" s="109"/>
      <c r="AG2831" s="109"/>
      <c r="AH2831" s="109"/>
      <c r="AI2831" s="109"/>
      <c r="AJ2831" s="109"/>
      <c r="AK2831" s="109"/>
      <c r="AL2831" s="109"/>
      <c r="AM2831" s="109"/>
      <c r="AN2831" s="109"/>
      <c r="AO2831" s="109"/>
      <c r="AP2831" s="109"/>
      <c r="AQ2831" s="109"/>
      <c r="AR2831" s="109"/>
      <c r="AS2831" s="109"/>
    </row>
    <row r="2832" spans="1:45" ht="12.6" customHeight="1" x14ac:dyDescent="0.3">
      <c r="A2832" s="78"/>
      <c r="B2832" s="78"/>
      <c r="C2832" s="78"/>
      <c r="D2832" s="78"/>
      <c r="E2832" s="78"/>
      <c r="F2832" s="78"/>
      <c r="Z2832" s="109"/>
      <c r="AA2832" s="109"/>
      <c r="AB2832" s="109"/>
      <c r="AC2832" s="109"/>
      <c r="AD2832" s="109"/>
      <c r="AE2832" s="109"/>
      <c r="AF2832" s="109"/>
      <c r="AG2832" s="109"/>
      <c r="AH2832" s="109"/>
      <c r="AI2832" s="109"/>
      <c r="AJ2832" s="109"/>
      <c r="AK2832" s="109"/>
      <c r="AL2832" s="109"/>
      <c r="AM2832" s="109"/>
      <c r="AN2832" s="109"/>
      <c r="AO2832" s="109"/>
      <c r="AP2832" s="109"/>
      <c r="AQ2832" s="109"/>
      <c r="AR2832" s="109"/>
      <c r="AS2832" s="109"/>
    </row>
    <row r="2833" spans="1:45" ht="12.6" customHeight="1" x14ac:dyDescent="0.3">
      <c r="A2833" s="78"/>
      <c r="B2833" s="78"/>
      <c r="C2833" s="78"/>
      <c r="D2833" s="78"/>
      <c r="E2833" s="78"/>
      <c r="F2833" s="78"/>
      <c r="Z2833" s="109"/>
      <c r="AA2833" s="109"/>
      <c r="AB2833" s="109"/>
      <c r="AC2833" s="109"/>
      <c r="AD2833" s="109"/>
      <c r="AE2833" s="109"/>
      <c r="AF2833" s="109"/>
      <c r="AG2833" s="109"/>
      <c r="AH2833" s="109"/>
      <c r="AI2833" s="109"/>
      <c r="AJ2833" s="109"/>
      <c r="AK2833" s="109"/>
      <c r="AL2833" s="109"/>
      <c r="AM2833" s="109"/>
      <c r="AN2833" s="109"/>
      <c r="AO2833" s="109"/>
      <c r="AP2833" s="109"/>
      <c r="AQ2833" s="109"/>
      <c r="AR2833" s="109"/>
      <c r="AS2833" s="109"/>
    </row>
    <row r="2834" spans="1:45" ht="12.6" customHeight="1" x14ac:dyDescent="0.3">
      <c r="A2834" s="78"/>
      <c r="B2834" s="78"/>
      <c r="C2834" s="78"/>
      <c r="D2834" s="78"/>
      <c r="E2834" s="78"/>
      <c r="F2834" s="78"/>
      <c r="Z2834" s="109"/>
      <c r="AA2834" s="109"/>
      <c r="AB2834" s="109"/>
      <c r="AC2834" s="109"/>
      <c r="AD2834" s="109"/>
      <c r="AE2834" s="109"/>
      <c r="AF2834" s="109"/>
      <c r="AG2834" s="109"/>
      <c r="AH2834" s="109"/>
      <c r="AI2834" s="109"/>
      <c r="AJ2834" s="109"/>
      <c r="AK2834" s="109"/>
      <c r="AL2834" s="109"/>
      <c r="AM2834" s="109"/>
      <c r="AN2834" s="109"/>
      <c r="AO2834" s="109"/>
      <c r="AP2834" s="109"/>
      <c r="AQ2834" s="109"/>
      <c r="AR2834" s="109"/>
      <c r="AS2834" s="109"/>
    </row>
    <row r="2835" spans="1:45" ht="12.6" customHeight="1" x14ac:dyDescent="0.3">
      <c r="A2835" s="78"/>
      <c r="B2835" s="78"/>
      <c r="C2835" s="78"/>
      <c r="D2835" s="78"/>
      <c r="E2835" s="78"/>
      <c r="F2835" s="78"/>
      <c r="Z2835" s="109"/>
      <c r="AA2835" s="109"/>
      <c r="AB2835" s="109"/>
      <c r="AC2835" s="109"/>
      <c r="AD2835" s="109"/>
      <c r="AE2835" s="109"/>
      <c r="AF2835" s="109"/>
      <c r="AG2835" s="109"/>
      <c r="AH2835" s="109"/>
      <c r="AI2835" s="109"/>
      <c r="AJ2835" s="109"/>
      <c r="AK2835" s="109"/>
      <c r="AL2835" s="109"/>
      <c r="AM2835" s="109"/>
      <c r="AN2835" s="109"/>
      <c r="AO2835" s="109"/>
      <c r="AP2835" s="109"/>
      <c r="AQ2835" s="109"/>
      <c r="AR2835" s="109"/>
      <c r="AS2835" s="109"/>
    </row>
    <row r="2836" spans="1:45" ht="12.6" customHeight="1" x14ac:dyDescent="0.3">
      <c r="A2836" s="78"/>
      <c r="B2836" s="78"/>
      <c r="C2836" s="78"/>
      <c r="D2836" s="78"/>
      <c r="E2836" s="78"/>
      <c r="F2836" s="78"/>
      <c r="Z2836" s="109"/>
      <c r="AA2836" s="109"/>
      <c r="AB2836" s="109"/>
      <c r="AC2836" s="109"/>
      <c r="AD2836" s="109"/>
      <c r="AE2836" s="109"/>
      <c r="AF2836" s="109"/>
      <c r="AG2836" s="109"/>
      <c r="AH2836" s="109"/>
      <c r="AI2836" s="109"/>
      <c r="AJ2836" s="109"/>
      <c r="AK2836" s="109"/>
      <c r="AL2836" s="109"/>
      <c r="AM2836" s="109"/>
      <c r="AN2836" s="109"/>
      <c r="AO2836" s="109"/>
      <c r="AP2836" s="109"/>
      <c r="AQ2836" s="109"/>
      <c r="AR2836" s="109"/>
      <c r="AS2836" s="109"/>
    </row>
    <row r="2837" spans="1:45" ht="12.6" customHeight="1" x14ac:dyDescent="0.3">
      <c r="A2837" s="78"/>
      <c r="B2837" s="78"/>
      <c r="C2837" s="78"/>
      <c r="D2837" s="78"/>
      <c r="E2837" s="78"/>
      <c r="F2837" s="78"/>
      <c r="Z2837" s="109"/>
      <c r="AA2837" s="109"/>
      <c r="AB2837" s="109"/>
      <c r="AC2837" s="109"/>
      <c r="AD2837" s="109"/>
      <c r="AE2837" s="109"/>
      <c r="AF2837" s="109"/>
      <c r="AG2837" s="109"/>
      <c r="AH2837" s="109"/>
      <c r="AI2837" s="109"/>
      <c r="AJ2837" s="109"/>
      <c r="AK2837" s="109"/>
      <c r="AL2837" s="109"/>
      <c r="AM2837" s="109"/>
      <c r="AN2837" s="109"/>
      <c r="AO2837" s="109"/>
      <c r="AP2837" s="109"/>
      <c r="AQ2837" s="109"/>
      <c r="AR2837" s="109"/>
      <c r="AS2837" s="109"/>
    </row>
    <row r="2838" spans="1:45" ht="12.6" customHeight="1" x14ac:dyDescent="0.3">
      <c r="A2838" s="58"/>
      <c r="B2838" s="58"/>
      <c r="C2838" s="58"/>
      <c r="D2838" s="58"/>
      <c r="E2838" s="58"/>
      <c r="F2838" s="58"/>
      <c r="Z2838" s="109"/>
      <c r="AA2838" s="109"/>
      <c r="AB2838" s="109"/>
      <c r="AC2838" s="109"/>
      <c r="AD2838" s="109"/>
      <c r="AE2838" s="109"/>
      <c r="AF2838" s="109"/>
      <c r="AG2838" s="109"/>
      <c r="AH2838" s="109"/>
      <c r="AI2838" s="109"/>
      <c r="AJ2838" s="109"/>
      <c r="AK2838" s="109"/>
      <c r="AL2838" s="109"/>
      <c r="AM2838" s="109"/>
      <c r="AN2838" s="109"/>
      <c r="AO2838" s="109"/>
      <c r="AP2838" s="109"/>
      <c r="AQ2838" s="109"/>
      <c r="AR2838" s="109"/>
      <c r="AS2838" s="109"/>
    </row>
    <row r="2839" spans="1:45" ht="12.6" customHeight="1" x14ac:dyDescent="0.3">
      <c r="A2839" s="159" t="s">
        <v>1401</v>
      </c>
      <c r="B2839" s="152"/>
      <c r="C2839" s="55">
        <f>E2839+D2839+F2839</f>
        <v>2301</v>
      </c>
      <c r="D2839" s="54">
        <f>ROUNDDOWN(SUMIF(N2772:N2804,M2839,D2772:D2804),0)</f>
        <v>979</v>
      </c>
      <c r="E2839" s="63">
        <f>ROUNDDOWN(SUMIF(N2772:N2804,M2839,E2772:E2804),0)</f>
        <v>648</v>
      </c>
      <c r="F2839" s="55">
        <f>ROUNDDOWN(SUMIF(N2772:N2804,M2839,F2772:F2804),0)</f>
        <v>674</v>
      </c>
      <c r="M2839" s="20" t="s">
        <v>1128</v>
      </c>
      <c r="Z2839" s="109"/>
      <c r="AA2839" s="109"/>
      <c r="AB2839" s="109"/>
      <c r="AC2839" s="109"/>
      <c r="AD2839" s="109"/>
      <c r="AE2839" s="109"/>
      <c r="AF2839" s="109"/>
      <c r="AG2839" s="109"/>
      <c r="AH2839" s="109"/>
      <c r="AI2839" s="109"/>
      <c r="AJ2839" s="109"/>
      <c r="AK2839" s="109"/>
      <c r="AL2839" s="109"/>
      <c r="AM2839" s="109"/>
      <c r="AN2839" s="109"/>
      <c r="AO2839" s="109"/>
      <c r="AP2839" s="109"/>
      <c r="AQ2839" s="109"/>
      <c r="AR2839" s="109"/>
      <c r="AS2839" s="109"/>
    </row>
    <row r="2840" spans="1:45" ht="12.6" customHeight="1" x14ac:dyDescent="0.3">
      <c r="A2840" s="95" t="s">
        <v>324</v>
      </c>
      <c r="B2840" s="96" t="s">
        <v>324</v>
      </c>
      <c r="C2840" s="158">
        <f>C2944</f>
        <v>8068</v>
      </c>
      <c r="D2840" s="158">
        <f>D2944</f>
        <v>5029</v>
      </c>
      <c r="E2840" s="158">
        <f>E2944</f>
        <v>1139</v>
      </c>
      <c r="F2840" s="158">
        <f>F2944</f>
        <v>1900</v>
      </c>
      <c r="G2840" s="36" t="str">
        <f>HYPERLINK("#G"&amp;ROW(G2919),"_x0005_`BDCOD|D02260_x0007_`POSS|"&amp;ROW(G2842)&amp;"_x0007_`POSE|"&amp;ROW(G2919)&amp;"_x0007_`")</f>
        <v>_x0005_`BDCOD|D02260_x0007_`POSS|2842_x0007_`POSE|2919_x0007_`</v>
      </c>
      <c r="Z2840" s="109"/>
      <c r="AA2840" s="109"/>
      <c r="AB2840" s="109"/>
      <c r="AC2840" s="109"/>
      <c r="AD2840" s="109"/>
      <c r="AE2840" s="109"/>
      <c r="AF2840" s="109"/>
      <c r="AG2840" s="109"/>
      <c r="AH2840" s="109"/>
      <c r="AI2840" s="109"/>
      <c r="AJ2840" s="109"/>
      <c r="AK2840" s="109"/>
      <c r="AL2840" s="109"/>
      <c r="AM2840" s="109"/>
      <c r="AN2840" s="109"/>
      <c r="AO2840" s="109"/>
      <c r="AP2840" s="109"/>
      <c r="AQ2840" s="109"/>
      <c r="AR2840" s="109"/>
      <c r="AS2840" s="109"/>
    </row>
    <row r="2841" spans="1:45" ht="12.6" customHeight="1" x14ac:dyDescent="0.3">
      <c r="A2841" s="84"/>
      <c r="B2841" s="96" t="s">
        <v>323</v>
      </c>
      <c r="C2841" s="141"/>
      <c r="D2841" s="141"/>
      <c r="E2841" s="141"/>
      <c r="F2841" s="141"/>
      <c r="M2841" s="20" t="s">
        <v>322</v>
      </c>
      <c r="Z2841" s="109"/>
      <c r="AA2841" s="109"/>
      <c r="AB2841" s="109"/>
      <c r="AC2841" s="109"/>
      <c r="AD2841" s="109"/>
      <c r="AE2841" s="109"/>
      <c r="AF2841" s="109"/>
      <c r="AG2841" s="109"/>
      <c r="AH2841" s="109"/>
      <c r="AI2841" s="109"/>
      <c r="AJ2841" s="109"/>
      <c r="AK2841" s="109"/>
      <c r="AL2841" s="109"/>
      <c r="AM2841" s="109"/>
      <c r="AN2841" s="109"/>
      <c r="AO2841" s="109"/>
      <c r="AP2841" s="109"/>
      <c r="AQ2841" s="109"/>
      <c r="AR2841" s="109"/>
      <c r="AS2841" s="109"/>
    </row>
    <row r="2842" spans="1:45" ht="12.6" customHeight="1" x14ac:dyDescent="0.3">
      <c r="A2842" s="68"/>
      <c r="B2842" s="77" t="s">
        <v>1905</v>
      </c>
      <c r="C2842" s="98"/>
      <c r="D2842" s="98"/>
      <c r="E2842" s="98"/>
      <c r="F2842" s="98"/>
      <c r="G2842" s="16" t="s">
        <v>1904</v>
      </c>
      <c r="Z2842" s="109"/>
      <c r="AA2842" s="109"/>
      <c r="AB2842" s="109"/>
      <c r="AC2842" s="109"/>
      <c r="AD2842" s="109"/>
      <c r="AE2842" s="109"/>
      <c r="AF2842" s="109"/>
      <c r="AG2842" s="109"/>
      <c r="AH2842" s="109"/>
      <c r="AI2842" s="109"/>
      <c r="AJ2842" s="109"/>
      <c r="AK2842" s="109"/>
      <c r="AL2842" s="109"/>
      <c r="AM2842" s="109"/>
      <c r="AN2842" s="109"/>
      <c r="AO2842" s="109"/>
      <c r="AP2842" s="109"/>
      <c r="AQ2842" s="109"/>
      <c r="AR2842" s="109"/>
      <c r="AS2842" s="109"/>
    </row>
    <row r="2843" spans="1:45" ht="12.6" customHeight="1" x14ac:dyDescent="0.3">
      <c r="A2843" s="78"/>
      <c r="B2843" s="78"/>
      <c r="C2843" s="78"/>
      <c r="D2843" s="78"/>
      <c r="E2843" s="78"/>
      <c r="F2843" s="78"/>
      <c r="G2843" s="16" t="s">
        <v>1317</v>
      </c>
      <c r="Z2843" s="109"/>
      <c r="AA2843" s="109"/>
      <c r="AB2843" s="109"/>
      <c r="AC2843" s="109"/>
      <c r="AD2843" s="109"/>
      <c r="AE2843" s="109"/>
      <c r="AF2843" s="109"/>
      <c r="AG2843" s="109"/>
      <c r="AH2843" s="109"/>
      <c r="AI2843" s="109"/>
      <c r="AJ2843" s="109"/>
      <c r="AK2843" s="109"/>
      <c r="AL2843" s="109"/>
      <c r="AM2843" s="109"/>
      <c r="AN2843" s="109"/>
      <c r="AO2843" s="109"/>
      <c r="AP2843" s="109"/>
      <c r="AQ2843" s="109"/>
      <c r="AR2843" s="109"/>
      <c r="AS2843" s="109"/>
    </row>
    <row r="2844" spans="1:45" ht="12.6" customHeight="1" x14ac:dyDescent="0.3">
      <c r="A2844" s="68"/>
      <c r="B2844" s="77" t="s">
        <v>1907</v>
      </c>
      <c r="C2844" s="78"/>
      <c r="D2844" s="78"/>
      <c r="E2844" s="78"/>
      <c r="F2844" s="78"/>
      <c r="G2844" s="16" t="s">
        <v>1906</v>
      </c>
      <c r="Z2844" s="109"/>
      <c r="AA2844" s="109"/>
      <c r="AB2844" s="109"/>
      <c r="AC2844" s="109"/>
      <c r="AD2844" s="109"/>
      <c r="AE2844" s="109"/>
      <c r="AF2844" s="109"/>
      <c r="AG2844" s="109"/>
      <c r="AH2844" s="109"/>
      <c r="AI2844" s="109"/>
      <c r="AJ2844" s="109"/>
      <c r="AK2844" s="109"/>
      <c r="AL2844" s="109"/>
      <c r="AM2844" s="109"/>
      <c r="AN2844" s="109"/>
      <c r="AO2844" s="109"/>
      <c r="AP2844" s="109"/>
      <c r="AQ2844" s="109"/>
      <c r="AR2844" s="109"/>
      <c r="AS2844" s="109"/>
    </row>
    <row r="2845" spans="1:45" ht="12.6" customHeight="1" x14ac:dyDescent="0.3">
      <c r="A2845" s="78"/>
      <c r="B2845" s="78"/>
      <c r="C2845" s="78"/>
      <c r="D2845" s="78"/>
      <c r="E2845" s="78"/>
      <c r="F2845" s="78"/>
      <c r="G2845" s="16" t="s">
        <v>1317</v>
      </c>
      <c r="Z2845" s="109"/>
      <c r="AA2845" s="109"/>
      <c r="AB2845" s="109"/>
      <c r="AC2845" s="109"/>
      <c r="AD2845" s="109"/>
      <c r="AE2845" s="109"/>
      <c r="AF2845" s="109"/>
      <c r="AG2845" s="109"/>
      <c r="AH2845" s="109"/>
      <c r="AI2845" s="109"/>
      <c r="AJ2845" s="109"/>
      <c r="AK2845" s="109"/>
      <c r="AL2845" s="109"/>
      <c r="AM2845" s="109"/>
      <c r="AN2845" s="109"/>
      <c r="AO2845" s="109"/>
      <c r="AP2845" s="109"/>
      <c r="AQ2845" s="109"/>
      <c r="AR2845" s="109"/>
      <c r="AS2845" s="109"/>
    </row>
    <row r="2846" spans="1:45" ht="12.6" customHeight="1" x14ac:dyDescent="0.3">
      <c r="A2846" s="68"/>
      <c r="B2846" s="97" t="str">
        <f>" 운반거리:   L = "&amp;Z2846&amp;" m "</f>
        <v xml:space="preserve"> 운반거리:   L = 0.385 m </v>
      </c>
      <c r="C2846" s="78"/>
      <c r="D2846" s="78"/>
      <c r="E2846" s="78"/>
      <c r="F2846" s="78"/>
      <c r="G2846" s="16" t="s">
        <v>2104</v>
      </c>
      <c r="Z2846" s="110">
        <v>0.38500000000000001</v>
      </c>
      <c r="AA2846" s="20" t="s">
        <v>1326</v>
      </c>
      <c r="AB2846" s="112">
        <f>Z2846</f>
        <v>0.38500000000000001</v>
      </c>
      <c r="AC2846" s="109"/>
      <c r="AD2846" s="109"/>
      <c r="AE2846" s="109"/>
      <c r="AF2846" s="109"/>
      <c r="AG2846" s="109"/>
      <c r="AH2846" s="109"/>
      <c r="AI2846" s="109"/>
      <c r="AJ2846" s="109"/>
      <c r="AK2846" s="109"/>
      <c r="AL2846" s="109"/>
      <c r="AM2846" s="109"/>
      <c r="AN2846" s="109"/>
      <c r="AO2846" s="109"/>
      <c r="AP2846" s="109"/>
      <c r="AQ2846" s="109"/>
      <c r="AR2846" s="109"/>
      <c r="AS2846" s="109"/>
    </row>
    <row r="2847" spans="1:45" ht="12.6" customHeight="1" x14ac:dyDescent="0.3">
      <c r="A2847" s="78"/>
      <c r="B2847" s="78"/>
      <c r="C2847" s="78"/>
      <c r="D2847" s="78"/>
      <c r="E2847" s="78"/>
      <c r="F2847" s="78"/>
      <c r="G2847" s="16" t="s">
        <v>1317</v>
      </c>
      <c r="Z2847" s="109"/>
      <c r="AA2847" s="109"/>
      <c r="AB2847" s="109"/>
      <c r="AC2847" s="109"/>
      <c r="AD2847" s="109"/>
      <c r="AE2847" s="109"/>
      <c r="AF2847" s="109"/>
      <c r="AG2847" s="109"/>
      <c r="AH2847" s="109"/>
      <c r="AI2847" s="109"/>
      <c r="AJ2847" s="109"/>
      <c r="AK2847" s="109"/>
      <c r="AL2847" s="109"/>
      <c r="AM2847" s="109"/>
      <c r="AN2847" s="109"/>
      <c r="AO2847" s="109"/>
      <c r="AP2847" s="109"/>
      <c r="AQ2847" s="109"/>
      <c r="AR2847" s="109"/>
      <c r="AS2847" s="109"/>
    </row>
    <row r="2848" spans="1:45" ht="12.6" customHeight="1" x14ac:dyDescent="0.3">
      <c r="A2848" s="68"/>
      <c r="B2848" s="77" t="s">
        <v>1910</v>
      </c>
      <c r="C2848" s="78"/>
      <c r="D2848" s="78"/>
      <c r="E2848" s="78"/>
      <c r="F2848" s="78"/>
      <c r="G2848" s="16" t="s">
        <v>1909</v>
      </c>
      <c r="Z2848" s="109"/>
      <c r="AA2848" s="109"/>
      <c r="AB2848" s="109"/>
      <c r="AC2848" s="109"/>
      <c r="AD2848" s="109"/>
      <c r="AE2848" s="109"/>
      <c r="AF2848" s="109"/>
      <c r="AG2848" s="109"/>
      <c r="AH2848" s="109"/>
      <c r="AI2848" s="109"/>
      <c r="AJ2848" s="109"/>
      <c r="AK2848" s="109"/>
      <c r="AL2848" s="109"/>
      <c r="AM2848" s="109"/>
      <c r="AN2848" s="109"/>
      <c r="AO2848" s="109"/>
      <c r="AP2848" s="109"/>
      <c r="AQ2848" s="109"/>
      <c r="AR2848" s="109"/>
      <c r="AS2848" s="109"/>
    </row>
    <row r="2849" spans="1:45" ht="12.6" customHeight="1" x14ac:dyDescent="0.3">
      <c r="A2849" s="78"/>
      <c r="B2849" s="78"/>
      <c r="C2849" s="78"/>
      <c r="D2849" s="78"/>
      <c r="E2849" s="78"/>
      <c r="F2849" s="78"/>
      <c r="G2849" s="16" t="s">
        <v>1317</v>
      </c>
      <c r="Z2849" s="109"/>
      <c r="AA2849" s="109"/>
      <c r="AB2849" s="109"/>
      <c r="AC2849" s="109"/>
      <c r="AD2849" s="109"/>
      <c r="AE2849" s="109"/>
      <c r="AF2849" s="109"/>
      <c r="AG2849" s="109"/>
      <c r="AH2849" s="109"/>
      <c r="AI2849" s="109"/>
      <c r="AJ2849" s="109"/>
      <c r="AK2849" s="109"/>
      <c r="AL2849" s="109"/>
      <c r="AM2849" s="109"/>
      <c r="AN2849" s="109"/>
      <c r="AO2849" s="109"/>
      <c r="AP2849" s="109"/>
      <c r="AQ2849" s="109"/>
      <c r="AR2849" s="109"/>
      <c r="AS2849" s="109"/>
    </row>
    <row r="2850" spans="1:45" ht="12.6" customHeight="1" x14ac:dyDescent="0.3">
      <c r="A2850" s="68"/>
      <c r="B2850" s="97" t="str">
        <f>"q (버킷용량) = "&amp;Z2850&amp;" , k (버킷계수) = "&amp;AD2850&amp;""</f>
        <v>q (버킷용량) = 0.7 , k (버킷계수) = 0.7</v>
      </c>
      <c r="C2850" s="78"/>
      <c r="D2850" s="78"/>
      <c r="E2850" s="78"/>
      <c r="F2850" s="78"/>
      <c r="G2850" s="16" t="s">
        <v>1911</v>
      </c>
      <c r="Z2850" s="110">
        <v>0.7</v>
      </c>
      <c r="AA2850" s="20" t="s">
        <v>1326</v>
      </c>
      <c r="AB2850" s="112">
        <f>Z2850</f>
        <v>0.7</v>
      </c>
      <c r="AC2850" s="20" t="s">
        <v>1385</v>
      </c>
      <c r="AD2850" s="110">
        <v>0.7</v>
      </c>
      <c r="AE2850" s="20" t="s">
        <v>1326</v>
      </c>
      <c r="AF2850" s="112">
        <f>AD2850</f>
        <v>0.7</v>
      </c>
      <c r="AG2850" s="20" t="s">
        <v>1385</v>
      </c>
      <c r="AH2850" s="109"/>
      <c r="AI2850" s="109"/>
      <c r="AJ2850" s="109"/>
      <c r="AK2850" s="109"/>
      <c r="AL2850" s="109"/>
      <c r="AM2850" s="109"/>
      <c r="AN2850" s="109"/>
      <c r="AO2850" s="109"/>
      <c r="AP2850" s="109"/>
      <c r="AQ2850" s="109"/>
      <c r="AR2850" s="109"/>
      <c r="AS2850" s="109"/>
    </row>
    <row r="2851" spans="1:45" ht="12.6" customHeight="1" x14ac:dyDescent="0.3">
      <c r="A2851" s="78"/>
      <c r="B2851" s="78"/>
      <c r="C2851" s="78"/>
      <c r="D2851" s="78"/>
      <c r="E2851" s="78"/>
      <c r="F2851" s="78"/>
      <c r="G2851" s="16" t="s">
        <v>1317</v>
      </c>
      <c r="Z2851" s="109"/>
      <c r="AA2851" s="109"/>
      <c r="AB2851" s="109"/>
      <c r="AC2851" s="109"/>
      <c r="AD2851" s="109"/>
      <c r="AE2851" s="109"/>
      <c r="AF2851" s="109"/>
      <c r="AG2851" s="109"/>
      <c r="AH2851" s="109"/>
      <c r="AI2851" s="109"/>
      <c r="AJ2851" s="109"/>
      <c r="AK2851" s="109"/>
      <c r="AL2851" s="109"/>
      <c r="AM2851" s="109"/>
      <c r="AN2851" s="109"/>
      <c r="AO2851" s="109"/>
      <c r="AP2851" s="109"/>
      <c r="AQ2851" s="109"/>
      <c r="AR2851" s="109"/>
      <c r="AS2851" s="109"/>
    </row>
    <row r="2852" spans="1:45" ht="12.6" customHeight="1" x14ac:dyDescent="0.3">
      <c r="A2852" s="68"/>
      <c r="B2852" s="97" t="str">
        <f>"f (토량의체적환산계수) = "&amp;Z2852&amp;"/"&amp;AB2852&amp;" = "&amp;AD2852&amp;""</f>
        <v>f (토량의체적환산계수) = 0.9/1.25 = 0.72</v>
      </c>
      <c r="C2852" s="78"/>
      <c r="D2852" s="78"/>
      <c r="E2852" s="78"/>
      <c r="F2852" s="78"/>
      <c r="G2852" s="16" t="s">
        <v>1912</v>
      </c>
      <c r="Z2852" s="110">
        <v>0.9</v>
      </c>
      <c r="AA2852" s="20" t="s">
        <v>1387</v>
      </c>
      <c r="AB2852" s="110">
        <v>1.25</v>
      </c>
      <c r="AC2852" s="20" t="s">
        <v>1326</v>
      </c>
      <c r="AD2852" s="112" t="str">
        <f>TEXT(ROUND(Z2852/AB2852,2),"0.00")</f>
        <v>0.72</v>
      </c>
      <c r="AE2852" s="109"/>
      <c r="AF2852" s="109"/>
      <c r="AG2852" s="109"/>
      <c r="AH2852" s="109"/>
      <c r="AI2852" s="109"/>
      <c r="AJ2852" s="109"/>
      <c r="AK2852" s="109"/>
      <c r="AL2852" s="109"/>
      <c r="AM2852" s="109"/>
      <c r="AN2852" s="109"/>
      <c r="AO2852" s="109"/>
      <c r="AP2852" s="109"/>
      <c r="AQ2852" s="109"/>
      <c r="AR2852" s="109"/>
      <c r="AS2852" s="109"/>
    </row>
    <row r="2853" spans="1:45" ht="12.6" customHeight="1" x14ac:dyDescent="0.3">
      <c r="A2853" s="78"/>
      <c r="B2853" s="78"/>
      <c r="C2853" s="78"/>
      <c r="D2853" s="78"/>
      <c r="E2853" s="78"/>
      <c r="F2853" s="78"/>
      <c r="G2853" s="16" t="s">
        <v>1317</v>
      </c>
      <c r="Z2853" s="109"/>
      <c r="AA2853" s="109"/>
      <c r="AB2853" s="109"/>
      <c r="AC2853" s="109"/>
      <c r="AD2853" s="109"/>
      <c r="AE2853" s="109"/>
      <c r="AF2853" s="109"/>
      <c r="AG2853" s="109"/>
      <c r="AH2853" s="109"/>
      <c r="AI2853" s="109"/>
      <c r="AJ2853" s="109"/>
      <c r="AK2853" s="109"/>
      <c r="AL2853" s="109"/>
      <c r="AM2853" s="109"/>
      <c r="AN2853" s="109"/>
      <c r="AO2853" s="109"/>
      <c r="AP2853" s="109"/>
      <c r="AQ2853" s="109"/>
      <c r="AR2853" s="109"/>
      <c r="AS2853" s="109"/>
    </row>
    <row r="2854" spans="1:45" ht="12.6" customHeight="1" x14ac:dyDescent="0.3">
      <c r="A2854" s="68"/>
      <c r="B2854" s="97" t="str">
        <f>"E (작업효율) = "&amp;Z2854&amp;" , Cm (1회 사이클 시간(초))  = "&amp;AD2854&amp;"  sec(135) "</f>
        <v xml:space="preserve">E (작업효율) = 0.5 , Cm (1회 사이클 시간(초))  = 20  sec(135) </v>
      </c>
      <c r="C2854" s="78"/>
      <c r="D2854" s="78"/>
      <c r="E2854" s="78"/>
      <c r="F2854" s="78"/>
      <c r="G2854" s="16" t="s">
        <v>1913</v>
      </c>
      <c r="Z2854" s="110">
        <v>0.5</v>
      </c>
      <c r="AA2854" s="20" t="s">
        <v>1326</v>
      </c>
      <c r="AB2854" s="112">
        <f>Z2854</f>
        <v>0.5</v>
      </c>
      <c r="AC2854" s="20" t="s">
        <v>1385</v>
      </c>
      <c r="AD2854" s="111">
        <v>20</v>
      </c>
      <c r="AE2854" s="20" t="s">
        <v>1326</v>
      </c>
      <c r="AF2854" s="112">
        <f>AD2854</f>
        <v>20</v>
      </c>
      <c r="AG2854" s="20" t="s">
        <v>1385</v>
      </c>
      <c r="AH2854" s="109"/>
      <c r="AI2854" s="109"/>
      <c r="AJ2854" s="109"/>
      <c r="AK2854" s="109"/>
      <c r="AL2854" s="109"/>
      <c r="AM2854" s="109"/>
      <c r="AN2854" s="109"/>
      <c r="AO2854" s="109"/>
      <c r="AP2854" s="109"/>
      <c r="AQ2854" s="109"/>
      <c r="AR2854" s="109"/>
      <c r="AS2854" s="109"/>
    </row>
    <row r="2855" spans="1:45" ht="12.6" customHeight="1" x14ac:dyDescent="0.3">
      <c r="A2855" s="78"/>
      <c r="B2855" s="78"/>
      <c r="C2855" s="78"/>
      <c r="D2855" s="78"/>
      <c r="E2855" s="78"/>
      <c r="F2855" s="78"/>
      <c r="G2855" s="16" t="s">
        <v>1317</v>
      </c>
      <c r="Z2855" s="109"/>
      <c r="AA2855" s="109"/>
      <c r="AB2855" s="109"/>
      <c r="AC2855" s="109"/>
      <c r="AD2855" s="109"/>
      <c r="AE2855" s="109"/>
      <c r="AF2855" s="109"/>
      <c r="AG2855" s="109"/>
      <c r="AH2855" s="109"/>
      <c r="AI2855" s="109"/>
      <c r="AJ2855" s="109"/>
      <c r="AK2855" s="109"/>
      <c r="AL2855" s="109"/>
      <c r="AM2855" s="109"/>
      <c r="AN2855" s="109"/>
      <c r="AO2855" s="109"/>
      <c r="AP2855" s="109"/>
      <c r="AQ2855" s="109"/>
      <c r="AR2855" s="109"/>
      <c r="AS2855" s="109"/>
    </row>
    <row r="2856" spans="1:45" ht="12.6" customHeight="1" x14ac:dyDescent="0.3">
      <c r="A2856" s="68"/>
      <c r="B2856" s="97" t="str">
        <f>"Q (시간당 작업량)  = "&amp;Z2856&amp;"*q*k*E*f/Cm = "&amp;AL2856&amp;" m3/hr "</f>
        <v xml:space="preserve">Q (시간당 작업량)  = 3600*q*k*E*f/Cm = 31.75 m3/hr </v>
      </c>
      <c r="C2856" s="78"/>
      <c r="D2856" s="78"/>
      <c r="E2856" s="78"/>
      <c r="F2856" s="78"/>
      <c r="G2856" s="16" t="s">
        <v>1757</v>
      </c>
      <c r="Z2856" s="111">
        <v>3600</v>
      </c>
      <c r="AA2856" s="20" t="s">
        <v>1390</v>
      </c>
      <c r="AB2856" s="112">
        <f>AB2850</f>
        <v>0.7</v>
      </c>
      <c r="AC2856" s="20" t="s">
        <v>1390</v>
      </c>
      <c r="AD2856" s="112">
        <f>AF2850</f>
        <v>0.7</v>
      </c>
      <c r="AE2856" s="20" t="s">
        <v>1390</v>
      </c>
      <c r="AF2856" s="112">
        <f>AB2854</f>
        <v>0.5</v>
      </c>
      <c r="AG2856" s="20" t="s">
        <v>1390</v>
      </c>
      <c r="AH2856" s="112" t="str">
        <f>AD2852</f>
        <v>0.72</v>
      </c>
      <c r="AI2856" s="20" t="s">
        <v>1387</v>
      </c>
      <c r="AJ2856" s="112">
        <f>AF2854</f>
        <v>20</v>
      </c>
      <c r="AK2856" s="20" t="s">
        <v>1326</v>
      </c>
      <c r="AL2856" s="112" t="str">
        <f>TEXT(ROUND(Z2856*AB2850*AF2850*AB2854*AD2852/AF2854,2),"0.00")</f>
        <v>31.75</v>
      </c>
      <c r="AM2856" s="109"/>
      <c r="AN2856" s="109"/>
      <c r="AO2856" s="109"/>
      <c r="AP2856" s="109"/>
      <c r="AQ2856" s="109"/>
      <c r="AR2856" s="109"/>
      <c r="AS2856" s="109"/>
    </row>
    <row r="2857" spans="1:45" ht="12.6" customHeight="1" x14ac:dyDescent="0.3">
      <c r="A2857" s="78"/>
      <c r="B2857" s="78"/>
      <c r="C2857" s="78"/>
      <c r="D2857" s="78"/>
      <c r="E2857" s="78"/>
      <c r="F2857" s="78"/>
      <c r="G2857" s="16" t="s">
        <v>1317</v>
      </c>
      <c r="Z2857" s="109"/>
      <c r="AA2857" s="109"/>
      <c r="AB2857" s="109"/>
      <c r="AC2857" s="109"/>
      <c r="AD2857" s="109"/>
      <c r="AE2857" s="109"/>
      <c r="AF2857" s="109"/>
      <c r="AG2857" s="109"/>
      <c r="AH2857" s="109"/>
      <c r="AI2857" s="109"/>
      <c r="AJ2857" s="109"/>
      <c r="AK2857" s="109"/>
      <c r="AL2857" s="109"/>
      <c r="AM2857" s="109"/>
      <c r="AN2857" s="109"/>
      <c r="AO2857" s="109"/>
      <c r="AP2857" s="109"/>
      <c r="AQ2857" s="109"/>
      <c r="AR2857" s="109"/>
      <c r="AS2857" s="109"/>
    </row>
    <row r="2858" spans="1:45" ht="12.6" customHeight="1" x14ac:dyDescent="0.3">
      <c r="A2858" s="68" t="s">
        <v>1473</v>
      </c>
      <c r="B2858" s="97" t="str">
        <f>" 노 무 비  :   "&amp;TEXT(I2858,"#,##0"&amp;IF(I2858&lt;&gt;INT(I2858),".###",""))&amp;" / Q  = "&amp;TEXT(C2858,"#,##0.0")&amp;""</f>
        <v xml:space="preserve"> 노 무 비  :   55,700 / Q  = 1,754.3</v>
      </c>
      <c r="C2858" s="99">
        <f>E2858+D2858+F2858</f>
        <v>1754.3</v>
      </c>
      <c r="D2858" s="99">
        <f>IF(H2858=0,0,ROUNDDOWN(J2858*H2858,1))</f>
        <v>1754.3</v>
      </c>
      <c r="E2858" s="99">
        <f>IF(H2858=0,0,ROUNDDOWN(K2858*H2858,1))</f>
        <v>0</v>
      </c>
      <c r="F2858" s="99">
        <f>IF(H2858=0,0,ROUNDDOWN(L2858*H2858,1))</f>
        <v>0</v>
      </c>
      <c r="G2858" s="16" t="s">
        <v>1758</v>
      </c>
      <c r="H2858" s="105">
        <f>AC2858</f>
        <v>3.1496062992125984E-2</v>
      </c>
      <c r="I2858" s="106">
        <f>K2858+J2858+L2858</f>
        <v>55700</v>
      </c>
      <c r="J2858" s="39">
        <f>중기목록표!F7</f>
        <v>55700</v>
      </c>
      <c r="M2858" s="20" t="s">
        <v>1193</v>
      </c>
      <c r="N2858" s="20" t="s">
        <v>1332</v>
      </c>
      <c r="X2858" s="108" t="str">
        <f>중기목록표!B7&amp;" / "&amp;중기목록표!C7</f>
        <v xml:space="preserve">굴삭기(0.7m3) / </v>
      </c>
      <c r="Y2858" s="19" t="str">
        <f ca="1">HYPERLINK("#"&amp;중기목록표!J2&amp;"!A"&amp;ROW(중기목록표!A7),"중기    4 →")</f>
        <v>중기    4 →</v>
      </c>
      <c r="Z2858" s="20" t="s">
        <v>1393</v>
      </c>
      <c r="AA2858" s="112" t="str">
        <f>AL2856</f>
        <v>31.75</v>
      </c>
      <c r="AB2858" s="20" t="s">
        <v>1326</v>
      </c>
      <c r="AC2858" s="113">
        <f>1/AL2856</f>
        <v>3.1496062992125984E-2</v>
      </c>
      <c r="AD2858" s="109"/>
      <c r="AE2858" s="109"/>
      <c r="AF2858" s="109"/>
      <c r="AG2858" s="109"/>
      <c r="AH2858" s="109"/>
      <c r="AI2858" s="109"/>
      <c r="AJ2858" s="109"/>
      <c r="AK2858" s="109"/>
      <c r="AL2858" s="109"/>
      <c r="AM2858" s="109"/>
      <c r="AN2858" s="109"/>
      <c r="AO2858" s="109"/>
      <c r="AP2858" s="109"/>
      <c r="AQ2858" s="109"/>
      <c r="AR2858" s="109"/>
      <c r="AS2858" s="109"/>
    </row>
    <row r="2859" spans="1:45" ht="12.6" customHeight="1" x14ac:dyDescent="0.3">
      <c r="A2859" s="78"/>
      <c r="B2859" s="78"/>
      <c r="C2859" s="78"/>
      <c r="D2859" s="78"/>
      <c r="E2859" s="78"/>
      <c r="F2859" s="78"/>
      <c r="G2859" s="16" t="s">
        <v>1317</v>
      </c>
      <c r="Z2859" s="109"/>
      <c r="AA2859" s="109"/>
      <c r="AB2859" s="109"/>
      <c r="AC2859" s="109"/>
      <c r="AD2859" s="109"/>
      <c r="AE2859" s="109"/>
      <c r="AF2859" s="109"/>
      <c r="AG2859" s="109"/>
      <c r="AH2859" s="109"/>
      <c r="AI2859" s="109"/>
      <c r="AJ2859" s="109"/>
      <c r="AK2859" s="109"/>
      <c r="AL2859" s="109"/>
      <c r="AM2859" s="109"/>
      <c r="AN2859" s="109"/>
      <c r="AO2859" s="109"/>
      <c r="AP2859" s="109"/>
      <c r="AQ2859" s="109"/>
      <c r="AR2859" s="109"/>
      <c r="AS2859" s="109"/>
    </row>
    <row r="2860" spans="1:45" ht="12.6" customHeight="1" x14ac:dyDescent="0.3">
      <c r="A2860" s="68" t="s">
        <v>1475</v>
      </c>
      <c r="B2860" s="97" t="str">
        <f>" 재 료 비  :   "&amp;TEXT(I2860,"#,##0"&amp;IF(I2860&lt;&gt;INT(I2860),".###",""))&amp;" / Q  = "&amp;TEXT(C2860,"#,##0.0")&amp;""</f>
        <v xml:space="preserve"> 재 료 비  :   18,001 / Q  = 566.9</v>
      </c>
      <c r="C2860" s="99">
        <f>E2860+D2860+F2860</f>
        <v>566.9</v>
      </c>
      <c r="D2860" s="99">
        <f>IF(H2860=0,0,ROUNDDOWN(J2860*H2860,1))</f>
        <v>0</v>
      </c>
      <c r="E2860" s="99">
        <f>IF(H2860=0,0,ROUNDDOWN(K2860*H2860,1))</f>
        <v>566.9</v>
      </c>
      <c r="F2860" s="99">
        <f>IF(H2860=0,0,ROUNDDOWN(L2860*H2860,1))</f>
        <v>0</v>
      </c>
      <c r="G2860" s="16" t="s">
        <v>1759</v>
      </c>
      <c r="H2860" s="105">
        <f>AC2860</f>
        <v>3.1496062992125984E-2</v>
      </c>
      <c r="I2860" s="106">
        <f>K2860+J2860+L2860</f>
        <v>18001</v>
      </c>
      <c r="K2860" s="39">
        <f>중기목록표!G7</f>
        <v>18001</v>
      </c>
      <c r="M2860" s="20" t="s">
        <v>1193</v>
      </c>
      <c r="N2860" s="20" t="s">
        <v>1332</v>
      </c>
      <c r="X2860" s="108" t="str">
        <f>중기목록표!B7&amp;" / "&amp;중기목록표!C7</f>
        <v xml:space="preserve">굴삭기(0.7m3) / </v>
      </c>
      <c r="Y2860" s="19" t="str">
        <f ca="1">HYPERLINK("#"&amp;중기목록표!J2&amp;"!A"&amp;ROW(중기목록표!A7),"중기    4 →")</f>
        <v>중기    4 →</v>
      </c>
      <c r="Z2860" s="20" t="s">
        <v>1393</v>
      </c>
      <c r="AA2860" s="112" t="str">
        <f>AL2856</f>
        <v>31.75</v>
      </c>
      <c r="AB2860" s="20" t="s">
        <v>1326</v>
      </c>
      <c r="AC2860" s="113">
        <f>1/AL2856</f>
        <v>3.1496062992125984E-2</v>
      </c>
      <c r="AD2860" s="109"/>
      <c r="AE2860" s="109"/>
      <c r="AF2860" s="109"/>
      <c r="AG2860" s="109"/>
      <c r="AH2860" s="109"/>
      <c r="AI2860" s="109"/>
      <c r="AJ2860" s="109"/>
      <c r="AK2860" s="109"/>
      <c r="AL2860" s="109"/>
      <c r="AM2860" s="109"/>
      <c r="AN2860" s="109"/>
      <c r="AO2860" s="109"/>
      <c r="AP2860" s="109"/>
      <c r="AQ2860" s="109"/>
      <c r="AR2860" s="109"/>
      <c r="AS2860" s="109"/>
    </row>
    <row r="2861" spans="1:45" ht="12.6" customHeight="1" x14ac:dyDescent="0.3">
      <c r="A2861" s="78"/>
      <c r="B2861" s="78"/>
      <c r="C2861" s="78"/>
      <c r="D2861" s="78"/>
      <c r="E2861" s="78"/>
      <c r="F2861" s="78"/>
      <c r="G2861" s="16" t="s">
        <v>1317</v>
      </c>
      <c r="Z2861" s="109"/>
      <c r="AA2861" s="109"/>
      <c r="AB2861" s="109"/>
      <c r="AC2861" s="109"/>
      <c r="AD2861" s="109"/>
      <c r="AE2861" s="109"/>
      <c r="AF2861" s="109"/>
      <c r="AG2861" s="109"/>
      <c r="AH2861" s="109"/>
      <c r="AI2861" s="109"/>
      <c r="AJ2861" s="109"/>
      <c r="AK2861" s="109"/>
      <c r="AL2861" s="109"/>
      <c r="AM2861" s="109"/>
      <c r="AN2861" s="109"/>
      <c r="AO2861" s="109"/>
      <c r="AP2861" s="109"/>
      <c r="AQ2861" s="109"/>
      <c r="AR2861" s="109"/>
      <c r="AS2861" s="109"/>
    </row>
    <row r="2862" spans="1:45" ht="12.6" customHeight="1" x14ac:dyDescent="0.3">
      <c r="A2862" s="68" t="s">
        <v>1477</v>
      </c>
      <c r="B2862" s="97" t="str">
        <f>" 경    비  :   "&amp;TEXT(I2862,"#,##0"&amp;IF(I2862&lt;&gt;INT(I2862),".###",""))&amp;" / Q  = "&amp;TEXT(C2862,"#,##0.0")&amp;""</f>
        <v xml:space="preserve"> 경    비  :   23,128 / Q  = 728.4</v>
      </c>
      <c r="C2862" s="99">
        <f>E2862+D2862+F2862</f>
        <v>728.4</v>
      </c>
      <c r="D2862" s="99">
        <f>IF(H2862=0,0,ROUNDDOWN(J2862*H2862,1))</f>
        <v>0</v>
      </c>
      <c r="E2862" s="99">
        <f>IF(H2862=0,0,ROUNDDOWN(K2862*H2862,1))</f>
        <v>0</v>
      </c>
      <c r="F2862" s="99">
        <f>IF(H2862=0,0,ROUNDDOWN(L2862*H2862,1))</f>
        <v>728.4</v>
      </c>
      <c r="G2862" s="16" t="s">
        <v>1760</v>
      </c>
      <c r="H2862" s="105">
        <f>AC2862</f>
        <v>3.1496062992125984E-2</v>
      </c>
      <c r="I2862" s="106">
        <f>K2862+J2862+L2862</f>
        <v>23128</v>
      </c>
      <c r="L2862" s="39">
        <f>중기목록표!H7</f>
        <v>23128</v>
      </c>
      <c r="M2862" s="20" t="s">
        <v>1193</v>
      </c>
      <c r="N2862" s="20" t="s">
        <v>1332</v>
      </c>
      <c r="X2862" s="108" t="str">
        <f>중기목록표!B7&amp;" / "&amp;중기목록표!C7</f>
        <v xml:space="preserve">굴삭기(0.7m3) / </v>
      </c>
      <c r="Y2862" s="19" t="str">
        <f ca="1">HYPERLINK("#"&amp;중기목록표!J2&amp;"!A"&amp;ROW(중기목록표!A7),"중기    4 →")</f>
        <v>중기    4 →</v>
      </c>
      <c r="Z2862" s="20" t="s">
        <v>1393</v>
      </c>
      <c r="AA2862" s="112" t="str">
        <f>AL2856</f>
        <v>31.75</v>
      </c>
      <c r="AB2862" s="20" t="s">
        <v>1326</v>
      </c>
      <c r="AC2862" s="113">
        <f>1/AL2856</f>
        <v>3.1496062992125984E-2</v>
      </c>
      <c r="AD2862" s="109"/>
      <c r="AE2862" s="109"/>
      <c r="AF2862" s="109"/>
      <c r="AG2862" s="109"/>
      <c r="AH2862" s="109"/>
      <c r="AI2862" s="109"/>
      <c r="AJ2862" s="109"/>
      <c r="AK2862" s="109"/>
      <c r="AL2862" s="109"/>
      <c r="AM2862" s="109"/>
      <c r="AN2862" s="109"/>
      <c r="AO2862" s="109"/>
      <c r="AP2862" s="109"/>
      <c r="AQ2862" s="109"/>
      <c r="AR2862" s="109"/>
      <c r="AS2862" s="109"/>
    </row>
    <row r="2863" spans="1:45" ht="12.6" customHeight="1" x14ac:dyDescent="0.3">
      <c r="A2863" s="78"/>
      <c r="B2863" s="78"/>
      <c r="C2863" s="78"/>
      <c r="D2863" s="78"/>
      <c r="E2863" s="78"/>
      <c r="F2863" s="78"/>
      <c r="G2863" s="16" t="s">
        <v>1317</v>
      </c>
      <c r="Z2863" s="109"/>
      <c r="AA2863" s="109"/>
      <c r="AB2863" s="109"/>
      <c r="AC2863" s="109"/>
      <c r="AD2863" s="109"/>
      <c r="AE2863" s="109"/>
      <c r="AF2863" s="109"/>
      <c r="AG2863" s="109"/>
      <c r="AH2863" s="109"/>
      <c r="AI2863" s="109"/>
      <c r="AJ2863" s="109"/>
      <c r="AK2863" s="109"/>
      <c r="AL2863" s="109"/>
      <c r="AM2863" s="109"/>
      <c r="AN2863" s="109"/>
      <c r="AO2863" s="109"/>
      <c r="AP2863" s="109"/>
      <c r="AQ2863" s="109"/>
      <c r="AR2863" s="109"/>
      <c r="AS2863" s="109"/>
    </row>
    <row r="2864" spans="1:45" ht="12.6" customHeight="1" x14ac:dyDescent="0.3">
      <c r="A2864" s="68"/>
      <c r="B2864" s="77" t="s">
        <v>1331</v>
      </c>
      <c r="C2864" s="100">
        <f>E2864+D2864+F2864</f>
        <v>3049.6</v>
      </c>
      <c r="D2864" s="100">
        <f>SUMIF(N2842:N2863,M2864,D2842:D2863)</f>
        <v>1754.3</v>
      </c>
      <c r="E2864" s="100">
        <f>SUMIF(N2842:N2863,M2864,E2842:E2863)</f>
        <v>566.9</v>
      </c>
      <c r="F2864" s="100">
        <f>SUMIF(N2842:N2863,M2864,F2842:F2863)</f>
        <v>728.4</v>
      </c>
      <c r="G2864" s="16" t="s">
        <v>1415</v>
      </c>
      <c r="M2864" s="20" t="s">
        <v>1332</v>
      </c>
      <c r="N2864" s="20" t="s">
        <v>1341</v>
      </c>
      <c r="Z2864" s="109"/>
      <c r="AA2864" s="109"/>
      <c r="AB2864" s="109"/>
      <c r="AC2864" s="109"/>
      <c r="AD2864" s="109"/>
      <c r="AE2864" s="109"/>
      <c r="AF2864" s="109"/>
      <c r="AG2864" s="109"/>
      <c r="AH2864" s="109"/>
      <c r="AI2864" s="109"/>
      <c r="AJ2864" s="109"/>
      <c r="AK2864" s="109"/>
      <c r="AL2864" s="109"/>
      <c r="AM2864" s="109"/>
      <c r="AN2864" s="109"/>
      <c r="AO2864" s="109"/>
      <c r="AP2864" s="109"/>
      <c r="AQ2864" s="109"/>
      <c r="AR2864" s="109"/>
      <c r="AS2864" s="109"/>
    </row>
    <row r="2865" spans="1:45" ht="12.6" customHeight="1" x14ac:dyDescent="0.3">
      <c r="A2865" s="78"/>
      <c r="B2865" s="78"/>
      <c r="C2865" s="98"/>
      <c r="D2865" s="98"/>
      <c r="E2865" s="98"/>
      <c r="F2865" s="98"/>
      <c r="G2865" s="16" t="s">
        <v>1317</v>
      </c>
      <c r="Z2865" s="109"/>
      <c r="AA2865" s="109"/>
      <c r="AB2865" s="109"/>
      <c r="AC2865" s="109"/>
      <c r="AD2865" s="109"/>
      <c r="AE2865" s="109"/>
      <c r="AF2865" s="109"/>
      <c r="AG2865" s="109"/>
      <c r="AH2865" s="109"/>
      <c r="AI2865" s="109"/>
      <c r="AJ2865" s="109"/>
      <c r="AK2865" s="109"/>
      <c r="AL2865" s="109"/>
      <c r="AM2865" s="109"/>
      <c r="AN2865" s="109"/>
      <c r="AO2865" s="109"/>
      <c r="AP2865" s="109"/>
      <c r="AQ2865" s="109"/>
      <c r="AR2865" s="109"/>
      <c r="AS2865" s="109"/>
    </row>
    <row r="2866" spans="1:45" ht="12.6" customHeight="1" x14ac:dyDescent="0.3">
      <c r="A2866" s="68"/>
      <c r="B2866" s="77" t="s">
        <v>1915</v>
      </c>
      <c r="C2866" s="78"/>
      <c r="D2866" s="78"/>
      <c r="E2866" s="78"/>
      <c r="F2866" s="78"/>
      <c r="G2866" s="16" t="s">
        <v>1914</v>
      </c>
      <c r="Z2866" s="109"/>
      <c r="AA2866" s="109"/>
      <c r="AB2866" s="109"/>
      <c r="AC2866" s="109"/>
      <c r="AD2866" s="109"/>
      <c r="AE2866" s="109"/>
      <c r="AF2866" s="109"/>
      <c r="AG2866" s="109"/>
      <c r="AH2866" s="109"/>
      <c r="AI2866" s="109"/>
      <c r="AJ2866" s="109"/>
      <c r="AK2866" s="109"/>
      <c r="AL2866" s="109"/>
      <c r="AM2866" s="109"/>
      <c r="AN2866" s="109"/>
      <c r="AO2866" s="109"/>
      <c r="AP2866" s="109"/>
      <c r="AQ2866" s="109"/>
      <c r="AR2866" s="109"/>
      <c r="AS2866" s="109"/>
    </row>
    <row r="2867" spans="1:45" ht="12.6" customHeight="1" x14ac:dyDescent="0.3">
      <c r="A2867" s="78"/>
      <c r="B2867" s="78"/>
      <c r="C2867" s="78"/>
      <c r="D2867" s="78"/>
      <c r="E2867" s="78"/>
      <c r="F2867" s="78"/>
      <c r="G2867" s="16" t="s">
        <v>1317</v>
      </c>
      <c r="Z2867" s="109"/>
      <c r="AA2867" s="109"/>
      <c r="AB2867" s="109"/>
      <c r="AC2867" s="109"/>
      <c r="AD2867" s="109"/>
      <c r="AE2867" s="109"/>
      <c r="AF2867" s="109"/>
      <c r="AG2867" s="109"/>
      <c r="AH2867" s="109"/>
      <c r="AI2867" s="109"/>
      <c r="AJ2867" s="109"/>
      <c r="AK2867" s="109"/>
      <c r="AL2867" s="109"/>
      <c r="AM2867" s="109"/>
      <c r="AN2867" s="109"/>
      <c r="AO2867" s="109"/>
      <c r="AP2867" s="109"/>
      <c r="AQ2867" s="109"/>
      <c r="AR2867" s="109"/>
      <c r="AS2867" s="109"/>
    </row>
    <row r="2868" spans="1:45" ht="12.6" customHeight="1" x14ac:dyDescent="0.3">
      <c r="A2868" s="68"/>
      <c r="B2868" s="77" t="s">
        <v>1917</v>
      </c>
      <c r="C2868" s="78"/>
      <c r="D2868" s="78"/>
      <c r="E2868" s="78"/>
      <c r="F2868" s="78"/>
      <c r="G2868" s="16" t="s">
        <v>1916</v>
      </c>
      <c r="Z2868" s="109"/>
      <c r="AA2868" s="109"/>
      <c r="AB2868" s="109"/>
      <c r="AC2868" s="109"/>
      <c r="AD2868" s="109"/>
      <c r="AE2868" s="109"/>
      <c r="AF2868" s="109"/>
      <c r="AG2868" s="109"/>
      <c r="AH2868" s="109"/>
      <c r="AI2868" s="109"/>
      <c r="AJ2868" s="109"/>
      <c r="AK2868" s="109"/>
      <c r="AL2868" s="109"/>
      <c r="AM2868" s="109"/>
      <c r="AN2868" s="109"/>
      <c r="AO2868" s="109"/>
      <c r="AP2868" s="109"/>
      <c r="AQ2868" s="109"/>
      <c r="AR2868" s="109"/>
      <c r="AS2868" s="109"/>
    </row>
    <row r="2869" spans="1:45" ht="12.6" customHeight="1" x14ac:dyDescent="0.3">
      <c r="A2869" s="78"/>
      <c r="B2869" s="78"/>
      <c r="C2869" s="78"/>
      <c r="D2869" s="78"/>
      <c r="E2869" s="78"/>
      <c r="F2869" s="78"/>
      <c r="G2869" s="16" t="s">
        <v>1317</v>
      </c>
      <c r="Z2869" s="109"/>
      <c r="AA2869" s="109"/>
      <c r="AB2869" s="109"/>
      <c r="AC2869" s="109"/>
      <c r="AD2869" s="109"/>
      <c r="AE2869" s="109"/>
      <c r="AF2869" s="109"/>
      <c r="AG2869" s="109"/>
      <c r="AH2869" s="109"/>
      <c r="AI2869" s="109"/>
      <c r="AJ2869" s="109"/>
      <c r="AK2869" s="109"/>
      <c r="AL2869" s="109"/>
      <c r="AM2869" s="109"/>
      <c r="AN2869" s="109"/>
      <c r="AO2869" s="109"/>
      <c r="AP2869" s="109"/>
      <c r="AQ2869" s="109"/>
      <c r="AR2869" s="109"/>
      <c r="AS2869" s="109"/>
    </row>
    <row r="2870" spans="1:45" ht="12.6" customHeight="1" x14ac:dyDescent="0.3">
      <c r="A2870" s="68"/>
      <c r="B2870" s="97" t="str">
        <f>" k (버킷계수) = "&amp;Z2870&amp;" , E (작업효율) = "&amp;AD2870&amp;""</f>
        <v xml:space="preserve"> k (버킷계수) = 0.7 , E (작업효율) = 0.9</v>
      </c>
      <c r="C2870" s="78"/>
      <c r="D2870" s="78"/>
      <c r="E2870" s="78"/>
      <c r="F2870" s="78"/>
      <c r="G2870" s="16" t="s">
        <v>1918</v>
      </c>
      <c r="Z2870" s="110">
        <v>0.7</v>
      </c>
      <c r="AA2870" s="20" t="s">
        <v>1326</v>
      </c>
      <c r="AB2870" s="112">
        <f>Z2870</f>
        <v>0.7</v>
      </c>
      <c r="AC2870" s="20" t="s">
        <v>1385</v>
      </c>
      <c r="AD2870" s="110">
        <v>0.9</v>
      </c>
      <c r="AE2870" s="20" t="s">
        <v>1326</v>
      </c>
      <c r="AF2870" s="112">
        <f>AD2870</f>
        <v>0.9</v>
      </c>
      <c r="AG2870" s="20" t="s">
        <v>1385</v>
      </c>
      <c r="AH2870" s="109"/>
      <c r="AI2870" s="109"/>
      <c r="AJ2870" s="109"/>
      <c r="AK2870" s="109"/>
      <c r="AL2870" s="109"/>
      <c r="AM2870" s="109"/>
      <c r="AN2870" s="109"/>
      <c r="AO2870" s="109"/>
      <c r="AP2870" s="109"/>
      <c r="AQ2870" s="109"/>
      <c r="AR2870" s="109"/>
      <c r="AS2870" s="109"/>
    </row>
    <row r="2871" spans="1:45" ht="12.6" customHeight="1" x14ac:dyDescent="0.3">
      <c r="A2871" s="78"/>
      <c r="B2871" s="78"/>
      <c r="C2871" s="78"/>
      <c r="D2871" s="78"/>
      <c r="E2871" s="78"/>
      <c r="F2871" s="78"/>
      <c r="G2871" s="16" t="s">
        <v>1317</v>
      </c>
      <c r="Z2871" s="109"/>
      <c r="AA2871" s="109"/>
      <c r="AB2871" s="109"/>
      <c r="AC2871" s="109"/>
      <c r="AD2871" s="109"/>
      <c r="AE2871" s="109"/>
      <c r="AF2871" s="109"/>
      <c r="AG2871" s="109"/>
      <c r="AH2871" s="109"/>
      <c r="AI2871" s="109"/>
      <c r="AJ2871" s="109"/>
      <c r="AK2871" s="109"/>
      <c r="AL2871" s="109"/>
      <c r="AM2871" s="109"/>
      <c r="AN2871" s="109"/>
      <c r="AO2871" s="109"/>
      <c r="AP2871" s="109"/>
      <c r="AQ2871" s="109"/>
      <c r="AR2871" s="109"/>
      <c r="AS2871" s="109"/>
    </row>
    <row r="2872" spans="1:45" ht="12.6" customHeight="1" x14ac:dyDescent="0.3">
      <c r="A2872" s="68"/>
      <c r="B2872" s="97" t="str">
        <f>" F (체적환산계수) = "&amp;Z2872&amp;"/"&amp;AB2872&amp;" = "&amp;AD2872&amp;""</f>
        <v xml:space="preserve"> F (체적환산계수) = 0.9/1.3 = 0.69</v>
      </c>
      <c r="C2872" s="78"/>
      <c r="D2872" s="78"/>
      <c r="E2872" s="78"/>
      <c r="F2872" s="78"/>
      <c r="G2872" s="16" t="s">
        <v>1919</v>
      </c>
      <c r="Z2872" s="110">
        <v>0.9</v>
      </c>
      <c r="AA2872" s="20" t="s">
        <v>1387</v>
      </c>
      <c r="AB2872" s="110">
        <v>1.3</v>
      </c>
      <c r="AC2872" s="20" t="s">
        <v>1326</v>
      </c>
      <c r="AD2872" s="112" t="str">
        <f>TEXT(ROUND(Z2872/AB2872,2),"0.00")</f>
        <v>0.69</v>
      </c>
      <c r="AE2872" s="109"/>
      <c r="AF2872" s="109"/>
      <c r="AG2872" s="109"/>
      <c r="AH2872" s="109"/>
      <c r="AI2872" s="109"/>
      <c r="AJ2872" s="109"/>
      <c r="AK2872" s="109"/>
      <c r="AL2872" s="109"/>
      <c r="AM2872" s="109"/>
      <c r="AN2872" s="109"/>
      <c r="AO2872" s="109"/>
      <c r="AP2872" s="109"/>
      <c r="AQ2872" s="109"/>
      <c r="AR2872" s="109"/>
      <c r="AS2872" s="109"/>
    </row>
    <row r="2873" spans="1:45" ht="12.6" customHeight="1" x14ac:dyDescent="0.3">
      <c r="A2873" s="78"/>
      <c r="B2873" s="78"/>
      <c r="C2873" s="78"/>
      <c r="D2873" s="78"/>
      <c r="E2873" s="78"/>
      <c r="F2873" s="78"/>
      <c r="G2873" s="16" t="s">
        <v>1317</v>
      </c>
      <c r="Z2873" s="109"/>
      <c r="AA2873" s="109"/>
      <c r="AB2873" s="109"/>
      <c r="AC2873" s="109"/>
      <c r="AD2873" s="109"/>
      <c r="AE2873" s="109"/>
      <c r="AF2873" s="109"/>
      <c r="AG2873" s="109"/>
      <c r="AH2873" s="109"/>
      <c r="AI2873" s="109"/>
      <c r="AJ2873" s="109"/>
      <c r="AK2873" s="109"/>
      <c r="AL2873" s="109"/>
      <c r="AM2873" s="109"/>
      <c r="AN2873" s="109"/>
      <c r="AO2873" s="109"/>
      <c r="AP2873" s="109"/>
      <c r="AQ2873" s="109"/>
      <c r="AR2873" s="109"/>
      <c r="AS2873" s="109"/>
    </row>
    <row r="2874" spans="1:45" ht="12.6" customHeight="1" x14ac:dyDescent="0.3">
      <c r="A2874" s="68"/>
      <c r="B2874" s="97" t="str">
        <f>" q1 (흐트러진 상태의 덤프트럭 1회 적재량) = ("&amp;AA2874&amp;"/"&amp;AC2874&amp;") * "&amp;AE2874&amp;" = "&amp;AG2874&amp;""</f>
        <v xml:space="preserve"> q1 (흐트러진 상태의 덤프트럭 1회 적재량) = (15/1.7) * 1.425 = 12.57</v>
      </c>
      <c r="C2874" s="78"/>
      <c r="D2874" s="78"/>
      <c r="E2874" s="78"/>
      <c r="F2874" s="78"/>
      <c r="G2874" s="16" t="s">
        <v>1920</v>
      </c>
      <c r="Z2874" s="20" t="s">
        <v>1526</v>
      </c>
      <c r="AA2874" s="111">
        <v>15</v>
      </c>
      <c r="AB2874" s="20" t="s">
        <v>1387</v>
      </c>
      <c r="AC2874" s="110">
        <v>1.7</v>
      </c>
      <c r="AD2874" s="20" t="s">
        <v>1527</v>
      </c>
      <c r="AE2874" s="110">
        <v>1.425</v>
      </c>
      <c r="AF2874" s="20" t="s">
        <v>1326</v>
      </c>
      <c r="AG2874" s="112" t="str">
        <f>TEXT(ROUND((AA2874/AC2874)*AE2874,2),"0.00")</f>
        <v>12.57</v>
      </c>
      <c r="AH2874" s="109"/>
      <c r="AI2874" s="109"/>
      <c r="AJ2874" s="109"/>
      <c r="AK2874" s="109"/>
      <c r="AL2874" s="109"/>
      <c r="AM2874" s="109"/>
      <c r="AN2874" s="109"/>
      <c r="AO2874" s="109"/>
      <c r="AP2874" s="109"/>
      <c r="AQ2874" s="109"/>
      <c r="AR2874" s="109"/>
      <c r="AS2874" s="109"/>
    </row>
    <row r="2875" spans="1:45" ht="12.6" customHeight="1" x14ac:dyDescent="0.3">
      <c r="A2875" s="78"/>
      <c r="B2875" s="78"/>
      <c r="C2875" s="78"/>
      <c r="D2875" s="78"/>
      <c r="E2875" s="78"/>
      <c r="F2875" s="78"/>
      <c r="G2875" s="16" t="s">
        <v>1317</v>
      </c>
      <c r="Z2875" s="109"/>
      <c r="AA2875" s="109"/>
      <c r="AB2875" s="109"/>
      <c r="AC2875" s="109"/>
      <c r="AD2875" s="109"/>
      <c r="AE2875" s="109"/>
      <c r="AF2875" s="109"/>
      <c r="AG2875" s="109"/>
      <c r="AH2875" s="109"/>
      <c r="AI2875" s="109"/>
      <c r="AJ2875" s="109"/>
      <c r="AK2875" s="109"/>
      <c r="AL2875" s="109"/>
      <c r="AM2875" s="109"/>
      <c r="AN2875" s="109"/>
      <c r="AO2875" s="109"/>
      <c r="AP2875" s="109"/>
      <c r="AQ2875" s="109"/>
      <c r="AR2875" s="109"/>
      <c r="AS2875" s="109"/>
    </row>
    <row r="2876" spans="1:45" ht="12.6" customHeight="1" x14ac:dyDescent="0.3">
      <c r="A2876" s="68"/>
      <c r="B2876" s="77" t="s">
        <v>1528</v>
      </c>
      <c r="C2876" s="78"/>
      <c r="D2876" s="78"/>
      <c r="E2876" s="78"/>
      <c r="F2876" s="78"/>
      <c r="G2876" s="16" t="s">
        <v>1803</v>
      </c>
      <c r="Z2876" s="109"/>
      <c r="AA2876" s="109"/>
      <c r="AB2876" s="109"/>
      <c r="AC2876" s="109"/>
      <c r="AD2876" s="109"/>
      <c r="AE2876" s="109"/>
      <c r="AF2876" s="109"/>
      <c r="AG2876" s="109"/>
      <c r="AH2876" s="109"/>
      <c r="AI2876" s="109"/>
      <c r="AJ2876" s="109"/>
      <c r="AK2876" s="109"/>
      <c r="AL2876" s="109"/>
      <c r="AM2876" s="109"/>
      <c r="AN2876" s="109"/>
      <c r="AO2876" s="109"/>
      <c r="AP2876" s="109"/>
      <c r="AQ2876" s="109"/>
      <c r="AR2876" s="109"/>
      <c r="AS2876" s="109"/>
    </row>
    <row r="2877" spans="1:45" ht="12.6" customHeight="1" x14ac:dyDescent="0.3">
      <c r="A2877" s="78"/>
      <c r="B2877" s="78"/>
      <c r="C2877" s="78"/>
      <c r="D2877" s="78"/>
      <c r="E2877" s="78"/>
      <c r="F2877" s="78"/>
      <c r="G2877" s="16" t="s">
        <v>1317</v>
      </c>
      <c r="Z2877" s="109"/>
      <c r="AA2877" s="109"/>
      <c r="AB2877" s="109"/>
      <c r="AC2877" s="109"/>
      <c r="AD2877" s="109"/>
      <c r="AE2877" s="109"/>
      <c r="AF2877" s="109"/>
      <c r="AG2877" s="109"/>
      <c r="AH2877" s="109"/>
      <c r="AI2877" s="109"/>
      <c r="AJ2877" s="109"/>
      <c r="AK2877" s="109"/>
      <c r="AL2877" s="109"/>
      <c r="AM2877" s="109"/>
      <c r="AN2877" s="109"/>
      <c r="AO2877" s="109"/>
      <c r="AP2877" s="109"/>
      <c r="AQ2877" s="109"/>
      <c r="AR2877" s="109"/>
      <c r="AS2877" s="109"/>
    </row>
    <row r="2878" spans="1:45" ht="12.6" customHeight="1" x14ac:dyDescent="0.3">
      <c r="A2878" s="68"/>
      <c r="B2878" s="97" t="str">
        <f>" n = q1 / ("&amp;AB2878&amp;" * k) = "&amp;AG2878&amp;"  회 "</f>
        <v xml:space="preserve"> n = q1 / (0.7 * k) = 25.65  회 </v>
      </c>
      <c r="C2878" s="78"/>
      <c r="D2878" s="78"/>
      <c r="E2878" s="78"/>
      <c r="F2878" s="78"/>
      <c r="G2878" s="16" t="s">
        <v>1921</v>
      </c>
      <c r="Z2878" s="112" t="str">
        <f>AG2874</f>
        <v>12.57</v>
      </c>
      <c r="AA2878" s="20" t="s">
        <v>1531</v>
      </c>
      <c r="AB2878" s="110">
        <v>0.7</v>
      </c>
      <c r="AC2878" s="20" t="s">
        <v>1390</v>
      </c>
      <c r="AD2878" s="112">
        <f>AB2870</f>
        <v>0.7</v>
      </c>
      <c r="AE2878" s="20" t="s">
        <v>1532</v>
      </c>
      <c r="AF2878" s="20" t="s">
        <v>1326</v>
      </c>
      <c r="AG2878" s="112" t="str">
        <f>TEXT(ROUND(AG2874/(AB2878*AB2870),2),"0.00")</f>
        <v>25.65</v>
      </c>
      <c r="AH2878" s="109"/>
      <c r="AI2878" s="109"/>
      <c r="AJ2878" s="109"/>
      <c r="AK2878" s="109"/>
      <c r="AL2878" s="109"/>
      <c r="AM2878" s="109"/>
      <c r="AN2878" s="109"/>
      <c r="AO2878" s="109"/>
      <c r="AP2878" s="109"/>
      <c r="AQ2878" s="109"/>
      <c r="AR2878" s="109"/>
      <c r="AS2878" s="109"/>
    </row>
    <row r="2879" spans="1:45" ht="12.6" customHeight="1" x14ac:dyDescent="0.3">
      <c r="A2879" s="78"/>
      <c r="B2879" s="78"/>
      <c r="C2879" s="78"/>
      <c r="D2879" s="78"/>
      <c r="E2879" s="78"/>
      <c r="F2879" s="78"/>
      <c r="G2879" s="16" t="s">
        <v>1317</v>
      </c>
      <c r="Z2879" s="109"/>
      <c r="AA2879" s="109"/>
      <c r="AB2879" s="109"/>
      <c r="AC2879" s="109"/>
      <c r="AD2879" s="109"/>
      <c r="AE2879" s="109"/>
      <c r="AF2879" s="109"/>
      <c r="AG2879" s="109"/>
      <c r="AH2879" s="109"/>
      <c r="AI2879" s="109"/>
      <c r="AJ2879" s="109"/>
      <c r="AK2879" s="109"/>
      <c r="AL2879" s="109"/>
      <c r="AM2879" s="109"/>
      <c r="AN2879" s="109"/>
      <c r="AO2879" s="109"/>
      <c r="AP2879" s="109"/>
      <c r="AQ2879" s="109"/>
      <c r="AR2879" s="109"/>
      <c r="AS2879" s="109"/>
    </row>
    <row r="2880" spans="1:45" ht="12.6" customHeight="1" x14ac:dyDescent="0.3">
      <c r="A2880" s="68"/>
      <c r="B2880" s="97" t="str">
        <f>" t1 (적재시간) = "&amp;Z2880&amp;" * n / ("&amp;AD2880&amp;" * "&amp;AF2880&amp;") = "&amp;AI2880&amp;" 분 "</f>
        <v xml:space="preserve"> t1 (적재시간) = 20 * n / (60 * 0.5) = 17.10 분 </v>
      </c>
      <c r="C2880" s="78"/>
      <c r="D2880" s="78"/>
      <c r="E2880" s="78"/>
      <c r="F2880" s="78"/>
      <c r="G2880" s="16" t="s">
        <v>1922</v>
      </c>
      <c r="Z2880" s="111">
        <v>20</v>
      </c>
      <c r="AA2880" s="20" t="s">
        <v>1390</v>
      </c>
      <c r="AB2880" s="112" t="str">
        <f>AG2878</f>
        <v>25.65</v>
      </c>
      <c r="AC2880" s="20" t="s">
        <v>1531</v>
      </c>
      <c r="AD2880" s="111">
        <v>60</v>
      </c>
      <c r="AE2880" s="20" t="s">
        <v>1390</v>
      </c>
      <c r="AF2880" s="110">
        <v>0.5</v>
      </c>
      <c r="AG2880" s="20" t="s">
        <v>1532</v>
      </c>
      <c r="AH2880" s="20" t="s">
        <v>1326</v>
      </c>
      <c r="AI2880" s="112" t="str">
        <f>TEXT(ROUND(Z2880*AG2878/(AD2880*AF2880),2),"0.00")</f>
        <v>17.10</v>
      </c>
      <c r="AJ2880" s="109"/>
      <c r="AK2880" s="109"/>
      <c r="AL2880" s="109"/>
      <c r="AM2880" s="109"/>
      <c r="AN2880" s="109"/>
      <c r="AO2880" s="109"/>
      <c r="AP2880" s="109"/>
      <c r="AQ2880" s="109"/>
      <c r="AR2880" s="109"/>
      <c r="AS2880" s="109"/>
    </row>
    <row r="2881" spans="1:45" ht="12.6" customHeight="1" x14ac:dyDescent="0.3">
      <c r="A2881" s="78"/>
      <c r="B2881" s="78"/>
      <c r="C2881" s="78"/>
      <c r="D2881" s="78"/>
      <c r="E2881" s="78"/>
      <c r="F2881" s="78"/>
      <c r="G2881" s="16" t="s">
        <v>1317</v>
      </c>
      <c r="Z2881" s="109"/>
      <c r="AA2881" s="109"/>
      <c r="AB2881" s="109"/>
      <c r="AC2881" s="109"/>
      <c r="AD2881" s="109"/>
      <c r="AE2881" s="109"/>
      <c r="AF2881" s="109"/>
      <c r="AG2881" s="109"/>
      <c r="AH2881" s="109"/>
      <c r="AI2881" s="109"/>
      <c r="AJ2881" s="109"/>
      <c r="AK2881" s="109"/>
      <c r="AL2881" s="109"/>
      <c r="AM2881" s="109"/>
      <c r="AN2881" s="109"/>
      <c r="AO2881" s="109"/>
      <c r="AP2881" s="109"/>
      <c r="AQ2881" s="109"/>
      <c r="AR2881" s="109"/>
      <c r="AS2881" s="109"/>
    </row>
    <row r="2882" spans="1:45" ht="12.6" customHeight="1" x14ac:dyDescent="0.3">
      <c r="A2882" s="68"/>
      <c r="B2882" s="97" t="str">
        <f>" t2 (왕복시간) = (L/"&amp;AC2882&amp;"+L/"&amp;AG2882&amp;")* "&amp;AI2882&amp;" = "&amp;AK2882&amp;" 분 "</f>
        <v xml:space="preserve"> t2 (왕복시간) = (L/7+L/8)* 60 = 6.19 분 </v>
      </c>
      <c r="C2882" s="78"/>
      <c r="D2882" s="78"/>
      <c r="E2882" s="78"/>
      <c r="F2882" s="78"/>
      <c r="G2882" s="16" t="s">
        <v>1923</v>
      </c>
      <c r="Z2882" s="20" t="s">
        <v>1526</v>
      </c>
      <c r="AA2882" s="112">
        <f>AB2846</f>
        <v>0.38500000000000001</v>
      </c>
      <c r="AB2882" s="20" t="s">
        <v>1387</v>
      </c>
      <c r="AC2882" s="111">
        <v>7</v>
      </c>
      <c r="AD2882" s="20" t="s">
        <v>1535</v>
      </c>
      <c r="AE2882" s="112">
        <f>AB2846</f>
        <v>0.38500000000000001</v>
      </c>
      <c r="AF2882" s="20" t="s">
        <v>1387</v>
      </c>
      <c r="AG2882" s="111">
        <v>8</v>
      </c>
      <c r="AH2882" s="20" t="s">
        <v>1527</v>
      </c>
      <c r="AI2882" s="111">
        <v>60</v>
      </c>
      <c r="AJ2882" s="20" t="s">
        <v>1326</v>
      </c>
      <c r="AK2882" s="112" t="str">
        <f>TEXT(ROUND((AB2846/AC2882+AB2846/AG2882)*AI2882,2),"0.00")</f>
        <v>6.19</v>
      </c>
      <c r="AL2882" s="109"/>
      <c r="AM2882" s="109"/>
      <c r="AN2882" s="109"/>
      <c r="AO2882" s="109"/>
      <c r="AP2882" s="109"/>
      <c r="AQ2882" s="109"/>
      <c r="AR2882" s="109"/>
      <c r="AS2882" s="109"/>
    </row>
    <row r="2883" spans="1:45" ht="12.6" customHeight="1" x14ac:dyDescent="0.3">
      <c r="A2883" s="78"/>
      <c r="B2883" s="78"/>
      <c r="C2883" s="78"/>
      <c r="D2883" s="78"/>
      <c r="E2883" s="78"/>
      <c r="F2883" s="78"/>
      <c r="G2883" s="16" t="s">
        <v>1317</v>
      </c>
      <c r="Z2883" s="109"/>
      <c r="AA2883" s="109"/>
      <c r="AB2883" s="109"/>
      <c r="AC2883" s="109"/>
      <c r="AD2883" s="109"/>
      <c r="AE2883" s="109"/>
      <c r="AF2883" s="109"/>
      <c r="AG2883" s="109"/>
      <c r="AH2883" s="109"/>
      <c r="AI2883" s="109"/>
      <c r="AJ2883" s="109"/>
      <c r="AK2883" s="109"/>
      <c r="AL2883" s="109"/>
      <c r="AM2883" s="109"/>
      <c r="AN2883" s="109"/>
      <c r="AO2883" s="109"/>
      <c r="AP2883" s="109"/>
      <c r="AQ2883" s="109"/>
      <c r="AR2883" s="109"/>
      <c r="AS2883" s="109"/>
    </row>
    <row r="2884" spans="1:45" ht="12.6" customHeight="1" x14ac:dyDescent="0.3">
      <c r="A2884" s="68"/>
      <c r="B2884" s="97" t="str">
        <f>" t3 (적하시간) = "&amp;Z2884&amp;""</f>
        <v xml:space="preserve"> t3 (적하시간) = 1.1</v>
      </c>
      <c r="C2884" s="78"/>
      <c r="D2884" s="78"/>
      <c r="E2884" s="78"/>
      <c r="F2884" s="78"/>
      <c r="G2884" s="16" t="s">
        <v>1924</v>
      </c>
      <c r="Z2884" s="110">
        <v>1.1000000000000001</v>
      </c>
      <c r="AA2884" s="20" t="s">
        <v>1326</v>
      </c>
      <c r="AB2884" s="112">
        <f>Z2884</f>
        <v>1.1000000000000001</v>
      </c>
      <c r="AC2884" s="109"/>
      <c r="AD2884" s="109"/>
      <c r="AE2884" s="109"/>
      <c r="AF2884" s="109"/>
      <c r="AG2884" s="109"/>
      <c r="AH2884" s="109"/>
      <c r="AI2884" s="109"/>
      <c r="AJ2884" s="109"/>
      <c r="AK2884" s="109"/>
      <c r="AL2884" s="109"/>
      <c r="AM2884" s="109"/>
      <c r="AN2884" s="109"/>
      <c r="AO2884" s="109"/>
      <c r="AP2884" s="109"/>
      <c r="AQ2884" s="109"/>
      <c r="AR2884" s="109"/>
      <c r="AS2884" s="109"/>
    </row>
    <row r="2885" spans="1:45" ht="12.6" customHeight="1" x14ac:dyDescent="0.3">
      <c r="A2885" s="78"/>
      <c r="B2885" s="78"/>
      <c r="C2885" s="78"/>
      <c r="D2885" s="78"/>
      <c r="E2885" s="78"/>
      <c r="F2885" s="78"/>
      <c r="G2885" s="16" t="s">
        <v>1317</v>
      </c>
      <c r="Z2885" s="109"/>
      <c r="AA2885" s="109"/>
      <c r="AB2885" s="109"/>
      <c r="AC2885" s="109"/>
      <c r="AD2885" s="109"/>
      <c r="AE2885" s="109"/>
      <c r="AF2885" s="109"/>
      <c r="AG2885" s="109"/>
      <c r="AH2885" s="109"/>
      <c r="AI2885" s="109"/>
      <c r="AJ2885" s="109"/>
      <c r="AK2885" s="109"/>
      <c r="AL2885" s="109"/>
      <c r="AM2885" s="109"/>
      <c r="AN2885" s="109"/>
      <c r="AO2885" s="109"/>
      <c r="AP2885" s="109"/>
      <c r="AQ2885" s="109"/>
      <c r="AR2885" s="109"/>
      <c r="AS2885" s="109"/>
    </row>
    <row r="2886" spans="1:45" ht="12.6" customHeight="1" x14ac:dyDescent="0.3">
      <c r="A2886" s="68"/>
      <c r="B2886" s="97" t="str">
        <f>" t4 (적재작업이 시작될 때까지의 시간) = "&amp;Z2886&amp;""</f>
        <v xml:space="preserve"> t4 (적재작업이 시작될 때까지의 시간) = 0.7</v>
      </c>
      <c r="C2886" s="78"/>
      <c r="D2886" s="78"/>
      <c r="E2886" s="78"/>
      <c r="F2886" s="78"/>
      <c r="G2886" s="16" t="s">
        <v>1925</v>
      </c>
      <c r="Z2886" s="110">
        <v>0.7</v>
      </c>
      <c r="AA2886" s="20" t="s">
        <v>1326</v>
      </c>
      <c r="AB2886" s="112">
        <f>Z2886</f>
        <v>0.7</v>
      </c>
      <c r="AC2886" s="109"/>
      <c r="AD2886" s="109"/>
      <c r="AE2886" s="109"/>
      <c r="AF2886" s="109"/>
      <c r="AG2886" s="109"/>
      <c r="AH2886" s="109"/>
      <c r="AI2886" s="109"/>
      <c r="AJ2886" s="109"/>
      <c r="AK2886" s="109"/>
      <c r="AL2886" s="109"/>
      <c r="AM2886" s="109"/>
      <c r="AN2886" s="109"/>
      <c r="AO2886" s="109"/>
      <c r="AP2886" s="109"/>
      <c r="AQ2886" s="109"/>
      <c r="AR2886" s="109"/>
      <c r="AS2886" s="109"/>
    </row>
    <row r="2887" spans="1:45" ht="12.6" customHeight="1" x14ac:dyDescent="0.3">
      <c r="A2887" s="78"/>
      <c r="B2887" s="78"/>
      <c r="C2887" s="78"/>
      <c r="D2887" s="78"/>
      <c r="E2887" s="78"/>
      <c r="F2887" s="78"/>
      <c r="G2887" s="16" t="s">
        <v>1317</v>
      </c>
      <c r="Z2887" s="109"/>
      <c r="AA2887" s="109"/>
      <c r="AB2887" s="109"/>
      <c r="AC2887" s="109"/>
      <c r="AD2887" s="109"/>
      <c r="AE2887" s="109"/>
      <c r="AF2887" s="109"/>
      <c r="AG2887" s="109"/>
      <c r="AH2887" s="109"/>
      <c r="AI2887" s="109"/>
      <c r="AJ2887" s="109"/>
      <c r="AK2887" s="109"/>
      <c r="AL2887" s="109"/>
      <c r="AM2887" s="109"/>
      <c r="AN2887" s="109"/>
      <c r="AO2887" s="109"/>
      <c r="AP2887" s="109"/>
      <c r="AQ2887" s="109"/>
      <c r="AR2887" s="109"/>
      <c r="AS2887" s="109"/>
    </row>
    <row r="2888" spans="1:45" ht="12.6" customHeight="1" x14ac:dyDescent="0.3">
      <c r="A2888" s="68"/>
      <c r="B2888" s="97" t="str">
        <f>" Cm (1회 사이클 시간(분)) = t1 + t2 + t3 + t4  = "&amp;AH2888&amp;""</f>
        <v xml:space="preserve"> Cm (1회 사이클 시간(분)) = t1 + t2 + t3 + t4  = 25.09</v>
      </c>
      <c r="C2888" s="78"/>
      <c r="D2888" s="78"/>
      <c r="E2888" s="78"/>
      <c r="F2888" s="78"/>
      <c r="G2888" s="16" t="s">
        <v>1926</v>
      </c>
      <c r="Z2888" s="112" t="str">
        <f>AI2880</f>
        <v>17.10</v>
      </c>
      <c r="AA2888" s="20" t="s">
        <v>1535</v>
      </c>
      <c r="AB2888" s="112" t="str">
        <f>AK2882</f>
        <v>6.19</v>
      </c>
      <c r="AC2888" s="20" t="s">
        <v>1535</v>
      </c>
      <c r="AD2888" s="112">
        <f>AB2884</f>
        <v>1.1000000000000001</v>
      </c>
      <c r="AE2888" s="20" t="s">
        <v>1535</v>
      </c>
      <c r="AF2888" s="112">
        <f>AB2886</f>
        <v>0.7</v>
      </c>
      <c r="AG2888" s="20" t="s">
        <v>1326</v>
      </c>
      <c r="AH2888" s="112" t="str">
        <f>TEXT(ROUND(AI2880+AK2882+AB2884+AB2886,2),"0.00")</f>
        <v>25.09</v>
      </c>
      <c r="AI2888" s="109"/>
      <c r="AJ2888" s="109"/>
      <c r="AK2888" s="109"/>
      <c r="AL2888" s="109"/>
      <c r="AM2888" s="109"/>
      <c r="AN2888" s="109"/>
      <c r="AO2888" s="109"/>
      <c r="AP2888" s="109"/>
      <c r="AQ2888" s="109"/>
      <c r="AR2888" s="109"/>
      <c r="AS2888" s="109"/>
    </row>
    <row r="2889" spans="1:45" ht="12.6" customHeight="1" x14ac:dyDescent="0.3">
      <c r="A2889" s="78"/>
      <c r="B2889" s="78"/>
      <c r="C2889" s="78"/>
      <c r="D2889" s="78"/>
      <c r="E2889" s="78"/>
      <c r="F2889" s="78"/>
      <c r="G2889" s="16" t="s">
        <v>1317</v>
      </c>
      <c r="Z2889" s="109"/>
      <c r="AA2889" s="109"/>
      <c r="AB2889" s="109"/>
      <c r="AC2889" s="109"/>
      <c r="AD2889" s="109"/>
      <c r="AE2889" s="109"/>
      <c r="AF2889" s="109"/>
      <c r="AG2889" s="109"/>
      <c r="AH2889" s="109"/>
      <c r="AI2889" s="109"/>
      <c r="AJ2889" s="109"/>
      <c r="AK2889" s="109"/>
      <c r="AL2889" s="109"/>
      <c r="AM2889" s="109"/>
      <c r="AN2889" s="109"/>
      <c r="AO2889" s="109"/>
      <c r="AP2889" s="109"/>
      <c r="AQ2889" s="109"/>
      <c r="AR2889" s="109"/>
      <c r="AS2889" s="109"/>
    </row>
    <row r="2890" spans="1:45" ht="12.6" customHeight="1" x14ac:dyDescent="0.3">
      <c r="A2890" s="68"/>
      <c r="B2890" s="97" t="str">
        <f>" OH (상차 10분 초과 시 운반기계의 유류보정) = (cm-t1)/Cm = "&amp;AG2890&amp;""</f>
        <v xml:space="preserve"> OH (상차 10분 초과 시 운반기계의 유류보정) = (cm-t1)/Cm = 0.32</v>
      </c>
      <c r="C2890" s="78"/>
      <c r="D2890" s="78"/>
      <c r="E2890" s="78"/>
      <c r="F2890" s="78"/>
      <c r="G2890" s="16" t="s">
        <v>1927</v>
      </c>
      <c r="Z2890" s="20" t="s">
        <v>1526</v>
      </c>
      <c r="AA2890" s="112" t="str">
        <f>AH2888</f>
        <v>25.09</v>
      </c>
      <c r="AB2890" s="20" t="s">
        <v>1407</v>
      </c>
      <c r="AC2890" s="112" t="str">
        <f>AI2880</f>
        <v>17.10</v>
      </c>
      <c r="AD2890" s="20" t="s">
        <v>1727</v>
      </c>
      <c r="AE2890" s="112" t="str">
        <f>AH2888</f>
        <v>25.09</v>
      </c>
      <c r="AF2890" s="20" t="s">
        <v>1326</v>
      </c>
      <c r="AG2890" s="112" t="str">
        <f>TEXT(ROUND((AH2888-AI2880)/AH2888,2),"0.00")</f>
        <v>0.32</v>
      </c>
      <c r="AH2890" s="109"/>
      <c r="AI2890" s="109"/>
      <c r="AJ2890" s="109"/>
      <c r="AK2890" s="109"/>
      <c r="AL2890" s="109"/>
      <c r="AM2890" s="109"/>
      <c r="AN2890" s="109"/>
      <c r="AO2890" s="109"/>
      <c r="AP2890" s="109"/>
      <c r="AQ2890" s="109"/>
      <c r="AR2890" s="109"/>
      <c r="AS2890" s="109"/>
    </row>
    <row r="2891" spans="1:45" ht="12.6" customHeight="1" x14ac:dyDescent="0.3">
      <c r="A2891" s="78"/>
      <c r="B2891" s="78"/>
      <c r="C2891" s="78"/>
      <c r="D2891" s="78"/>
      <c r="E2891" s="78"/>
      <c r="F2891" s="78"/>
      <c r="G2891" s="16" t="s">
        <v>1317</v>
      </c>
      <c r="Z2891" s="109"/>
      <c r="AA2891" s="109"/>
      <c r="AB2891" s="109"/>
      <c r="AC2891" s="109"/>
      <c r="AD2891" s="109"/>
      <c r="AE2891" s="109"/>
      <c r="AF2891" s="109"/>
      <c r="AG2891" s="109"/>
      <c r="AH2891" s="109"/>
      <c r="AI2891" s="109"/>
      <c r="AJ2891" s="109"/>
      <c r="AK2891" s="109"/>
      <c r="AL2891" s="109"/>
      <c r="AM2891" s="109"/>
      <c r="AN2891" s="109"/>
      <c r="AO2891" s="109"/>
      <c r="AP2891" s="109"/>
      <c r="AQ2891" s="109"/>
      <c r="AR2891" s="109"/>
      <c r="AS2891" s="109"/>
    </row>
    <row r="2892" spans="1:45" ht="12.6" customHeight="1" x14ac:dyDescent="0.3">
      <c r="A2892" s="68"/>
      <c r="B2892" s="97" t="str">
        <f>" Q1 (시간당 작업량) = "&amp;Z2892&amp;" * q1 * F * E / Cm = "&amp;AJ2892&amp;" m3/hr "</f>
        <v xml:space="preserve"> Q1 (시간당 작업량) = 60 * q1 * F * E / Cm = 18.67 m3/hr </v>
      </c>
      <c r="C2892" s="78"/>
      <c r="D2892" s="78"/>
      <c r="E2892" s="78"/>
      <c r="F2892" s="78"/>
      <c r="G2892" s="16" t="s">
        <v>1928</v>
      </c>
      <c r="Z2892" s="111">
        <v>60</v>
      </c>
      <c r="AA2892" s="20" t="s">
        <v>1390</v>
      </c>
      <c r="AB2892" s="112" t="str">
        <f>AG2874</f>
        <v>12.57</v>
      </c>
      <c r="AC2892" s="20" t="s">
        <v>1390</v>
      </c>
      <c r="AD2892" s="112" t="str">
        <f>AD2872</f>
        <v>0.69</v>
      </c>
      <c r="AE2892" s="20" t="s">
        <v>1390</v>
      </c>
      <c r="AF2892" s="112">
        <f>AF2870</f>
        <v>0.9</v>
      </c>
      <c r="AG2892" s="20" t="s">
        <v>1387</v>
      </c>
      <c r="AH2892" s="112" t="str">
        <f>AH2888</f>
        <v>25.09</v>
      </c>
      <c r="AI2892" s="20" t="s">
        <v>1326</v>
      </c>
      <c r="AJ2892" s="112" t="str">
        <f>TEXT(ROUND(Z2892*AG2874*AD2872*AF2870/AH2888,2),"0.00")</f>
        <v>18.67</v>
      </c>
      <c r="AK2892" s="109"/>
      <c r="AL2892" s="109"/>
      <c r="AM2892" s="109"/>
      <c r="AN2892" s="109"/>
      <c r="AO2892" s="109"/>
      <c r="AP2892" s="109"/>
      <c r="AQ2892" s="109"/>
      <c r="AR2892" s="109"/>
      <c r="AS2892" s="109"/>
    </row>
    <row r="2893" spans="1:45" ht="12.6" customHeight="1" x14ac:dyDescent="0.3">
      <c r="A2893" s="78"/>
      <c r="B2893" s="78"/>
      <c r="C2893" s="78"/>
      <c r="D2893" s="78"/>
      <c r="E2893" s="78"/>
      <c r="F2893" s="78"/>
      <c r="G2893" s="16" t="s">
        <v>1317</v>
      </c>
      <c r="Z2893" s="109"/>
      <c r="AA2893" s="109"/>
      <c r="AB2893" s="109"/>
      <c r="AC2893" s="109"/>
      <c r="AD2893" s="109"/>
      <c r="AE2893" s="109"/>
      <c r="AF2893" s="109"/>
      <c r="AG2893" s="109"/>
      <c r="AH2893" s="109"/>
      <c r="AI2893" s="109"/>
      <c r="AJ2893" s="109"/>
      <c r="AK2893" s="109"/>
      <c r="AL2893" s="109"/>
      <c r="AM2893" s="109"/>
      <c r="AN2893" s="109"/>
      <c r="AO2893" s="109"/>
      <c r="AP2893" s="109"/>
      <c r="AQ2893" s="109"/>
      <c r="AR2893" s="109"/>
      <c r="AS2893" s="109"/>
    </row>
    <row r="2894" spans="1:45" ht="12.6" customHeight="1" x14ac:dyDescent="0.3">
      <c r="A2894" s="68" t="s">
        <v>1812</v>
      </c>
      <c r="B2894" s="97" t="str">
        <f>" 노 무 비  :   "&amp;TEXT(I2894,"#,##0"&amp;IF(I2894&lt;&gt;INT(I2894),".###",""))&amp;" / Q1  = "&amp;TEXT(C2894,"#,##0.0")&amp;""</f>
        <v xml:space="preserve"> 노 무 비  :   55,700 / Q1  = 2,983.3</v>
      </c>
      <c r="C2894" s="99">
        <f>E2894+D2894+F2894</f>
        <v>2983.3</v>
      </c>
      <c r="D2894" s="99">
        <f>IF(H2894=0,0,ROUNDDOWN(J2894*H2894,1))</f>
        <v>2983.3</v>
      </c>
      <c r="E2894" s="99">
        <f>IF(H2894=0,0,ROUNDDOWN(K2894*H2894,1))</f>
        <v>0</v>
      </c>
      <c r="F2894" s="99">
        <f>IF(H2894=0,0,ROUNDDOWN(L2894*H2894,1))</f>
        <v>0</v>
      </c>
      <c r="G2894" s="16" t="s">
        <v>1929</v>
      </c>
      <c r="H2894" s="105">
        <f>AC2894</f>
        <v>5.3561863952865552E-2</v>
      </c>
      <c r="I2894" s="106">
        <f>K2894+J2894+L2894</f>
        <v>55700</v>
      </c>
      <c r="J2894" s="39">
        <f>중기목록표!F11</f>
        <v>55700</v>
      </c>
      <c r="M2894" s="20" t="s">
        <v>1813</v>
      </c>
      <c r="N2894" s="20" t="s">
        <v>1332</v>
      </c>
      <c r="X2894" s="108" t="str">
        <f>중기목록표!B11&amp;" / "&amp;중기목록표!C11</f>
        <v xml:space="preserve">덤프트럭15ton(토사) / </v>
      </c>
      <c r="Y2894" s="19" t="str">
        <f ca="1">HYPERLINK("#"&amp;중기목록표!J2&amp;"!A"&amp;ROW(중기목록표!A11),"중기    8 →")</f>
        <v>중기    8 →</v>
      </c>
      <c r="Z2894" s="20" t="s">
        <v>1393</v>
      </c>
      <c r="AA2894" s="112" t="str">
        <f>AJ2892</f>
        <v>18.67</v>
      </c>
      <c r="AB2894" s="20" t="s">
        <v>1326</v>
      </c>
      <c r="AC2894" s="113">
        <f>1/AJ2892</f>
        <v>5.3561863952865552E-2</v>
      </c>
      <c r="AD2894" s="109"/>
      <c r="AE2894" s="109"/>
      <c r="AF2894" s="109"/>
      <c r="AG2894" s="109"/>
      <c r="AH2894" s="109"/>
      <c r="AI2894" s="109"/>
      <c r="AJ2894" s="109"/>
      <c r="AK2894" s="109"/>
      <c r="AL2894" s="109"/>
      <c r="AM2894" s="109"/>
      <c r="AN2894" s="109"/>
      <c r="AO2894" s="109"/>
      <c r="AP2894" s="109"/>
      <c r="AQ2894" s="109"/>
      <c r="AR2894" s="109"/>
      <c r="AS2894" s="109"/>
    </row>
    <row r="2895" spans="1:45" ht="12.6" customHeight="1" x14ac:dyDescent="0.3">
      <c r="A2895" s="78"/>
      <c r="B2895" s="78"/>
      <c r="C2895" s="78"/>
      <c r="D2895" s="78"/>
      <c r="E2895" s="78"/>
      <c r="F2895" s="78"/>
      <c r="G2895" s="16" t="s">
        <v>1317</v>
      </c>
      <c r="Z2895" s="109"/>
      <c r="AA2895" s="109"/>
      <c r="AB2895" s="109"/>
      <c r="AC2895" s="109"/>
      <c r="AD2895" s="109"/>
      <c r="AE2895" s="109"/>
      <c r="AF2895" s="109"/>
      <c r="AG2895" s="109"/>
      <c r="AH2895" s="109"/>
      <c r="AI2895" s="109"/>
      <c r="AJ2895" s="109"/>
      <c r="AK2895" s="109"/>
      <c r="AL2895" s="109"/>
      <c r="AM2895" s="109"/>
      <c r="AN2895" s="109"/>
      <c r="AO2895" s="109"/>
      <c r="AP2895" s="109"/>
      <c r="AQ2895" s="109"/>
      <c r="AR2895" s="109"/>
      <c r="AS2895" s="109"/>
    </row>
    <row r="2896" spans="1:45" ht="12.6" customHeight="1" x14ac:dyDescent="0.3">
      <c r="A2896" s="68" t="s">
        <v>1815</v>
      </c>
      <c r="B2896" s="97" t="str">
        <f>" 재 료 비  :   "&amp;TEXT(I2896,"#,##0"&amp;IF(I2896&lt;&gt;INT(I2896),".###",""))&amp;" / Q1 * OH = "&amp;TEXT(C2896,"#,##0.0")&amp;""</f>
        <v xml:space="preserve"> 재 료 비  :   27,910 / Q1 * OH = 478.3</v>
      </c>
      <c r="C2896" s="99">
        <f>E2896+D2896+F2896</f>
        <v>478.3</v>
      </c>
      <c r="D2896" s="99">
        <f>IF(H2896=0,0,ROUNDDOWN(J2896*H2896,1))</f>
        <v>0</v>
      </c>
      <c r="E2896" s="99">
        <f>IF(H2896=0,0,ROUNDDOWN(K2896*H2896,1))</f>
        <v>478.3</v>
      </c>
      <c r="F2896" s="99">
        <f>IF(H2896=0,0,ROUNDDOWN(L2896*H2896,1))</f>
        <v>0</v>
      </c>
      <c r="G2896" s="16" t="s">
        <v>1930</v>
      </c>
      <c r="H2896" s="105">
        <f>AE2896</f>
        <v>1.7139796464916975E-2</v>
      </c>
      <c r="I2896" s="106">
        <f>K2896+J2896+L2896</f>
        <v>27910</v>
      </c>
      <c r="K2896" s="39">
        <f>중기목록표!G11</f>
        <v>27910</v>
      </c>
      <c r="M2896" s="20" t="s">
        <v>1813</v>
      </c>
      <c r="N2896" s="20" t="s">
        <v>1332</v>
      </c>
      <c r="X2896" s="108" t="str">
        <f>중기목록표!B11&amp;" / "&amp;중기목록표!C11</f>
        <v xml:space="preserve">덤프트럭15ton(토사) / </v>
      </c>
      <c r="Y2896" s="19" t="str">
        <f ca="1">HYPERLINK("#"&amp;중기목록표!J2&amp;"!A"&amp;ROW(중기목록표!A11),"중기    8 →")</f>
        <v>중기    8 →</v>
      </c>
      <c r="Z2896" s="20" t="s">
        <v>1393</v>
      </c>
      <c r="AA2896" s="112" t="str">
        <f>AJ2892</f>
        <v>18.67</v>
      </c>
      <c r="AB2896" s="20" t="s">
        <v>1390</v>
      </c>
      <c r="AC2896" s="112" t="str">
        <f>AG2890</f>
        <v>0.32</v>
      </c>
      <c r="AD2896" s="20" t="s">
        <v>1326</v>
      </c>
      <c r="AE2896" s="113">
        <f>1/AJ2892*AG2890</f>
        <v>1.7139796464916975E-2</v>
      </c>
      <c r="AF2896" s="109"/>
      <c r="AG2896" s="109"/>
      <c r="AH2896" s="109"/>
      <c r="AI2896" s="109"/>
      <c r="AJ2896" s="109"/>
      <c r="AK2896" s="109"/>
      <c r="AL2896" s="109"/>
      <c r="AM2896" s="109"/>
      <c r="AN2896" s="109"/>
      <c r="AO2896" s="109"/>
      <c r="AP2896" s="109"/>
      <c r="AQ2896" s="109"/>
      <c r="AR2896" s="109"/>
      <c r="AS2896" s="109"/>
    </row>
    <row r="2897" spans="1:45" ht="12.6" customHeight="1" x14ac:dyDescent="0.3">
      <c r="A2897" s="78"/>
      <c r="B2897" s="78"/>
      <c r="C2897" s="78"/>
      <c r="D2897" s="78"/>
      <c r="E2897" s="78"/>
      <c r="F2897" s="78"/>
      <c r="G2897" s="16" t="s">
        <v>1317</v>
      </c>
      <c r="Z2897" s="109"/>
      <c r="AA2897" s="109"/>
      <c r="AB2897" s="109"/>
      <c r="AC2897" s="109"/>
      <c r="AD2897" s="109"/>
      <c r="AE2897" s="109"/>
      <c r="AF2897" s="109"/>
      <c r="AG2897" s="109"/>
      <c r="AH2897" s="109"/>
      <c r="AI2897" s="109"/>
      <c r="AJ2897" s="109"/>
      <c r="AK2897" s="109"/>
      <c r="AL2897" s="109"/>
      <c r="AM2897" s="109"/>
      <c r="AN2897" s="109"/>
      <c r="AO2897" s="109"/>
      <c r="AP2897" s="109"/>
      <c r="AQ2897" s="109"/>
      <c r="AR2897" s="109"/>
      <c r="AS2897" s="109"/>
    </row>
    <row r="2898" spans="1:45" ht="12.6" customHeight="1" x14ac:dyDescent="0.3">
      <c r="A2898" s="68" t="s">
        <v>1817</v>
      </c>
      <c r="B2898" s="97" t="str">
        <f>" 경    비  :   "&amp;TEXT(I2898,"#,##0"&amp;IF(I2898&lt;&gt;INT(I2898),".###",""))&amp;" / Q1  = "&amp;TEXT(C2898,"#,##0.0")&amp;""</f>
        <v xml:space="preserve"> 경    비  :   19,631 / Q1  = 1,051.4</v>
      </c>
      <c r="C2898" s="99">
        <f>E2898+D2898+F2898</f>
        <v>1051.4000000000001</v>
      </c>
      <c r="D2898" s="99">
        <f>IF(H2898=0,0,ROUNDDOWN(J2898*H2898,1))</f>
        <v>0</v>
      </c>
      <c r="E2898" s="99">
        <f>IF(H2898=0,0,ROUNDDOWN(K2898*H2898,1))</f>
        <v>0</v>
      </c>
      <c r="F2898" s="99">
        <f>IF(H2898=0,0,ROUNDDOWN(L2898*H2898,1))</f>
        <v>1051.4000000000001</v>
      </c>
      <c r="G2898" s="16" t="s">
        <v>1931</v>
      </c>
      <c r="H2898" s="105">
        <f>AC2898</f>
        <v>5.3561863952865552E-2</v>
      </c>
      <c r="I2898" s="106">
        <f>K2898+J2898+L2898</f>
        <v>19631</v>
      </c>
      <c r="L2898" s="39">
        <f>중기목록표!H11</f>
        <v>19631</v>
      </c>
      <c r="M2898" s="20" t="s">
        <v>1813</v>
      </c>
      <c r="N2898" s="20" t="s">
        <v>1332</v>
      </c>
      <c r="X2898" s="108" t="str">
        <f>중기목록표!B11&amp;" / "&amp;중기목록표!C11</f>
        <v xml:space="preserve">덤프트럭15ton(토사) / </v>
      </c>
      <c r="Y2898" s="19" t="str">
        <f ca="1">HYPERLINK("#"&amp;중기목록표!J2&amp;"!A"&amp;ROW(중기목록표!A11),"중기    8 →")</f>
        <v>중기    8 →</v>
      </c>
      <c r="Z2898" s="20" t="s">
        <v>1393</v>
      </c>
      <c r="AA2898" s="112" t="str">
        <f>AJ2892</f>
        <v>18.67</v>
      </c>
      <c r="AB2898" s="20" t="s">
        <v>1326</v>
      </c>
      <c r="AC2898" s="113">
        <f>1/AJ2892</f>
        <v>5.3561863952865552E-2</v>
      </c>
      <c r="AD2898" s="109"/>
      <c r="AE2898" s="109"/>
      <c r="AF2898" s="109"/>
      <c r="AG2898" s="109"/>
      <c r="AH2898" s="109"/>
      <c r="AI2898" s="109"/>
      <c r="AJ2898" s="109"/>
      <c r="AK2898" s="109"/>
      <c r="AL2898" s="109"/>
      <c r="AM2898" s="109"/>
      <c r="AN2898" s="109"/>
      <c r="AO2898" s="109"/>
      <c r="AP2898" s="109"/>
      <c r="AQ2898" s="109"/>
      <c r="AR2898" s="109"/>
      <c r="AS2898" s="109"/>
    </row>
    <row r="2899" spans="1:45" ht="12.6" customHeight="1" x14ac:dyDescent="0.3">
      <c r="A2899" s="78"/>
      <c r="B2899" s="78"/>
      <c r="C2899" s="78"/>
      <c r="D2899" s="78"/>
      <c r="E2899" s="78"/>
      <c r="F2899" s="78"/>
      <c r="G2899" s="16" t="s">
        <v>1317</v>
      </c>
      <c r="Z2899" s="109"/>
      <c r="AA2899" s="109"/>
      <c r="AB2899" s="109"/>
      <c r="AC2899" s="109"/>
      <c r="AD2899" s="109"/>
      <c r="AE2899" s="109"/>
      <c r="AF2899" s="109"/>
      <c r="AG2899" s="109"/>
      <c r="AH2899" s="109"/>
      <c r="AI2899" s="109"/>
      <c r="AJ2899" s="109"/>
      <c r="AK2899" s="109"/>
      <c r="AL2899" s="109"/>
      <c r="AM2899" s="109"/>
      <c r="AN2899" s="109"/>
      <c r="AO2899" s="109"/>
      <c r="AP2899" s="109"/>
      <c r="AQ2899" s="109"/>
      <c r="AR2899" s="109"/>
      <c r="AS2899" s="109"/>
    </row>
    <row r="2900" spans="1:45" ht="12.6" customHeight="1" x14ac:dyDescent="0.3">
      <c r="A2900" s="68"/>
      <c r="B2900" s="77" t="s">
        <v>1331</v>
      </c>
      <c r="C2900" s="100">
        <f>E2900+D2900+F2900</f>
        <v>4513</v>
      </c>
      <c r="D2900" s="100">
        <f>SUMIF(N2865:N2899,M2900,D2865:D2899)</f>
        <v>2983.3</v>
      </c>
      <c r="E2900" s="100">
        <f>SUMIF(N2865:N2899,M2900,E2865:E2899)</f>
        <v>478.3</v>
      </c>
      <c r="F2900" s="100">
        <f>SUMIF(N2865:N2899,M2900,F2865:F2899)</f>
        <v>1051.4000000000001</v>
      </c>
      <c r="G2900" s="16" t="s">
        <v>1363</v>
      </c>
      <c r="M2900" s="20" t="s">
        <v>1332</v>
      </c>
      <c r="N2900" s="20" t="s">
        <v>1341</v>
      </c>
      <c r="Z2900" s="109"/>
      <c r="AA2900" s="109"/>
      <c r="AB2900" s="109"/>
      <c r="AC2900" s="109"/>
      <c r="AD2900" s="109"/>
      <c r="AE2900" s="109"/>
      <c r="AF2900" s="109"/>
      <c r="AG2900" s="109"/>
      <c r="AH2900" s="109"/>
      <c r="AI2900" s="109"/>
      <c r="AJ2900" s="109"/>
      <c r="AK2900" s="109"/>
      <c r="AL2900" s="109"/>
      <c r="AM2900" s="109"/>
      <c r="AN2900" s="109"/>
      <c r="AO2900" s="109"/>
      <c r="AP2900" s="109"/>
      <c r="AQ2900" s="109"/>
      <c r="AR2900" s="109"/>
      <c r="AS2900" s="109"/>
    </row>
    <row r="2901" spans="1:45" ht="12.6" customHeight="1" x14ac:dyDescent="0.3">
      <c r="A2901" s="78"/>
      <c r="B2901" s="78"/>
      <c r="C2901" s="98"/>
      <c r="D2901" s="98"/>
      <c r="E2901" s="98"/>
      <c r="F2901" s="98"/>
      <c r="G2901" s="16" t="s">
        <v>1317</v>
      </c>
      <c r="Z2901" s="109"/>
      <c r="AA2901" s="109"/>
      <c r="AB2901" s="109"/>
      <c r="AC2901" s="109"/>
      <c r="AD2901" s="109"/>
      <c r="AE2901" s="109"/>
      <c r="AF2901" s="109"/>
      <c r="AG2901" s="109"/>
      <c r="AH2901" s="109"/>
      <c r="AI2901" s="109"/>
      <c r="AJ2901" s="109"/>
      <c r="AK2901" s="109"/>
      <c r="AL2901" s="109"/>
      <c r="AM2901" s="109"/>
      <c r="AN2901" s="109"/>
      <c r="AO2901" s="109"/>
      <c r="AP2901" s="109"/>
      <c r="AQ2901" s="109"/>
      <c r="AR2901" s="109"/>
      <c r="AS2901" s="109"/>
    </row>
    <row r="2902" spans="1:45" ht="12.6" customHeight="1" x14ac:dyDescent="0.3">
      <c r="A2902" s="78"/>
      <c r="B2902" s="78"/>
      <c r="C2902" s="78"/>
      <c r="D2902" s="78"/>
      <c r="E2902" s="78"/>
      <c r="F2902" s="78"/>
      <c r="G2902" s="16" t="s">
        <v>1317</v>
      </c>
      <c r="Z2902" s="109"/>
      <c r="AA2902" s="109"/>
      <c r="AB2902" s="109"/>
      <c r="AC2902" s="109"/>
      <c r="AD2902" s="109"/>
      <c r="AE2902" s="109"/>
      <c r="AF2902" s="109"/>
      <c r="AG2902" s="109"/>
      <c r="AH2902" s="109"/>
      <c r="AI2902" s="109"/>
      <c r="AJ2902" s="109"/>
      <c r="AK2902" s="109"/>
      <c r="AL2902" s="109"/>
      <c r="AM2902" s="109"/>
      <c r="AN2902" s="109"/>
      <c r="AO2902" s="109"/>
      <c r="AP2902" s="109"/>
      <c r="AQ2902" s="109"/>
      <c r="AR2902" s="109"/>
      <c r="AS2902" s="109"/>
    </row>
    <row r="2903" spans="1:45" ht="12.6" customHeight="1" x14ac:dyDescent="0.3">
      <c r="A2903" s="68"/>
      <c r="B2903" s="77" t="s">
        <v>1933</v>
      </c>
      <c r="C2903" s="78"/>
      <c r="D2903" s="78"/>
      <c r="E2903" s="78"/>
      <c r="F2903" s="78"/>
      <c r="G2903" s="16" t="s">
        <v>1932</v>
      </c>
      <c r="Z2903" s="109"/>
      <c r="AA2903" s="109"/>
      <c r="AB2903" s="109"/>
      <c r="AC2903" s="109"/>
      <c r="AD2903" s="109"/>
      <c r="AE2903" s="109"/>
      <c r="AF2903" s="109"/>
      <c r="AG2903" s="109"/>
      <c r="AH2903" s="109"/>
      <c r="AI2903" s="109"/>
      <c r="AJ2903" s="109"/>
      <c r="AK2903" s="109"/>
      <c r="AL2903" s="109"/>
      <c r="AM2903" s="109"/>
      <c r="AN2903" s="109"/>
      <c r="AO2903" s="109"/>
      <c r="AP2903" s="109"/>
      <c r="AQ2903" s="109"/>
      <c r="AR2903" s="109"/>
      <c r="AS2903" s="109"/>
    </row>
    <row r="2904" spans="1:45" ht="12.6" customHeight="1" x14ac:dyDescent="0.3">
      <c r="A2904" s="78"/>
      <c r="B2904" s="78"/>
      <c r="C2904" s="78"/>
      <c r="D2904" s="78"/>
      <c r="E2904" s="78"/>
      <c r="F2904" s="78"/>
      <c r="G2904" s="16" t="s">
        <v>1317</v>
      </c>
      <c r="Z2904" s="109"/>
      <c r="AA2904" s="109"/>
      <c r="AB2904" s="109"/>
      <c r="AC2904" s="109"/>
      <c r="AD2904" s="109"/>
      <c r="AE2904" s="109"/>
      <c r="AF2904" s="109"/>
      <c r="AG2904" s="109"/>
      <c r="AH2904" s="109"/>
      <c r="AI2904" s="109"/>
      <c r="AJ2904" s="109"/>
      <c r="AK2904" s="109"/>
      <c r="AL2904" s="109"/>
      <c r="AM2904" s="109"/>
      <c r="AN2904" s="109"/>
      <c r="AO2904" s="109"/>
      <c r="AP2904" s="109"/>
      <c r="AQ2904" s="109"/>
      <c r="AR2904" s="109"/>
      <c r="AS2904" s="109"/>
    </row>
    <row r="2905" spans="1:45" ht="12.6" customHeight="1" x14ac:dyDescent="0.3">
      <c r="A2905" s="68"/>
      <c r="B2905" s="97" t="str">
        <f>"q (버킷용량) = "&amp;Z2905&amp;" , k (버킷계수) = "&amp;AD2905&amp;" , f (체적환산계수) = "&amp;AH2905&amp;""</f>
        <v>q (버킷용량) = 0.7 , k (버킷계수) = 0.7 , f (체적환산계수) = 1</v>
      </c>
      <c r="C2905" s="78"/>
      <c r="D2905" s="78"/>
      <c r="E2905" s="78"/>
      <c r="F2905" s="78"/>
      <c r="G2905" s="16" t="s">
        <v>1934</v>
      </c>
      <c r="Z2905" s="110">
        <v>0.7</v>
      </c>
      <c r="AA2905" s="20" t="s">
        <v>1326</v>
      </c>
      <c r="AB2905" s="112">
        <f>Z2905</f>
        <v>0.7</v>
      </c>
      <c r="AC2905" s="20" t="s">
        <v>1385</v>
      </c>
      <c r="AD2905" s="110">
        <v>0.7</v>
      </c>
      <c r="AE2905" s="20" t="s">
        <v>1326</v>
      </c>
      <c r="AF2905" s="112">
        <f>AD2905</f>
        <v>0.7</v>
      </c>
      <c r="AG2905" s="20" t="s">
        <v>1385</v>
      </c>
      <c r="AH2905" s="111">
        <v>1</v>
      </c>
      <c r="AI2905" s="20" t="s">
        <v>1326</v>
      </c>
      <c r="AJ2905" s="112">
        <f>AH2905</f>
        <v>1</v>
      </c>
      <c r="AK2905" s="20" t="s">
        <v>1385</v>
      </c>
      <c r="AL2905" s="109"/>
      <c r="AM2905" s="109"/>
      <c r="AN2905" s="109"/>
      <c r="AO2905" s="109"/>
      <c r="AP2905" s="109"/>
      <c r="AQ2905" s="109"/>
      <c r="AR2905" s="109"/>
      <c r="AS2905" s="109"/>
    </row>
    <row r="2906" spans="1:45" ht="12.6" customHeight="1" x14ac:dyDescent="0.3">
      <c r="A2906" s="78"/>
      <c r="B2906" s="78"/>
      <c r="C2906" s="78"/>
      <c r="D2906" s="78"/>
      <c r="E2906" s="78"/>
      <c r="F2906" s="78"/>
      <c r="G2906" s="16" t="s">
        <v>1317</v>
      </c>
      <c r="Z2906" s="109"/>
      <c r="AA2906" s="109"/>
      <c r="AB2906" s="109"/>
      <c r="AC2906" s="109"/>
      <c r="AD2906" s="109"/>
      <c r="AE2906" s="109"/>
      <c r="AF2906" s="109"/>
      <c r="AG2906" s="109"/>
      <c r="AH2906" s="109"/>
      <c r="AI2906" s="109"/>
      <c r="AJ2906" s="109"/>
      <c r="AK2906" s="109"/>
      <c r="AL2906" s="109"/>
      <c r="AM2906" s="109"/>
      <c r="AN2906" s="109"/>
      <c r="AO2906" s="109"/>
      <c r="AP2906" s="109"/>
      <c r="AQ2906" s="109"/>
      <c r="AR2906" s="109"/>
      <c r="AS2906" s="109"/>
    </row>
    <row r="2907" spans="1:45" ht="12.6" customHeight="1" x14ac:dyDescent="0.3">
      <c r="A2907" s="68"/>
      <c r="B2907" s="97" t="str">
        <f>"E (작업효율) = "&amp;Z2907&amp;" , Cm (1회사이클시간(초)) = "&amp;AD2907&amp;"  sec(90) "</f>
        <v xml:space="preserve">E (작업효율) = 0.65 , Cm (1회사이클시간(초)) = 18  sec(90) </v>
      </c>
      <c r="C2907" s="78"/>
      <c r="D2907" s="78"/>
      <c r="E2907" s="78"/>
      <c r="F2907" s="78"/>
      <c r="G2907" s="16" t="s">
        <v>1935</v>
      </c>
      <c r="Z2907" s="110">
        <v>0.65</v>
      </c>
      <c r="AA2907" s="20" t="s">
        <v>1326</v>
      </c>
      <c r="AB2907" s="112">
        <f>Z2907</f>
        <v>0.65</v>
      </c>
      <c r="AC2907" s="20" t="s">
        <v>1385</v>
      </c>
      <c r="AD2907" s="111">
        <v>18</v>
      </c>
      <c r="AE2907" s="20" t="s">
        <v>1326</v>
      </c>
      <c r="AF2907" s="112">
        <f>AD2907</f>
        <v>18</v>
      </c>
      <c r="AG2907" s="20" t="s">
        <v>1385</v>
      </c>
      <c r="AH2907" s="109"/>
      <c r="AI2907" s="109"/>
      <c r="AJ2907" s="109"/>
      <c r="AK2907" s="109"/>
      <c r="AL2907" s="109"/>
      <c r="AM2907" s="109"/>
      <c r="AN2907" s="109"/>
      <c r="AO2907" s="109"/>
      <c r="AP2907" s="109"/>
      <c r="AQ2907" s="109"/>
      <c r="AR2907" s="109"/>
      <c r="AS2907" s="109"/>
    </row>
    <row r="2908" spans="1:45" ht="12.6" customHeight="1" x14ac:dyDescent="0.3">
      <c r="A2908" s="78"/>
      <c r="B2908" s="78"/>
      <c r="C2908" s="78"/>
      <c r="D2908" s="78"/>
      <c r="E2908" s="78"/>
      <c r="F2908" s="78"/>
      <c r="G2908" s="16" t="s">
        <v>1317</v>
      </c>
      <c r="Z2908" s="109"/>
      <c r="AA2908" s="109"/>
      <c r="AB2908" s="109"/>
      <c r="AC2908" s="109"/>
      <c r="AD2908" s="109"/>
      <c r="AE2908" s="109"/>
      <c r="AF2908" s="109"/>
      <c r="AG2908" s="109"/>
      <c r="AH2908" s="109"/>
      <c r="AI2908" s="109"/>
      <c r="AJ2908" s="109"/>
      <c r="AK2908" s="109"/>
      <c r="AL2908" s="109"/>
      <c r="AM2908" s="109"/>
      <c r="AN2908" s="109"/>
      <c r="AO2908" s="109"/>
      <c r="AP2908" s="109"/>
      <c r="AQ2908" s="109"/>
      <c r="AR2908" s="109"/>
      <c r="AS2908" s="109"/>
    </row>
    <row r="2909" spans="1:45" ht="12.6" customHeight="1" x14ac:dyDescent="0.3">
      <c r="A2909" s="68"/>
      <c r="B2909" s="97" t="str">
        <f>"Q (시간당 작업량) = "&amp;Z2909&amp;"*q*k*E*f/Cm = "&amp;AL2909&amp;" m3/hr "</f>
        <v xml:space="preserve">Q (시간당 작업량) = 3600*q*k*E*f/Cm = 63.70 m3/hr </v>
      </c>
      <c r="C2909" s="78"/>
      <c r="D2909" s="78"/>
      <c r="E2909" s="78"/>
      <c r="F2909" s="78"/>
      <c r="G2909" s="16" t="s">
        <v>1936</v>
      </c>
      <c r="Z2909" s="111">
        <v>3600</v>
      </c>
      <c r="AA2909" s="20" t="s">
        <v>1390</v>
      </c>
      <c r="AB2909" s="112">
        <f>AB2905</f>
        <v>0.7</v>
      </c>
      <c r="AC2909" s="20" t="s">
        <v>1390</v>
      </c>
      <c r="AD2909" s="112">
        <f>AF2905</f>
        <v>0.7</v>
      </c>
      <c r="AE2909" s="20" t="s">
        <v>1390</v>
      </c>
      <c r="AF2909" s="112">
        <f>AB2907</f>
        <v>0.65</v>
      </c>
      <c r="AG2909" s="20" t="s">
        <v>1390</v>
      </c>
      <c r="AH2909" s="112">
        <f>AJ2905</f>
        <v>1</v>
      </c>
      <c r="AI2909" s="20" t="s">
        <v>1387</v>
      </c>
      <c r="AJ2909" s="112">
        <f>AF2907</f>
        <v>18</v>
      </c>
      <c r="AK2909" s="20" t="s">
        <v>1326</v>
      </c>
      <c r="AL2909" s="112" t="str">
        <f>TEXT(ROUND(Z2909*AB2905*AF2905*AB2907*AJ2905/AF2907,2),"0.00")</f>
        <v>63.70</v>
      </c>
      <c r="AM2909" s="109"/>
      <c r="AN2909" s="109"/>
      <c r="AO2909" s="109"/>
      <c r="AP2909" s="109"/>
      <c r="AQ2909" s="109"/>
      <c r="AR2909" s="109"/>
      <c r="AS2909" s="109"/>
    </row>
    <row r="2910" spans="1:45" ht="12.6" customHeight="1" x14ac:dyDescent="0.3">
      <c r="A2910" s="78"/>
      <c r="B2910" s="78"/>
      <c r="C2910" s="78"/>
      <c r="D2910" s="78"/>
      <c r="E2910" s="78"/>
      <c r="F2910" s="78"/>
      <c r="G2910" s="16" t="s">
        <v>1317</v>
      </c>
      <c r="Z2910" s="109"/>
      <c r="AA2910" s="109"/>
      <c r="AB2910" s="109"/>
      <c r="AC2910" s="109"/>
      <c r="AD2910" s="109"/>
      <c r="AE2910" s="109"/>
      <c r="AF2910" s="109"/>
      <c r="AG2910" s="109"/>
      <c r="AH2910" s="109"/>
      <c r="AI2910" s="109"/>
      <c r="AJ2910" s="109"/>
      <c r="AK2910" s="109"/>
      <c r="AL2910" s="109"/>
      <c r="AM2910" s="109"/>
      <c r="AN2910" s="109"/>
      <c r="AO2910" s="109"/>
      <c r="AP2910" s="109"/>
      <c r="AQ2910" s="109"/>
      <c r="AR2910" s="109"/>
      <c r="AS2910" s="109"/>
    </row>
    <row r="2911" spans="1:45" ht="12.6" customHeight="1" x14ac:dyDescent="0.3">
      <c r="A2911" s="68" t="s">
        <v>1473</v>
      </c>
      <c r="B2911" s="97" t="str">
        <f>" 노 무 비  :   "&amp;TEXT(I2911,"#,##0"&amp;IF(I2911&lt;&gt;INT(I2911),".###",""))&amp;" / Q / "&amp;AC2911&amp;" = "&amp;TEXT(C2911,"#,##0.0")&amp;""</f>
        <v xml:space="preserve"> 노 무 비  :   55,700 / Q / 3 = 291.4</v>
      </c>
      <c r="C2911" s="99">
        <f>E2911+D2911+F2911</f>
        <v>291.39999999999998</v>
      </c>
      <c r="D2911" s="99">
        <f>IF(H2911=0,0,ROUNDDOWN(J2911*H2911,1))</f>
        <v>291.39999999999998</v>
      </c>
      <c r="E2911" s="99">
        <f>IF(H2911=0,0,ROUNDDOWN(K2911*H2911,1))</f>
        <v>0</v>
      </c>
      <c r="F2911" s="99">
        <f>IF(H2911=0,0,ROUNDDOWN(L2911*H2911,1))</f>
        <v>0</v>
      </c>
      <c r="G2911" s="16" t="s">
        <v>1937</v>
      </c>
      <c r="H2911" s="105">
        <f>AE2911</f>
        <v>5.2328623757195184E-3</v>
      </c>
      <c r="I2911" s="106">
        <f>K2911+J2911+L2911</f>
        <v>55700</v>
      </c>
      <c r="J2911" s="39">
        <f>중기목록표!F7</f>
        <v>55700</v>
      </c>
      <c r="M2911" s="20" t="s">
        <v>1193</v>
      </c>
      <c r="N2911" s="20" t="s">
        <v>1332</v>
      </c>
      <c r="X2911" s="108" t="str">
        <f>중기목록표!B7&amp;" / "&amp;중기목록표!C7</f>
        <v xml:space="preserve">굴삭기(0.7m3) / </v>
      </c>
      <c r="Y2911" s="19" t="str">
        <f ca="1">HYPERLINK("#"&amp;중기목록표!J2&amp;"!A"&amp;ROW(중기목록표!A7),"중기    4 →")</f>
        <v>중기    4 →</v>
      </c>
      <c r="Z2911" s="20" t="s">
        <v>1393</v>
      </c>
      <c r="AA2911" s="112" t="str">
        <f>AL2909</f>
        <v>63.70</v>
      </c>
      <c r="AB2911" s="20" t="s">
        <v>1387</v>
      </c>
      <c r="AC2911" s="111">
        <v>3</v>
      </c>
      <c r="AD2911" s="20" t="s">
        <v>1326</v>
      </c>
      <c r="AE2911" s="113">
        <f>1/AL2909/AC2911</f>
        <v>5.2328623757195184E-3</v>
      </c>
      <c r="AF2911" s="109"/>
      <c r="AG2911" s="109"/>
      <c r="AH2911" s="109"/>
      <c r="AI2911" s="109"/>
      <c r="AJ2911" s="109"/>
      <c r="AK2911" s="109"/>
      <c r="AL2911" s="109"/>
      <c r="AM2911" s="109"/>
      <c r="AN2911" s="109"/>
      <c r="AO2911" s="109"/>
      <c r="AP2911" s="109"/>
      <c r="AQ2911" s="109"/>
      <c r="AR2911" s="109"/>
      <c r="AS2911" s="109"/>
    </row>
    <row r="2912" spans="1:45" ht="12.6" customHeight="1" x14ac:dyDescent="0.3">
      <c r="A2912" s="78"/>
      <c r="B2912" s="78"/>
      <c r="C2912" s="78"/>
      <c r="D2912" s="78"/>
      <c r="E2912" s="78"/>
      <c r="F2912" s="78"/>
      <c r="G2912" s="16" t="s">
        <v>1317</v>
      </c>
      <c r="Z2912" s="109"/>
      <c r="AA2912" s="109"/>
      <c r="AB2912" s="109"/>
      <c r="AC2912" s="109"/>
      <c r="AD2912" s="109"/>
      <c r="AE2912" s="109"/>
      <c r="AF2912" s="109"/>
      <c r="AG2912" s="109"/>
      <c r="AH2912" s="109"/>
      <c r="AI2912" s="109"/>
      <c r="AJ2912" s="109"/>
      <c r="AK2912" s="109"/>
      <c r="AL2912" s="109"/>
      <c r="AM2912" s="109"/>
      <c r="AN2912" s="109"/>
      <c r="AO2912" s="109"/>
      <c r="AP2912" s="109"/>
      <c r="AQ2912" s="109"/>
      <c r="AR2912" s="109"/>
      <c r="AS2912" s="109"/>
    </row>
    <row r="2913" spans="1:45" ht="12.6" customHeight="1" x14ac:dyDescent="0.3">
      <c r="A2913" s="68" t="s">
        <v>1475</v>
      </c>
      <c r="B2913" s="97" t="str">
        <f>" 재 료 비  :   "&amp;TEXT(I2913,"#,##0"&amp;IF(I2913&lt;&gt;INT(I2913),".###",""))&amp;" / Q / "&amp;AC2913&amp;" = "&amp;TEXT(C2913,"#,##0.0")&amp;""</f>
        <v xml:space="preserve"> 재 료 비  :   18,001 / Q / 3 = 94.1</v>
      </c>
      <c r="C2913" s="99">
        <f>E2913+D2913+F2913</f>
        <v>94.1</v>
      </c>
      <c r="D2913" s="99">
        <f>IF(H2913=0,0,ROUNDDOWN(J2913*H2913,1))</f>
        <v>0</v>
      </c>
      <c r="E2913" s="99">
        <f>IF(H2913=0,0,ROUNDDOWN(K2913*H2913,1))</f>
        <v>94.1</v>
      </c>
      <c r="F2913" s="99">
        <f>IF(H2913=0,0,ROUNDDOWN(L2913*H2913,1))</f>
        <v>0</v>
      </c>
      <c r="G2913" s="16" t="s">
        <v>1938</v>
      </c>
      <c r="H2913" s="105">
        <f>AE2913</f>
        <v>5.2328623757195184E-3</v>
      </c>
      <c r="I2913" s="106">
        <f>K2913+J2913+L2913</f>
        <v>18001</v>
      </c>
      <c r="K2913" s="39">
        <f>중기목록표!G7</f>
        <v>18001</v>
      </c>
      <c r="M2913" s="20" t="s">
        <v>1193</v>
      </c>
      <c r="N2913" s="20" t="s">
        <v>1332</v>
      </c>
      <c r="X2913" s="108" t="str">
        <f>중기목록표!B7&amp;" / "&amp;중기목록표!C7</f>
        <v xml:space="preserve">굴삭기(0.7m3) / </v>
      </c>
      <c r="Y2913" s="19" t="str">
        <f ca="1">HYPERLINK("#"&amp;중기목록표!J2&amp;"!A"&amp;ROW(중기목록표!A7),"중기    4 →")</f>
        <v>중기    4 →</v>
      </c>
      <c r="Z2913" s="20" t="s">
        <v>1393</v>
      </c>
      <c r="AA2913" s="112" t="str">
        <f>AL2909</f>
        <v>63.70</v>
      </c>
      <c r="AB2913" s="20" t="s">
        <v>1387</v>
      </c>
      <c r="AC2913" s="111">
        <v>3</v>
      </c>
      <c r="AD2913" s="20" t="s">
        <v>1326</v>
      </c>
      <c r="AE2913" s="113">
        <f>1/AL2909/AC2913</f>
        <v>5.2328623757195184E-3</v>
      </c>
      <c r="AF2913" s="109"/>
      <c r="AG2913" s="109"/>
      <c r="AH2913" s="109"/>
      <c r="AI2913" s="109"/>
      <c r="AJ2913" s="109"/>
      <c r="AK2913" s="109"/>
      <c r="AL2913" s="109"/>
      <c r="AM2913" s="109"/>
      <c r="AN2913" s="109"/>
      <c r="AO2913" s="109"/>
      <c r="AP2913" s="109"/>
      <c r="AQ2913" s="109"/>
      <c r="AR2913" s="109"/>
      <c r="AS2913" s="109"/>
    </row>
    <row r="2914" spans="1:45" ht="12.6" customHeight="1" x14ac:dyDescent="0.3">
      <c r="A2914" s="78"/>
      <c r="B2914" s="78"/>
      <c r="C2914" s="78"/>
      <c r="D2914" s="78"/>
      <c r="E2914" s="78"/>
      <c r="F2914" s="78"/>
      <c r="G2914" s="16" t="s">
        <v>1317</v>
      </c>
      <c r="Z2914" s="109"/>
      <c r="AA2914" s="109"/>
      <c r="AB2914" s="109"/>
      <c r="AC2914" s="109"/>
      <c r="AD2914" s="109"/>
      <c r="AE2914" s="109"/>
      <c r="AF2914" s="109"/>
      <c r="AG2914" s="109"/>
      <c r="AH2914" s="109"/>
      <c r="AI2914" s="109"/>
      <c r="AJ2914" s="109"/>
      <c r="AK2914" s="109"/>
      <c r="AL2914" s="109"/>
      <c r="AM2914" s="109"/>
      <c r="AN2914" s="109"/>
      <c r="AO2914" s="109"/>
      <c r="AP2914" s="109"/>
      <c r="AQ2914" s="109"/>
      <c r="AR2914" s="109"/>
      <c r="AS2914" s="109"/>
    </row>
    <row r="2915" spans="1:45" ht="12.6" customHeight="1" x14ac:dyDescent="0.3">
      <c r="A2915" s="68" t="s">
        <v>1477</v>
      </c>
      <c r="B2915" s="97" t="str">
        <f>" 경    비  :   "&amp;TEXT(I2915,"#,##0"&amp;IF(I2915&lt;&gt;INT(I2915),".###",""))&amp;" / Q / "&amp;AC2915&amp;" = "&amp;TEXT(C2915,"#,##0.0")&amp;""</f>
        <v xml:space="preserve"> 경    비  :   23,128 / Q / 3 = 121.0</v>
      </c>
      <c r="C2915" s="99">
        <f>E2915+D2915+F2915</f>
        <v>121</v>
      </c>
      <c r="D2915" s="99">
        <f>IF(H2915=0,0,ROUNDDOWN(J2915*H2915,1))</f>
        <v>0</v>
      </c>
      <c r="E2915" s="99">
        <f>IF(H2915=0,0,ROUNDDOWN(K2915*H2915,1))</f>
        <v>0</v>
      </c>
      <c r="F2915" s="99">
        <f>IF(H2915=0,0,ROUNDDOWN(L2915*H2915,1))</f>
        <v>121</v>
      </c>
      <c r="G2915" s="16" t="s">
        <v>1939</v>
      </c>
      <c r="H2915" s="105">
        <f>AE2915</f>
        <v>5.2328623757195184E-3</v>
      </c>
      <c r="I2915" s="106">
        <f>K2915+J2915+L2915</f>
        <v>23128</v>
      </c>
      <c r="L2915" s="39">
        <f>중기목록표!H7</f>
        <v>23128</v>
      </c>
      <c r="M2915" s="20" t="s">
        <v>1193</v>
      </c>
      <c r="N2915" s="20" t="s">
        <v>1332</v>
      </c>
      <c r="X2915" s="108" t="str">
        <f>중기목록표!B7&amp;" / "&amp;중기목록표!C7</f>
        <v xml:space="preserve">굴삭기(0.7m3) / </v>
      </c>
      <c r="Y2915" s="19" t="str">
        <f ca="1">HYPERLINK("#"&amp;중기목록표!J2&amp;"!A"&amp;ROW(중기목록표!A7),"중기    4 →")</f>
        <v>중기    4 →</v>
      </c>
      <c r="Z2915" s="20" t="s">
        <v>1393</v>
      </c>
      <c r="AA2915" s="112" t="str">
        <f>AL2909</f>
        <v>63.70</v>
      </c>
      <c r="AB2915" s="20" t="s">
        <v>1387</v>
      </c>
      <c r="AC2915" s="111">
        <v>3</v>
      </c>
      <c r="AD2915" s="20" t="s">
        <v>1326</v>
      </c>
      <c r="AE2915" s="113">
        <f>1/AL2909/AC2915</f>
        <v>5.2328623757195184E-3</v>
      </c>
      <c r="AF2915" s="109"/>
      <c r="AG2915" s="109"/>
      <c r="AH2915" s="109"/>
      <c r="AI2915" s="109"/>
      <c r="AJ2915" s="109"/>
      <c r="AK2915" s="109"/>
      <c r="AL2915" s="109"/>
      <c r="AM2915" s="109"/>
      <c r="AN2915" s="109"/>
      <c r="AO2915" s="109"/>
      <c r="AP2915" s="109"/>
      <c r="AQ2915" s="109"/>
      <c r="AR2915" s="109"/>
      <c r="AS2915" s="109"/>
    </row>
    <row r="2916" spans="1:45" ht="12.6" customHeight="1" x14ac:dyDescent="0.3">
      <c r="A2916" s="78"/>
      <c r="B2916" s="78"/>
      <c r="C2916" s="78"/>
      <c r="D2916" s="78"/>
      <c r="E2916" s="78"/>
      <c r="F2916" s="78"/>
      <c r="G2916" s="16" t="s">
        <v>1317</v>
      </c>
      <c r="Z2916" s="109"/>
      <c r="AA2916" s="109"/>
      <c r="AB2916" s="109"/>
      <c r="AC2916" s="109"/>
      <c r="AD2916" s="109"/>
      <c r="AE2916" s="109"/>
      <c r="AF2916" s="109"/>
      <c r="AG2916" s="109"/>
      <c r="AH2916" s="109"/>
      <c r="AI2916" s="109"/>
      <c r="AJ2916" s="109"/>
      <c r="AK2916" s="109"/>
      <c r="AL2916" s="109"/>
      <c r="AM2916" s="109"/>
      <c r="AN2916" s="109"/>
      <c r="AO2916" s="109"/>
      <c r="AP2916" s="109"/>
      <c r="AQ2916" s="109"/>
      <c r="AR2916" s="109"/>
      <c r="AS2916" s="109"/>
    </row>
    <row r="2917" spans="1:45" ht="12.6" customHeight="1" x14ac:dyDescent="0.3">
      <c r="A2917" s="68"/>
      <c r="B2917" s="77" t="s">
        <v>1331</v>
      </c>
      <c r="C2917" s="100">
        <f>E2917+D2917+F2917</f>
        <v>506.5</v>
      </c>
      <c r="D2917" s="100">
        <f>SUMIF(N2901:N2916,M2917,D2901:D2916)</f>
        <v>291.39999999999998</v>
      </c>
      <c r="E2917" s="100">
        <f>SUMIF(N2901:N2916,M2917,E2901:E2916)</f>
        <v>94.1</v>
      </c>
      <c r="F2917" s="100">
        <f>SUMIF(N2901:N2916,M2917,F2901:F2916)</f>
        <v>121</v>
      </c>
      <c r="G2917" s="16" t="s">
        <v>1415</v>
      </c>
      <c r="M2917" s="20" t="s">
        <v>1332</v>
      </c>
      <c r="N2917" s="20" t="s">
        <v>1341</v>
      </c>
      <c r="Z2917" s="109"/>
      <c r="AA2917" s="109"/>
      <c r="AB2917" s="109"/>
      <c r="AC2917" s="109"/>
      <c r="AD2917" s="109"/>
      <c r="AE2917" s="109"/>
      <c r="AF2917" s="109"/>
      <c r="AG2917" s="109"/>
      <c r="AH2917" s="109"/>
      <c r="AI2917" s="109"/>
      <c r="AJ2917" s="109"/>
      <c r="AK2917" s="109"/>
      <c r="AL2917" s="109"/>
      <c r="AM2917" s="109"/>
      <c r="AN2917" s="109"/>
      <c r="AO2917" s="109"/>
      <c r="AP2917" s="109"/>
      <c r="AQ2917" s="109"/>
      <c r="AR2917" s="109"/>
      <c r="AS2917" s="109"/>
    </row>
    <row r="2918" spans="1:45" ht="12.6" customHeight="1" x14ac:dyDescent="0.3">
      <c r="A2918" s="78"/>
      <c r="B2918" s="78"/>
      <c r="C2918" s="98"/>
      <c r="D2918" s="98"/>
      <c r="E2918" s="98"/>
      <c r="F2918" s="98"/>
      <c r="G2918" s="16" t="s">
        <v>1317</v>
      </c>
      <c r="Z2918" s="109"/>
      <c r="AA2918" s="109"/>
      <c r="AB2918" s="109"/>
      <c r="AC2918" s="109"/>
      <c r="AD2918" s="109"/>
      <c r="AE2918" s="109"/>
      <c r="AF2918" s="109"/>
      <c r="AG2918" s="109"/>
      <c r="AH2918" s="109"/>
      <c r="AI2918" s="109"/>
      <c r="AJ2918" s="109"/>
      <c r="AK2918" s="109"/>
      <c r="AL2918" s="109"/>
      <c r="AM2918" s="109"/>
      <c r="AN2918" s="109"/>
      <c r="AO2918" s="109"/>
      <c r="AP2918" s="109"/>
      <c r="AQ2918" s="109"/>
      <c r="AR2918" s="109"/>
      <c r="AS2918" s="109"/>
    </row>
    <row r="2919" spans="1:45" ht="12.6" customHeight="1" x14ac:dyDescent="0.3">
      <c r="A2919" s="68"/>
      <c r="B2919" s="77" t="s">
        <v>1340</v>
      </c>
      <c r="C2919" s="100">
        <f>E2919+D2919+F2919</f>
        <v>8069.1</v>
      </c>
      <c r="D2919" s="100">
        <f>SUMIF(N2842:N2918,M2919,D2842:D2918)</f>
        <v>5029</v>
      </c>
      <c r="E2919" s="100">
        <f>SUMIF(N2842:N2918,M2919,E2842:E2918)</f>
        <v>1139.3</v>
      </c>
      <c r="F2919" s="100">
        <f>SUMIF(N2842:N2918,M2919,F2842:F2918)</f>
        <v>1900.8000000000002</v>
      </c>
      <c r="G2919" s="16" t="s">
        <v>1380</v>
      </c>
      <c r="M2919" s="20" t="s">
        <v>1341</v>
      </c>
      <c r="N2919" s="20" t="s">
        <v>1128</v>
      </c>
      <c r="Z2919" s="109"/>
      <c r="AA2919" s="109"/>
      <c r="AB2919" s="109"/>
      <c r="AC2919" s="109"/>
      <c r="AD2919" s="109"/>
      <c r="AE2919" s="109"/>
      <c r="AF2919" s="109"/>
      <c r="AG2919" s="109"/>
      <c r="AH2919" s="109"/>
      <c r="AI2919" s="109"/>
      <c r="AJ2919" s="109"/>
      <c r="AK2919" s="109"/>
      <c r="AL2919" s="109"/>
      <c r="AM2919" s="109"/>
      <c r="AN2919" s="109"/>
      <c r="AO2919" s="109"/>
      <c r="AP2919" s="109"/>
      <c r="AQ2919" s="109"/>
      <c r="AR2919" s="109"/>
      <c r="AS2919" s="109"/>
    </row>
    <row r="2920" spans="1:45" ht="12.6" customHeight="1" x14ac:dyDescent="0.3">
      <c r="A2920" s="78"/>
      <c r="B2920" s="78"/>
      <c r="C2920" s="98"/>
      <c r="D2920" s="98"/>
      <c r="E2920" s="98"/>
      <c r="F2920" s="98"/>
      <c r="Z2920" s="109"/>
      <c r="AA2920" s="109"/>
      <c r="AB2920" s="109"/>
      <c r="AC2920" s="109"/>
      <c r="AD2920" s="109"/>
      <c r="AE2920" s="109"/>
      <c r="AF2920" s="109"/>
      <c r="AG2920" s="109"/>
      <c r="AH2920" s="109"/>
      <c r="AI2920" s="109"/>
      <c r="AJ2920" s="109"/>
      <c r="AK2920" s="109"/>
      <c r="AL2920" s="109"/>
      <c r="AM2920" s="109"/>
      <c r="AN2920" s="109"/>
      <c r="AO2920" s="109"/>
      <c r="AP2920" s="109"/>
      <c r="AQ2920" s="109"/>
      <c r="AR2920" s="109"/>
      <c r="AS2920" s="109"/>
    </row>
    <row r="2921" spans="1:45" ht="12.6" customHeight="1" x14ac:dyDescent="0.3">
      <c r="A2921" s="78"/>
      <c r="B2921" s="78"/>
      <c r="C2921" s="78"/>
      <c r="D2921" s="78"/>
      <c r="E2921" s="78"/>
      <c r="F2921" s="78"/>
      <c r="Z2921" s="109"/>
      <c r="AA2921" s="109"/>
      <c r="AB2921" s="109"/>
      <c r="AC2921" s="109"/>
      <c r="AD2921" s="109"/>
      <c r="AE2921" s="109"/>
      <c r="AF2921" s="109"/>
      <c r="AG2921" s="109"/>
      <c r="AH2921" s="109"/>
      <c r="AI2921" s="109"/>
      <c r="AJ2921" s="109"/>
      <c r="AK2921" s="109"/>
      <c r="AL2921" s="109"/>
      <c r="AM2921" s="109"/>
      <c r="AN2921" s="109"/>
      <c r="AO2921" s="109"/>
      <c r="AP2921" s="109"/>
      <c r="AQ2921" s="109"/>
      <c r="AR2921" s="109"/>
      <c r="AS2921" s="109"/>
    </row>
    <row r="2922" spans="1:45" ht="12.6" customHeight="1" x14ac:dyDescent="0.3">
      <c r="A2922" s="78"/>
      <c r="B2922" s="78"/>
      <c r="C2922" s="78"/>
      <c r="D2922" s="78"/>
      <c r="E2922" s="78"/>
      <c r="F2922" s="78"/>
      <c r="Z2922" s="109"/>
      <c r="AA2922" s="109"/>
      <c r="AB2922" s="109"/>
      <c r="AC2922" s="109"/>
      <c r="AD2922" s="109"/>
      <c r="AE2922" s="109"/>
      <c r="AF2922" s="109"/>
      <c r="AG2922" s="109"/>
      <c r="AH2922" s="109"/>
      <c r="AI2922" s="109"/>
      <c r="AJ2922" s="109"/>
      <c r="AK2922" s="109"/>
      <c r="AL2922" s="109"/>
      <c r="AM2922" s="109"/>
      <c r="AN2922" s="109"/>
      <c r="AO2922" s="109"/>
      <c r="AP2922" s="109"/>
      <c r="AQ2922" s="109"/>
      <c r="AR2922" s="109"/>
      <c r="AS2922" s="109"/>
    </row>
    <row r="2923" spans="1:45" ht="12.6" customHeight="1" x14ac:dyDescent="0.3">
      <c r="A2923" s="78"/>
      <c r="B2923" s="78"/>
      <c r="C2923" s="78"/>
      <c r="D2923" s="78"/>
      <c r="E2923" s="78"/>
      <c r="F2923" s="78"/>
      <c r="Z2923" s="109"/>
      <c r="AA2923" s="109"/>
      <c r="AB2923" s="109"/>
      <c r="AC2923" s="109"/>
      <c r="AD2923" s="109"/>
      <c r="AE2923" s="109"/>
      <c r="AF2923" s="109"/>
      <c r="AG2923" s="109"/>
      <c r="AH2923" s="109"/>
      <c r="AI2923" s="109"/>
      <c r="AJ2923" s="109"/>
      <c r="AK2923" s="109"/>
      <c r="AL2923" s="109"/>
      <c r="AM2923" s="109"/>
      <c r="AN2923" s="109"/>
      <c r="AO2923" s="109"/>
      <c r="AP2923" s="109"/>
      <c r="AQ2923" s="109"/>
      <c r="AR2923" s="109"/>
      <c r="AS2923" s="109"/>
    </row>
    <row r="2924" spans="1:45" ht="12.6" customHeight="1" x14ac:dyDescent="0.3">
      <c r="A2924" s="78"/>
      <c r="B2924" s="78"/>
      <c r="C2924" s="78"/>
      <c r="D2924" s="78"/>
      <c r="E2924" s="78"/>
      <c r="F2924" s="78"/>
      <c r="Z2924" s="109"/>
      <c r="AA2924" s="109"/>
      <c r="AB2924" s="109"/>
      <c r="AC2924" s="109"/>
      <c r="AD2924" s="109"/>
      <c r="AE2924" s="109"/>
      <c r="AF2924" s="109"/>
      <c r="AG2924" s="109"/>
      <c r="AH2924" s="109"/>
      <c r="AI2924" s="109"/>
      <c r="AJ2924" s="109"/>
      <c r="AK2924" s="109"/>
      <c r="AL2924" s="109"/>
      <c r="AM2924" s="109"/>
      <c r="AN2924" s="109"/>
      <c r="AO2924" s="109"/>
      <c r="AP2924" s="109"/>
      <c r="AQ2924" s="109"/>
      <c r="AR2924" s="109"/>
      <c r="AS2924" s="109"/>
    </row>
    <row r="2925" spans="1:45" ht="12.6" customHeight="1" x14ac:dyDescent="0.3">
      <c r="A2925" s="78"/>
      <c r="B2925" s="78"/>
      <c r="C2925" s="78"/>
      <c r="D2925" s="78"/>
      <c r="E2925" s="78"/>
      <c r="F2925" s="78"/>
      <c r="Z2925" s="109"/>
      <c r="AA2925" s="109"/>
      <c r="AB2925" s="109"/>
      <c r="AC2925" s="109"/>
      <c r="AD2925" s="109"/>
      <c r="AE2925" s="109"/>
      <c r="AF2925" s="109"/>
      <c r="AG2925" s="109"/>
      <c r="AH2925" s="109"/>
      <c r="AI2925" s="109"/>
      <c r="AJ2925" s="109"/>
      <c r="AK2925" s="109"/>
      <c r="AL2925" s="109"/>
      <c r="AM2925" s="109"/>
      <c r="AN2925" s="109"/>
      <c r="AO2925" s="109"/>
      <c r="AP2925" s="109"/>
      <c r="AQ2925" s="109"/>
      <c r="AR2925" s="109"/>
      <c r="AS2925" s="109"/>
    </row>
    <row r="2926" spans="1:45" ht="12.6" customHeight="1" x14ac:dyDescent="0.3">
      <c r="A2926" s="78"/>
      <c r="B2926" s="78"/>
      <c r="C2926" s="78"/>
      <c r="D2926" s="78"/>
      <c r="E2926" s="78"/>
      <c r="F2926" s="78"/>
      <c r="Z2926" s="109"/>
      <c r="AA2926" s="109"/>
      <c r="AB2926" s="109"/>
      <c r="AC2926" s="109"/>
      <c r="AD2926" s="109"/>
      <c r="AE2926" s="109"/>
      <c r="AF2926" s="109"/>
      <c r="AG2926" s="109"/>
      <c r="AH2926" s="109"/>
      <c r="AI2926" s="109"/>
      <c r="AJ2926" s="109"/>
      <c r="AK2926" s="109"/>
      <c r="AL2926" s="109"/>
      <c r="AM2926" s="109"/>
      <c r="AN2926" s="109"/>
      <c r="AO2926" s="109"/>
      <c r="AP2926" s="109"/>
      <c r="AQ2926" s="109"/>
      <c r="AR2926" s="109"/>
      <c r="AS2926" s="109"/>
    </row>
    <row r="2927" spans="1:45" ht="12.6" customHeight="1" x14ac:dyDescent="0.3">
      <c r="A2927" s="78"/>
      <c r="B2927" s="78"/>
      <c r="C2927" s="78"/>
      <c r="D2927" s="78"/>
      <c r="E2927" s="78"/>
      <c r="F2927" s="78"/>
      <c r="Z2927" s="109"/>
      <c r="AA2927" s="109"/>
      <c r="AB2927" s="109"/>
      <c r="AC2927" s="109"/>
      <c r="AD2927" s="109"/>
      <c r="AE2927" s="109"/>
      <c r="AF2927" s="109"/>
      <c r="AG2927" s="109"/>
      <c r="AH2927" s="109"/>
      <c r="AI2927" s="109"/>
      <c r="AJ2927" s="109"/>
      <c r="AK2927" s="109"/>
      <c r="AL2927" s="109"/>
      <c r="AM2927" s="109"/>
      <c r="AN2927" s="109"/>
      <c r="AO2927" s="109"/>
      <c r="AP2927" s="109"/>
      <c r="AQ2927" s="109"/>
      <c r="AR2927" s="109"/>
      <c r="AS2927" s="109"/>
    </row>
    <row r="2928" spans="1:45" ht="12.6" customHeight="1" x14ac:dyDescent="0.3">
      <c r="A2928" s="78"/>
      <c r="B2928" s="78"/>
      <c r="C2928" s="78"/>
      <c r="D2928" s="78"/>
      <c r="E2928" s="78"/>
      <c r="F2928" s="78"/>
      <c r="Z2928" s="109"/>
      <c r="AA2928" s="109"/>
      <c r="AB2928" s="109"/>
      <c r="AC2928" s="109"/>
      <c r="AD2928" s="109"/>
      <c r="AE2928" s="109"/>
      <c r="AF2928" s="109"/>
      <c r="AG2928" s="109"/>
      <c r="AH2928" s="109"/>
      <c r="AI2928" s="109"/>
      <c r="AJ2928" s="109"/>
      <c r="AK2928" s="109"/>
      <c r="AL2928" s="109"/>
      <c r="AM2928" s="109"/>
      <c r="AN2928" s="109"/>
      <c r="AO2928" s="109"/>
      <c r="AP2928" s="109"/>
      <c r="AQ2928" s="109"/>
      <c r="AR2928" s="109"/>
      <c r="AS2928" s="109"/>
    </row>
    <row r="2929" spans="1:45" ht="12.6" customHeight="1" x14ac:dyDescent="0.3">
      <c r="A2929" s="78"/>
      <c r="B2929" s="78"/>
      <c r="C2929" s="78"/>
      <c r="D2929" s="78"/>
      <c r="E2929" s="78"/>
      <c r="F2929" s="78"/>
      <c r="Z2929" s="109"/>
      <c r="AA2929" s="109"/>
      <c r="AB2929" s="109"/>
      <c r="AC2929" s="109"/>
      <c r="AD2929" s="109"/>
      <c r="AE2929" s="109"/>
      <c r="AF2929" s="109"/>
      <c r="AG2929" s="109"/>
      <c r="AH2929" s="109"/>
      <c r="AI2929" s="109"/>
      <c r="AJ2929" s="109"/>
      <c r="AK2929" s="109"/>
      <c r="AL2929" s="109"/>
      <c r="AM2929" s="109"/>
      <c r="AN2929" s="109"/>
      <c r="AO2929" s="109"/>
      <c r="AP2929" s="109"/>
      <c r="AQ2929" s="109"/>
      <c r="AR2929" s="109"/>
      <c r="AS2929" s="109"/>
    </row>
    <row r="2930" spans="1:45" ht="12.6" customHeight="1" x14ac:dyDescent="0.3">
      <c r="A2930" s="78"/>
      <c r="B2930" s="78"/>
      <c r="C2930" s="78"/>
      <c r="D2930" s="78"/>
      <c r="E2930" s="78"/>
      <c r="F2930" s="78"/>
      <c r="Z2930" s="109"/>
      <c r="AA2930" s="109"/>
      <c r="AB2930" s="109"/>
      <c r="AC2930" s="109"/>
      <c r="AD2930" s="109"/>
      <c r="AE2930" s="109"/>
      <c r="AF2930" s="109"/>
      <c r="AG2930" s="109"/>
      <c r="AH2930" s="109"/>
      <c r="AI2930" s="109"/>
      <c r="AJ2930" s="109"/>
      <c r="AK2930" s="109"/>
      <c r="AL2930" s="109"/>
      <c r="AM2930" s="109"/>
      <c r="AN2930" s="109"/>
      <c r="AO2930" s="109"/>
      <c r="AP2930" s="109"/>
      <c r="AQ2930" s="109"/>
      <c r="AR2930" s="109"/>
      <c r="AS2930" s="109"/>
    </row>
    <row r="2931" spans="1:45" ht="12.6" customHeight="1" x14ac:dyDescent="0.3">
      <c r="A2931" s="78"/>
      <c r="B2931" s="78"/>
      <c r="C2931" s="78"/>
      <c r="D2931" s="78"/>
      <c r="E2931" s="78"/>
      <c r="F2931" s="78"/>
      <c r="Z2931" s="109"/>
      <c r="AA2931" s="109"/>
      <c r="AB2931" s="109"/>
      <c r="AC2931" s="109"/>
      <c r="AD2931" s="109"/>
      <c r="AE2931" s="109"/>
      <c r="AF2931" s="109"/>
      <c r="AG2931" s="109"/>
      <c r="AH2931" s="109"/>
      <c r="AI2931" s="109"/>
      <c r="AJ2931" s="109"/>
      <c r="AK2931" s="109"/>
      <c r="AL2931" s="109"/>
      <c r="AM2931" s="109"/>
      <c r="AN2931" s="109"/>
      <c r="AO2931" s="109"/>
      <c r="AP2931" s="109"/>
      <c r="AQ2931" s="109"/>
      <c r="AR2931" s="109"/>
      <c r="AS2931" s="109"/>
    </row>
    <row r="2932" spans="1:45" ht="12.6" customHeight="1" x14ac:dyDescent="0.3">
      <c r="A2932" s="78"/>
      <c r="B2932" s="78"/>
      <c r="C2932" s="78"/>
      <c r="D2932" s="78"/>
      <c r="E2932" s="78"/>
      <c r="F2932" s="78"/>
      <c r="Z2932" s="109"/>
      <c r="AA2932" s="109"/>
      <c r="AB2932" s="109"/>
      <c r="AC2932" s="109"/>
      <c r="AD2932" s="109"/>
      <c r="AE2932" s="109"/>
      <c r="AF2932" s="109"/>
      <c r="AG2932" s="109"/>
      <c r="AH2932" s="109"/>
      <c r="AI2932" s="109"/>
      <c r="AJ2932" s="109"/>
      <c r="AK2932" s="109"/>
      <c r="AL2932" s="109"/>
      <c r="AM2932" s="109"/>
      <c r="AN2932" s="109"/>
      <c r="AO2932" s="109"/>
      <c r="AP2932" s="109"/>
      <c r="AQ2932" s="109"/>
      <c r="AR2932" s="109"/>
      <c r="AS2932" s="109"/>
    </row>
    <row r="2933" spans="1:45" ht="12.6" customHeight="1" x14ac:dyDescent="0.3">
      <c r="A2933" s="78"/>
      <c r="B2933" s="78"/>
      <c r="C2933" s="78"/>
      <c r="D2933" s="78"/>
      <c r="E2933" s="78"/>
      <c r="F2933" s="78"/>
      <c r="Z2933" s="109"/>
      <c r="AA2933" s="109"/>
      <c r="AB2933" s="109"/>
      <c r="AC2933" s="109"/>
      <c r="AD2933" s="109"/>
      <c r="AE2933" s="109"/>
      <c r="AF2933" s="109"/>
      <c r="AG2933" s="109"/>
      <c r="AH2933" s="109"/>
      <c r="AI2933" s="109"/>
      <c r="AJ2933" s="109"/>
      <c r="AK2933" s="109"/>
      <c r="AL2933" s="109"/>
      <c r="AM2933" s="109"/>
      <c r="AN2933" s="109"/>
      <c r="AO2933" s="109"/>
      <c r="AP2933" s="109"/>
      <c r="AQ2933" s="109"/>
      <c r="AR2933" s="109"/>
      <c r="AS2933" s="109"/>
    </row>
    <row r="2934" spans="1:45" ht="12.6" customHeight="1" x14ac:dyDescent="0.3">
      <c r="A2934" s="78"/>
      <c r="B2934" s="78"/>
      <c r="C2934" s="78"/>
      <c r="D2934" s="78"/>
      <c r="E2934" s="78"/>
      <c r="F2934" s="78"/>
      <c r="Z2934" s="109"/>
      <c r="AA2934" s="109"/>
      <c r="AB2934" s="109"/>
      <c r="AC2934" s="109"/>
      <c r="AD2934" s="109"/>
      <c r="AE2934" s="109"/>
      <c r="AF2934" s="109"/>
      <c r="AG2934" s="109"/>
      <c r="AH2934" s="109"/>
      <c r="AI2934" s="109"/>
      <c r="AJ2934" s="109"/>
      <c r="AK2934" s="109"/>
      <c r="AL2934" s="109"/>
      <c r="AM2934" s="109"/>
      <c r="AN2934" s="109"/>
      <c r="AO2934" s="109"/>
      <c r="AP2934" s="109"/>
      <c r="AQ2934" s="109"/>
      <c r="AR2934" s="109"/>
      <c r="AS2934" s="109"/>
    </row>
    <row r="2935" spans="1:45" ht="12.6" customHeight="1" x14ac:dyDescent="0.3">
      <c r="A2935" s="78"/>
      <c r="B2935" s="78"/>
      <c r="C2935" s="78"/>
      <c r="D2935" s="78"/>
      <c r="E2935" s="78"/>
      <c r="F2935" s="78"/>
      <c r="Z2935" s="109"/>
      <c r="AA2935" s="109"/>
      <c r="AB2935" s="109"/>
      <c r="AC2935" s="109"/>
      <c r="AD2935" s="109"/>
      <c r="AE2935" s="109"/>
      <c r="AF2935" s="109"/>
      <c r="AG2935" s="109"/>
      <c r="AH2935" s="109"/>
      <c r="AI2935" s="109"/>
      <c r="AJ2935" s="109"/>
      <c r="AK2935" s="109"/>
      <c r="AL2935" s="109"/>
      <c r="AM2935" s="109"/>
      <c r="AN2935" s="109"/>
      <c r="AO2935" s="109"/>
      <c r="AP2935" s="109"/>
      <c r="AQ2935" s="109"/>
      <c r="AR2935" s="109"/>
      <c r="AS2935" s="109"/>
    </row>
    <row r="2936" spans="1:45" ht="12.6" customHeight="1" x14ac:dyDescent="0.3">
      <c r="A2936" s="78"/>
      <c r="B2936" s="78"/>
      <c r="C2936" s="78"/>
      <c r="D2936" s="78"/>
      <c r="E2936" s="78"/>
      <c r="F2936" s="78"/>
      <c r="Z2936" s="109"/>
      <c r="AA2936" s="109"/>
      <c r="AB2936" s="109"/>
      <c r="AC2936" s="109"/>
      <c r="AD2936" s="109"/>
      <c r="AE2936" s="109"/>
      <c r="AF2936" s="109"/>
      <c r="AG2936" s="109"/>
      <c r="AH2936" s="109"/>
      <c r="AI2936" s="109"/>
      <c r="AJ2936" s="109"/>
      <c r="AK2936" s="109"/>
      <c r="AL2936" s="109"/>
      <c r="AM2936" s="109"/>
      <c r="AN2936" s="109"/>
      <c r="AO2936" s="109"/>
      <c r="AP2936" s="109"/>
      <c r="AQ2936" s="109"/>
      <c r="AR2936" s="109"/>
      <c r="AS2936" s="109"/>
    </row>
    <row r="2937" spans="1:45" ht="12.6" customHeight="1" x14ac:dyDescent="0.3">
      <c r="A2937" s="78"/>
      <c r="B2937" s="78"/>
      <c r="C2937" s="78"/>
      <c r="D2937" s="78"/>
      <c r="E2937" s="78"/>
      <c r="F2937" s="78"/>
      <c r="Z2937" s="109"/>
      <c r="AA2937" s="109"/>
      <c r="AB2937" s="109"/>
      <c r="AC2937" s="109"/>
      <c r="AD2937" s="109"/>
      <c r="AE2937" s="109"/>
      <c r="AF2937" s="109"/>
      <c r="AG2937" s="109"/>
      <c r="AH2937" s="109"/>
      <c r="AI2937" s="109"/>
      <c r="AJ2937" s="109"/>
      <c r="AK2937" s="109"/>
      <c r="AL2937" s="109"/>
      <c r="AM2937" s="109"/>
      <c r="AN2937" s="109"/>
      <c r="AO2937" s="109"/>
      <c r="AP2937" s="109"/>
      <c r="AQ2937" s="109"/>
      <c r="AR2937" s="109"/>
      <c r="AS2937" s="109"/>
    </row>
    <row r="2938" spans="1:45" ht="12.6" customHeight="1" x14ac:dyDescent="0.3">
      <c r="A2938" s="78"/>
      <c r="B2938" s="78"/>
      <c r="C2938" s="78"/>
      <c r="D2938" s="78"/>
      <c r="E2938" s="78"/>
      <c r="F2938" s="78"/>
      <c r="Z2938" s="109"/>
      <c r="AA2938" s="109"/>
      <c r="AB2938" s="109"/>
      <c r="AC2938" s="109"/>
      <c r="AD2938" s="109"/>
      <c r="AE2938" s="109"/>
      <c r="AF2938" s="109"/>
      <c r="AG2938" s="109"/>
      <c r="AH2938" s="109"/>
      <c r="AI2938" s="109"/>
      <c r="AJ2938" s="109"/>
      <c r="AK2938" s="109"/>
      <c r="AL2938" s="109"/>
      <c r="AM2938" s="109"/>
      <c r="AN2938" s="109"/>
      <c r="AO2938" s="109"/>
      <c r="AP2938" s="109"/>
      <c r="AQ2938" s="109"/>
      <c r="AR2938" s="109"/>
      <c r="AS2938" s="109"/>
    </row>
    <row r="2939" spans="1:45" ht="12.6" customHeight="1" x14ac:dyDescent="0.3">
      <c r="A2939" s="78"/>
      <c r="B2939" s="78"/>
      <c r="C2939" s="78"/>
      <c r="D2939" s="78"/>
      <c r="E2939" s="78"/>
      <c r="F2939" s="78"/>
      <c r="Z2939" s="109"/>
      <c r="AA2939" s="109"/>
      <c r="AB2939" s="109"/>
      <c r="AC2939" s="109"/>
      <c r="AD2939" s="109"/>
      <c r="AE2939" s="109"/>
      <c r="AF2939" s="109"/>
      <c r="AG2939" s="109"/>
      <c r="AH2939" s="109"/>
      <c r="AI2939" s="109"/>
      <c r="AJ2939" s="109"/>
      <c r="AK2939" s="109"/>
      <c r="AL2939" s="109"/>
      <c r="AM2939" s="109"/>
      <c r="AN2939" s="109"/>
      <c r="AO2939" s="109"/>
      <c r="AP2939" s="109"/>
      <c r="AQ2939" s="109"/>
      <c r="AR2939" s="109"/>
      <c r="AS2939" s="109"/>
    </row>
    <row r="2940" spans="1:45" ht="12.6" customHeight="1" x14ac:dyDescent="0.3">
      <c r="A2940" s="78"/>
      <c r="B2940" s="78"/>
      <c r="C2940" s="78"/>
      <c r="D2940" s="78"/>
      <c r="E2940" s="78"/>
      <c r="F2940" s="78"/>
      <c r="Z2940" s="109"/>
      <c r="AA2940" s="109"/>
      <c r="AB2940" s="109"/>
      <c r="AC2940" s="109"/>
      <c r="AD2940" s="109"/>
      <c r="AE2940" s="109"/>
      <c r="AF2940" s="109"/>
      <c r="AG2940" s="109"/>
      <c r="AH2940" s="109"/>
      <c r="AI2940" s="109"/>
      <c r="AJ2940" s="109"/>
      <c r="AK2940" s="109"/>
      <c r="AL2940" s="109"/>
      <c r="AM2940" s="109"/>
      <c r="AN2940" s="109"/>
      <c r="AO2940" s="109"/>
      <c r="AP2940" s="109"/>
      <c r="AQ2940" s="109"/>
      <c r="AR2940" s="109"/>
      <c r="AS2940" s="109"/>
    </row>
    <row r="2941" spans="1:45" ht="12.6" customHeight="1" x14ac:dyDescent="0.3">
      <c r="A2941" s="78"/>
      <c r="B2941" s="78"/>
      <c r="C2941" s="78"/>
      <c r="D2941" s="78"/>
      <c r="E2941" s="78"/>
      <c r="F2941" s="78"/>
      <c r="Z2941" s="109"/>
      <c r="AA2941" s="109"/>
      <c r="AB2941" s="109"/>
      <c r="AC2941" s="109"/>
      <c r="AD2941" s="109"/>
      <c r="AE2941" s="109"/>
      <c r="AF2941" s="109"/>
      <c r="AG2941" s="109"/>
      <c r="AH2941" s="109"/>
      <c r="AI2941" s="109"/>
      <c r="AJ2941" s="109"/>
      <c r="AK2941" s="109"/>
      <c r="AL2941" s="109"/>
      <c r="AM2941" s="109"/>
      <c r="AN2941" s="109"/>
      <c r="AO2941" s="109"/>
      <c r="AP2941" s="109"/>
      <c r="AQ2941" s="109"/>
      <c r="AR2941" s="109"/>
      <c r="AS2941" s="109"/>
    </row>
    <row r="2942" spans="1:45" ht="12.6" customHeight="1" x14ac:dyDescent="0.3">
      <c r="A2942" s="78"/>
      <c r="B2942" s="78"/>
      <c r="C2942" s="78"/>
      <c r="D2942" s="78"/>
      <c r="E2942" s="78"/>
      <c r="F2942" s="78"/>
      <c r="Z2942" s="109"/>
      <c r="AA2942" s="109"/>
      <c r="AB2942" s="109"/>
      <c r="AC2942" s="109"/>
      <c r="AD2942" s="109"/>
      <c r="AE2942" s="109"/>
      <c r="AF2942" s="109"/>
      <c r="AG2942" s="109"/>
      <c r="AH2942" s="109"/>
      <c r="AI2942" s="109"/>
      <c r="AJ2942" s="109"/>
      <c r="AK2942" s="109"/>
      <c r="AL2942" s="109"/>
      <c r="AM2942" s="109"/>
      <c r="AN2942" s="109"/>
      <c r="AO2942" s="109"/>
      <c r="AP2942" s="109"/>
      <c r="AQ2942" s="109"/>
      <c r="AR2942" s="109"/>
      <c r="AS2942" s="109"/>
    </row>
    <row r="2943" spans="1:45" ht="12.6" customHeight="1" x14ac:dyDescent="0.3">
      <c r="A2943" s="58"/>
      <c r="B2943" s="58"/>
      <c r="C2943" s="58"/>
      <c r="D2943" s="58"/>
      <c r="E2943" s="58"/>
      <c r="F2943" s="58"/>
      <c r="Z2943" s="109"/>
      <c r="AA2943" s="109"/>
      <c r="AB2943" s="109"/>
      <c r="AC2943" s="109"/>
      <c r="AD2943" s="109"/>
      <c r="AE2943" s="109"/>
      <c r="AF2943" s="109"/>
      <c r="AG2943" s="109"/>
      <c r="AH2943" s="109"/>
      <c r="AI2943" s="109"/>
      <c r="AJ2943" s="109"/>
      <c r="AK2943" s="109"/>
      <c r="AL2943" s="109"/>
      <c r="AM2943" s="109"/>
      <c r="AN2943" s="109"/>
      <c r="AO2943" s="109"/>
      <c r="AP2943" s="109"/>
      <c r="AQ2943" s="109"/>
      <c r="AR2943" s="109"/>
      <c r="AS2943" s="109"/>
    </row>
    <row r="2944" spans="1:45" ht="12.6" customHeight="1" x14ac:dyDescent="0.3">
      <c r="A2944" s="159" t="s">
        <v>1401</v>
      </c>
      <c r="B2944" s="152"/>
      <c r="C2944" s="55">
        <f>E2944+D2944+F2944</f>
        <v>8068</v>
      </c>
      <c r="D2944" s="54">
        <f>ROUNDDOWN(SUMIF(N2842:N2919,M2944,D2842:D2919),0)</f>
        <v>5029</v>
      </c>
      <c r="E2944" s="63">
        <f>ROUNDDOWN(SUMIF(N2842:N2919,M2944,E2842:E2919),0)</f>
        <v>1139</v>
      </c>
      <c r="F2944" s="55">
        <f>ROUNDDOWN(SUMIF(N2842:N2919,M2944,F2842:F2919),0)</f>
        <v>1900</v>
      </c>
      <c r="M2944" s="20" t="s">
        <v>1128</v>
      </c>
      <c r="Z2944" s="109"/>
      <c r="AA2944" s="109"/>
      <c r="AB2944" s="109"/>
      <c r="AC2944" s="109"/>
      <c r="AD2944" s="109"/>
      <c r="AE2944" s="109"/>
      <c r="AF2944" s="109"/>
      <c r="AG2944" s="109"/>
      <c r="AH2944" s="109"/>
      <c r="AI2944" s="109"/>
      <c r="AJ2944" s="109"/>
      <c r="AK2944" s="109"/>
      <c r="AL2944" s="109"/>
      <c r="AM2944" s="109"/>
      <c r="AN2944" s="109"/>
      <c r="AO2944" s="109"/>
      <c r="AP2944" s="109"/>
      <c r="AQ2944" s="109"/>
      <c r="AR2944" s="109"/>
      <c r="AS2944" s="109"/>
    </row>
    <row r="2945" spans="1:45" ht="12.6" customHeight="1" x14ac:dyDescent="0.3">
      <c r="A2945" s="95" t="s">
        <v>328</v>
      </c>
      <c r="B2945" s="96" t="s">
        <v>328</v>
      </c>
      <c r="C2945" s="158">
        <f>C3084</f>
        <v>8879</v>
      </c>
      <c r="D2945" s="158">
        <f>D3084</f>
        <v>5584</v>
      </c>
      <c r="E2945" s="158">
        <f>E3084</f>
        <v>1215</v>
      </c>
      <c r="F2945" s="158">
        <f>F3084</f>
        <v>2080</v>
      </c>
      <c r="G2945" s="36" t="str">
        <f>HYPERLINK("#G"&amp;ROW(G3053),"_x0005_`BDCOD|D02261_x0007_`POSS|"&amp;ROW(G2947)&amp;"_x0007_`POSE|"&amp;ROW(G3053)&amp;"_x0007_`")</f>
        <v>_x0005_`BDCOD|D02261_x0007_`POSS|2947_x0007_`POSE|3053_x0007_`</v>
      </c>
      <c r="Z2945" s="109"/>
      <c r="AA2945" s="109"/>
      <c r="AB2945" s="109"/>
      <c r="AC2945" s="109"/>
      <c r="AD2945" s="109"/>
      <c r="AE2945" s="109"/>
      <c r="AF2945" s="109"/>
      <c r="AG2945" s="109"/>
      <c r="AH2945" s="109"/>
      <c r="AI2945" s="109"/>
      <c r="AJ2945" s="109"/>
      <c r="AK2945" s="109"/>
      <c r="AL2945" s="109"/>
      <c r="AM2945" s="109"/>
      <c r="AN2945" s="109"/>
      <c r="AO2945" s="109"/>
      <c r="AP2945" s="109"/>
      <c r="AQ2945" s="109"/>
      <c r="AR2945" s="109"/>
      <c r="AS2945" s="109"/>
    </row>
    <row r="2946" spans="1:45" ht="12.6" customHeight="1" x14ac:dyDescent="0.3">
      <c r="A2946" s="84"/>
      <c r="B2946" s="96" t="s">
        <v>327</v>
      </c>
      <c r="C2946" s="141"/>
      <c r="D2946" s="141"/>
      <c r="E2946" s="141"/>
      <c r="F2946" s="141"/>
      <c r="M2946" s="20" t="s">
        <v>326</v>
      </c>
      <c r="Z2946" s="109"/>
      <c r="AA2946" s="109"/>
      <c r="AB2946" s="109"/>
      <c r="AC2946" s="109"/>
      <c r="AD2946" s="109"/>
      <c r="AE2946" s="109"/>
      <c r="AF2946" s="109"/>
      <c r="AG2946" s="109"/>
      <c r="AH2946" s="109"/>
      <c r="AI2946" s="109"/>
      <c r="AJ2946" s="109"/>
      <c r="AK2946" s="109"/>
      <c r="AL2946" s="109"/>
      <c r="AM2946" s="109"/>
      <c r="AN2946" s="109"/>
      <c r="AO2946" s="109"/>
      <c r="AP2946" s="109"/>
      <c r="AQ2946" s="109"/>
      <c r="AR2946" s="109"/>
      <c r="AS2946" s="109"/>
    </row>
    <row r="2947" spans="1:45" ht="12.6" customHeight="1" x14ac:dyDescent="0.3">
      <c r="A2947" s="68"/>
      <c r="B2947" s="77" t="s">
        <v>1905</v>
      </c>
      <c r="C2947" s="98"/>
      <c r="D2947" s="98"/>
      <c r="E2947" s="98"/>
      <c r="F2947" s="98"/>
      <c r="G2947" s="16" t="s">
        <v>1904</v>
      </c>
      <c r="Z2947" s="109"/>
      <c r="AA2947" s="109"/>
      <c r="AB2947" s="109"/>
      <c r="AC2947" s="109"/>
      <c r="AD2947" s="109"/>
      <c r="AE2947" s="109"/>
      <c r="AF2947" s="109"/>
      <c r="AG2947" s="109"/>
      <c r="AH2947" s="109"/>
      <c r="AI2947" s="109"/>
      <c r="AJ2947" s="109"/>
      <c r="AK2947" s="109"/>
      <c r="AL2947" s="109"/>
      <c r="AM2947" s="109"/>
      <c r="AN2947" s="109"/>
      <c r="AO2947" s="109"/>
      <c r="AP2947" s="109"/>
      <c r="AQ2947" s="109"/>
      <c r="AR2947" s="109"/>
      <c r="AS2947" s="109"/>
    </row>
    <row r="2948" spans="1:45" ht="12.6" customHeight="1" x14ac:dyDescent="0.3">
      <c r="A2948" s="78"/>
      <c r="B2948" s="78"/>
      <c r="C2948" s="78"/>
      <c r="D2948" s="78"/>
      <c r="E2948" s="78"/>
      <c r="F2948" s="78"/>
      <c r="G2948" s="16" t="s">
        <v>1317</v>
      </c>
      <c r="Z2948" s="109"/>
      <c r="AA2948" s="109"/>
      <c r="AB2948" s="109"/>
      <c r="AC2948" s="109"/>
      <c r="AD2948" s="109"/>
      <c r="AE2948" s="109"/>
      <c r="AF2948" s="109"/>
      <c r="AG2948" s="109"/>
      <c r="AH2948" s="109"/>
      <c r="AI2948" s="109"/>
      <c r="AJ2948" s="109"/>
      <c r="AK2948" s="109"/>
      <c r="AL2948" s="109"/>
      <c r="AM2948" s="109"/>
      <c r="AN2948" s="109"/>
      <c r="AO2948" s="109"/>
      <c r="AP2948" s="109"/>
      <c r="AQ2948" s="109"/>
      <c r="AR2948" s="109"/>
      <c r="AS2948" s="109"/>
    </row>
    <row r="2949" spans="1:45" ht="12.6" customHeight="1" x14ac:dyDescent="0.3">
      <c r="A2949" s="68"/>
      <c r="B2949" s="77" t="s">
        <v>1907</v>
      </c>
      <c r="C2949" s="78"/>
      <c r="D2949" s="78"/>
      <c r="E2949" s="78"/>
      <c r="F2949" s="78"/>
      <c r="G2949" s="16" t="s">
        <v>1906</v>
      </c>
      <c r="Z2949" s="109"/>
      <c r="AA2949" s="109"/>
      <c r="AB2949" s="109"/>
      <c r="AC2949" s="109"/>
      <c r="AD2949" s="109"/>
      <c r="AE2949" s="109"/>
      <c r="AF2949" s="109"/>
      <c r="AG2949" s="109"/>
      <c r="AH2949" s="109"/>
      <c r="AI2949" s="109"/>
      <c r="AJ2949" s="109"/>
      <c r="AK2949" s="109"/>
      <c r="AL2949" s="109"/>
      <c r="AM2949" s="109"/>
      <c r="AN2949" s="109"/>
      <c r="AO2949" s="109"/>
      <c r="AP2949" s="109"/>
      <c r="AQ2949" s="109"/>
      <c r="AR2949" s="109"/>
      <c r="AS2949" s="109"/>
    </row>
    <row r="2950" spans="1:45" ht="12.6" customHeight="1" x14ac:dyDescent="0.3">
      <c r="A2950" s="78"/>
      <c r="B2950" s="78"/>
      <c r="C2950" s="78"/>
      <c r="D2950" s="78"/>
      <c r="E2950" s="78"/>
      <c r="F2950" s="78"/>
      <c r="G2950" s="16" t="s">
        <v>1317</v>
      </c>
      <c r="Z2950" s="109"/>
      <c r="AA2950" s="109"/>
      <c r="AB2950" s="109"/>
      <c r="AC2950" s="109"/>
      <c r="AD2950" s="109"/>
      <c r="AE2950" s="109"/>
      <c r="AF2950" s="109"/>
      <c r="AG2950" s="109"/>
      <c r="AH2950" s="109"/>
      <c r="AI2950" s="109"/>
      <c r="AJ2950" s="109"/>
      <c r="AK2950" s="109"/>
      <c r="AL2950" s="109"/>
      <c r="AM2950" s="109"/>
      <c r="AN2950" s="109"/>
      <c r="AO2950" s="109"/>
      <c r="AP2950" s="109"/>
      <c r="AQ2950" s="109"/>
      <c r="AR2950" s="109"/>
      <c r="AS2950" s="109"/>
    </row>
    <row r="2951" spans="1:45" ht="12.6" customHeight="1" x14ac:dyDescent="0.3">
      <c r="A2951" s="68"/>
      <c r="B2951" s="97" t="str">
        <f>" 운반거리:   L = "&amp;Z2951&amp;" m "</f>
        <v xml:space="preserve"> 운반거리:   L = 0.353 m </v>
      </c>
      <c r="C2951" s="78"/>
      <c r="D2951" s="78"/>
      <c r="E2951" s="78"/>
      <c r="F2951" s="78"/>
      <c r="G2951" s="16" t="s">
        <v>2105</v>
      </c>
      <c r="Z2951" s="110">
        <v>0.35299999999999998</v>
      </c>
      <c r="AA2951" s="20" t="s">
        <v>1326</v>
      </c>
      <c r="AB2951" s="112">
        <f>Z2951</f>
        <v>0.35299999999999998</v>
      </c>
      <c r="AC2951" s="109"/>
      <c r="AD2951" s="109"/>
      <c r="AE2951" s="109"/>
      <c r="AF2951" s="109"/>
      <c r="AG2951" s="109"/>
      <c r="AH2951" s="109"/>
      <c r="AI2951" s="109"/>
      <c r="AJ2951" s="109"/>
      <c r="AK2951" s="109"/>
      <c r="AL2951" s="109"/>
      <c r="AM2951" s="109"/>
      <c r="AN2951" s="109"/>
      <c r="AO2951" s="109"/>
      <c r="AP2951" s="109"/>
      <c r="AQ2951" s="109"/>
      <c r="AR2951" s="109"/>
      <c r="AS2951" s="109"/>
    </row>
    <row r="2952" spans="1:45" ht="12.6" customHeight="1" x14ac:dyDescent="0.3">
      <c r="A2952" s="78"/>
      <c r="B2952" s="78"/>
      <c r="C2952" s="78"/>
      <c r="D2952" s="78"/>
      <c r="E2952" s="78"/>
      <c r="F2952" s="78"/>
      <c r="G2952" s="16" t="s">
        <v>1317</v>
      </c>
      <c r="Z2952" s="109"/>
      <c r="AA2952" s="109"/>
      <c r="AB2952" s="109"/>
      <c r="AC2952" s="109"/>
      <c r="AD2952" s="109"/>
      <c r="AE2952" s="109"/>
      <c r="AF2952" s="109"/>
      <c r="AG2952" s="109"/>
      <c r="AH2952" s="109"/>
      <c r="AI2952" s="109"/>
      <c r="AJ2952" s="109"/>
      <c r="AK2952" s="109"/>
      <c r="AL2952" s="109"/>
      <c r="AM2952" s="109"/>
      <c r="AN2952" s="109"/>
      <c r="AO2952" s="109"/>
      <c r="AP2952" s="109"/>
      <c r="AQ2952" s="109"/>
      <c r="AR2952" s="109"/>
      <c r="AS2952" s="109"/>
    </row>
    <row r="2953" spans="1:45" ht="12.6" customHeight="1" x14ac:dyDescent="0.3">
      <c r="A2953" s="68"/>
      <c r="B2953" s="77" t="s">
        <v>1910</v>
      </c>
      <c r="C2953" s="78"/>
      <c r="D2953" s="78"/>
      <c r="E2953" s="78"/>
      <c r="F2953" s="78"/>
      <c r="G2953" s="16" t="s">
        <v>1909</v>
      </c>
      <c r="Z2953" s="109"/>
      <c r="AA2953" s="109"/>
      <c r="AB2953" s="109"/>
      <c r="AC2953" s="109"/>
      <c r="AD2953" s="109"/>
      <c r="AE2953" s="109"/>
      <c r="AF2953" s="109"/>
      <c r="AG2953" s="109"/>
      <c r="AH2953" s="109"/>
      <c r="AI2953" s="109"/>
      <c r="AJ2953" s="109"/>
      <c r="AK2953" s="109"/>
      <c r="AL2953" s="109"/>
      <c r="AM2953" s="109"/>
      <c r="AN2953" s="109"/>
      <c r="AO2953" s="109"/>
      <c r="AP2953" s="109"/>
      <c r="AQ2953" s="109"/>
      <c r="AR2953" s="109"/>
      <c r="AS2953" s="109"/>
    </row>
    <row r="2954" spans="1:45" ht="12.6" customHeight="1" x14ac:dyDescent="0.3">
      <c r="A2954" s="78"/>
      <c r="B2954" s="78"/>
      <c r="C2954" s="78"/>
      <c r="D2954" s="78"/>
      <c r="E2954" s="78"/>
      <c r="F2954" s="78"/>
      <c r="G2954" s="16" t="s">
        <v>1317</v>
      </c>
      <c r="Z2954" s="109"/>
      <c r="AA2954" s="109"/>
      <c r="AB2954" s="109"/>
      <c r="AC2954" s="109"/>
      <c r="AD2954" s="109"/>
      <c r="AE2954" s="109"/>
      <c r="AF2954" s="109"/>
      <c r="AG2954" s="109"/>
      <c r="AH2954" s="109"/>
      <c r="AI2954" s="109"/>
      <c r="AJ2954" s="109"/>
      <c r="AK2954" s="109"/>
      <c r="AL2954" s="109"/>
      <c r="AM2954" s="109"/>
      <c r="AN2954" s="109"/>
      <c r="AO2954" s="109"/>
      <c r="AP2954" s="109"/>
      <c r="AQ2954" s="109"/>
      <c r="AR2954" s="109"/>
      <c r="AS2954" s="109"/>
    </row>
    <row r="2955" spans="1:45" ht="12.6" customHeight="1" x14ac:dyDescent="0.3">
      <c r="A2955" s="68"/>
      <c r="B2955" s="97" t="str">
        <f>"q (버킷용량) = "&amp;Z2955&amp;" , k (버킷계수) = "&amp;AD2955&amp;" , E (작업효율) = "&amp;AH2955&amp;""</f>
        <v>q (버킷용량) = 0.7 , k (버킷계수) = 0.55 , E (작업효율) = 0.45</v>
      </c>
      <c r="C2955" s="78"/>
      <c r="D2955" s="78"/>
      <c r="E2955" s="78"/>
      <c r="F2955" s="78"/>
      <c r="G2955" s="16" t="s">
        <v>1940</v>
      </c>
      <c r="Z2955" s="110">
        <v>0.7</v>
      </c>
      <c r="AA2955" s="20" t="s">
        <v>1326</v>
      </c>
      <c r="AB2955" s="112">
        <f>Z2955</f>
        <v>0.7</v>
      </c>
      <c r="AC2955" s="20" t="s">
        <v>1385</v>
      </c>
      <c r="AD2955" s="110">
        <v>0.55000000000000004</v>
      </c>
      <c r="AE2955" s="20" t="s">
        <v>1326</v>
      </c>
      <c r="AF2955" s="112">
        <f>AD2955</f>
        <v>0.55000000000000004</v>
      </c>
      <c r="AG2955" s="20" t="s">
        <v>1385</v>
      </c>
      <c r="AH2955" s="110">
        <v>0.45</v>
      </c>
      <c r="AI2955" s="20" t="s">
        <v>1326</v>
      </c>
      <c r="AJ2955" s="112">
        <f>AH2955</f>
        <v>0.45</v>
      </c>
      <c r="AK2955" s="20" t="s">
        <v>1385</v>
      </c>
      <c r="AL2955" s="109"/>
      <c r="AM2955" s="109"/>
      <c r="AN2955" s="109"/>
      <c r="AO2955" s="109"/>
      <c r="AP2955" s="109"/>
      <c r="AQ2955" s="109"/>
      <c r="AR2955" s="109"/>
      <c r="AS2955" s="109"/>
    </row>
    <row r="2956" spans="1:45" ht="12.6" customHeight="1" x14ac:dyDescent="0.3">
      <c r="A2956" s="78"/>
      <c r="B2956" s="78"/>
      <c r="C2956" s="78"/>
      <c r="D2956" s="78"/>
      <c r="E2956" s="78"/>
      <c r="F2956" s="78"/>
      <c r="G2956" s="16" t="s">
        <v>1317</v>
      </c>
      <c r="Z2956" s="109"/>
      <c r="AA2956" s="109"/>
      <c r="AB2956" s="109"/>
      <c r="AC2956" s="109"/>
      <c r="AD2956" s="109"/>
      <c r="AE2956" s="109"/>
      <c r="AF2956" s="109"/>
      <c r="AG2956" s="109"/>
      <c r="AH2956" s="109"/>
      <c r="AI2956" s="109"/>
      <c r="AJ2956" s="109"/>
      <c r="AK2956" s="109"/>
      <c r="AL2956" s="109"/>
      <c r="AM2956" s="109"/>
      <c r="AN2956" s="109"/>
      <c r="AO2956" s="109"/>
      <c r="AP2956" s="109"/>
      <c r="AQ2956" s="109"/>
      <c r="AR2956" s="109"/>
      <c r="AS2956" s="109"/>
    </row>
    <row r="2957" spans="1:45" ht="12.6" customHeight="1" x14ac:dyDescent="0.3">
      <c r="A2957" s="68"/>
      <c r="B2957" s="97" t="str">
        <f>"f (체적환산계수) = "&amp;Z2957&amp;"/"&amp;AB2957&amp;" = "&amp;AD2957&amp;""</f>
        <v>f (체적환산계수) = 1.15/1.4 = 0.82</v>
      </c>
      <c r="C2957" s="78"/>
      <c r="D2957" s="78"/>
      <c r="E2957" s="78"/>
      <c r="F2957" s="78"/>
      <c r="G2957" s="16" t="s">
        <v>1941</v>
      </c>
      <c r="Z2957" s="110">
        <v>1.1499999999999999</v>
      </c>
      <c r="AA2957" s="20" t="s">
        <v>1387</v>
      </c>
      <c r="AB2957" s="110">
        <v>1.4</v>
      </c>
      <c r="AC2957" s="20" t="s">
        <v>1326</v>
      </c>
      <c r="AD2957" s="112" t="str">
        <f>TEXT(ROUND(Z2957/AB2957,2),"0.00")</f>
        <v>0.82</v>
      </c>
      <c r="AE2957" s="109"/>
      <c r="AF2957" s="109"/>
      <c r="AG2957" s="109"/>
      <c r="AH2957" s="109"/>
      <c r="AI2957" s="109"/>
      <c r="AJ2957" s="109"/>
      <c r="AK2957" s="109"/>
      <c r="AL2957" s="109"/>
      <c r="AM2957" s="109"/>
      <c r="AN2957" s="109"/>
      <c r="AO2957" s="109"/>
      <c r="AP2957" s="109"/>
      <c r="AQ2957" s="109"/>
      <c r="AR2957" s="109"/>
      <c r="AS2957" s="109"/>
    </row>
    <row r="2958" spans="1:45" ht="12.6" customHeight="1" x14ac:dyDescent="0.3">
      <c r="A2958" s="78"/>
      <c r="B2958" s="78"/>
      <c r="C2958" s="78"/>
      <c r="D2958" s="78"/>
      <c r="E2958" s="78"/>
      <c r="F2958" s="78"/>
      <c r="G2958" s="16" t="s">
        <v>1317</v>
      </c>
      <c r="Z2958" s="109"/>
      <c r="AA2958" s="109"/>
      <c r="AB2958" s="109"/>
      <c r="AC2958" s="109"/>
      <c r="AD2958" s="109"/>
      <c r="AE2958" s="109"/>
      <c r="AF2958" s="109"/>
      <c r="AG2958" s="109"/>
      <c r="AH2958" s="109"/>
      <c r="AI2958" s="109"/>
      <c r="AJ2958" s="109"/>
      <c r="AK2958" s="109"/>
      <c r="AL2958" s="109"/>
      <c r="AM2958" s="109"/>
      <c r="AN2958" s="109"/>
      <c r="AO2958" s="109"/>
      <c r="AP2958" s="109"/>
      <c r="AQ2958" s="109"/>
      <c r="AR2958" s="109"/>
      <c r="AS2958" s="109"/>
    </row>
    <row r="2959" spans="1:45" ht="12.6" customHeight="1" x14ac:dyDescent="0.3">
      <c r="A2959" s="68"/>
      <c r="B2959" s="97" t="str">
        <f>"Cm (1회 사이클 시간(초)) = "&amp;Z2959&amp;"  sec(135) "</f>
        <v xml:space="preserve">Cm (1회 사이클 시간(초)) = 20  sec(135) </v>
      </c>
      <c r="C2959" s="78"/>
      <c r="D2959" s="78"/>
      <c r="E2959" s="78"/>
      <c r="F2959" s="78"/>
      <c r="G2959" s="16" t="s">
        <v>1942</v>
      </c>
      <c r="Z2959" s="111">
        <v>20</v>
      </c>
      <c r="AA2959" s="20" t="s">
        <v>1326</v>
      </c>
      <c r="AB2959" s="112">
        <f>Z2959</f>
        <v>20</v>
      </c>
      <c r="AC2959" s="109"/>
      <c r="AD2959" s="109"/>
      <c r="AE2959" s="109"/>
      <c r="AF2959" s="109"/>
      <c r="AG2959" s="109"/>
      <c r="AH2959" s="109"/>
      <c r="AI2959" s="109"/>
      <c r="AJ2959" s="109"/>
      <c r="AK2959" s="109"/>
      <c r="AL2959" s="109"/>
      <c r="AM2959" s="109"/>
      <c r="AN2959" s="109"/>
      <c r="AO2959" s="109"/>
      <c r="AP2959" s="109"/>
      <c r="AQ2959" s="109"/>
      <c r="AR2959" s="109"/>
      <c r="AS2959" s="109"/>
    </row>
    <row r="2960" spans="1:45" ht="12.6" customHeight="1" x14ac:dyDescent="0.3">
      <c r="A2960" s="78"/>
      <c r="B2960" s="78"/>
      <c r="C2960" s="78"/>
      <c r="D2960" s="78"/>
      <c r="E2960" s="78"/>
      <c r="F2960" s="78"/>
      <c r="G2960" s="16" t="s">
        <v>1317</v>
      </c>
      <c r="Z2960" s="109"/>
      <c r="AA2960" s="109"/>
      <c r="AB2960" s="109"/>
      <c r="AC2960" s="109"/>
      <c r="AD2960" s="109"/>
      <c r="AE2960" s="109"/>
      <c r="AF2960" s="109"/>
      <c r="AG2960" s="109"/>
      <c r="AH2960" s="109"/>
      <c r="AI2960" s="109"/>
      <c r="AJ2960" s="109"/>
      <c r="AK2960" s="109"/>
      <c r="AL2960" s="109"/>
      <c r="AM2960" s="109"/>
      <c r="AN2960" s="109"/>
      <c r="AO2960" s="109"/>
      <c r="AP2960" s="109"/>
      <c r="AQ2960" s="109"/>
      <c r="AR2960" s="109"/>
      <c r="AS2960" s="109"/>
    </row>
    <row r="2961" spans="1:45" ht="12.6" customHeight="1" x14ac:dyDescent="0.3">
      <c r="A2961" s="68"/>
      <c r="B2961" s="97" t="str">
        <f>"Q (시간당 작업량) = "&amp;Z2961&amp;"*q*k*E*f/Cm = "&amp;AL2961&amp;" m3/hr "</f>
        <v xml:space="preserve">Q (시간당 작업량) = 3600*q*k*E*f/Cm = 25.57 m3/hr </v>
      </c>
      <c r="C2961" s="78"/>
      <c r="D2961" s="78"/>
      <c r="E2961" s="78"/>
      <c r="F2961" s="78"/>
      <c r="G2961" s="16" t="s">
        <v>1936</v>
      </c>
      <c r="Z2961" s="111">
        <v>3600</v>
      </c>
      <c r="AA2961" s="20" t="s">
        <v>1390</v>
      </c>
      <c r="AB2961" s="112">
        <f>AB2955</f>
        <v>0.7</v>
      </c>
      <c r="AC2961" s="20" t="s">
        <v>1390</v>
      </c>
      <c r="AD2961" s="112">
        <f>AF2955</f>
        <v>0.55000000000000004</v>
      </c>
      <c r="AE2961" s="20" t="s">
        <v>1390</v>
      </c>
      <c r="AF2961" s="112">
        <f>AJ2955</f>
        <v>0.45</v>
      </c>
      <c r="AG2961" s="20" t="s">
        <v>1390</v>
      </c>
      <c r="AH2961" s="112" t="str">
        <f>AD2957</f>
        <v>0.82</v>
      </c>
      <c r="AI2961" s="20" t="s">
        <v>1387</v>
      </c>
      <c r="AJ2961" s="112">
        <f>AB2959</f>
        <v>20</v>
      </c>
      <c r="AK2961" s="20" t="s">
        <v>1326</v>
      </c>
      <c r="AL2961" s="112" t="str">
        <f>TEXT(ROUND(Z2961*AB2955*AF2955*AJ2955*AD2957/AB2959,2),"0.00")</f>
        <v>25.57</v>
      </c>
      <c r="AM2961" s="109"/>
      <c r="AN2961" s="109"/>
      <c r="AO2961" s="109"/>
      <c r="AP2961" s="109"/>
      <c r="AQ2961" s="109"/>
      <c r="AR2961" s="109"/>
      <c r="AS2961" s="109"/>
    </row>
    <row r="2962" spans="1:45" ht="12.6" customHeight="1" x14ac:dyDescent="0.3">
      <c r="A2962" s="78"/>
      <c r="B2962" s="78"/>
      <c r="C2962" s="78"/>
      <c r="D2962" s="78"/>
      <c r="E2962" s="78"/>
      <c r="F2962" s="78"/>
      <c r="G2962" s="16" t="s">
        <v>1317</v>
      </c>
      <c r="Z2962" s="109"/>
      <c r="AA2962" s="109"/>
      <c r="AB2962" s="109"/>
      <c r="AC2962" s="109"/>
      <c r="AD2962" s="109"/>
      <c r="AE2962" s="109"/>
      <c r="AF2962" s="109"/>
      <c r="AG2962" s="109"/>
      <c r="AH2962" s="109"/>
      <c r="AI2962" s="109"/>
      <c r="AJ2962" s="109"/>
      <c r="AK2962" s="109"/>
      <c r="AL2962" s="109"/>
      <c r="AM2962" s="109"/>
      <c r="AN2962" s="109"/>
      <c r="AO2962" s="109"/>
      <c r="AP2962" s="109"/>
      <c r="AQ2962" s="109"/>
      <c r="AR2962" s="109"/>
      <c r="AS2962" s="109"/>
    </row>
    <row r="2963" spans="1:45" ht="12.6" customHeight="1" x14ac:dyDescent="0.3">
      <c r="A2963" s="68" t="s">
        <v>1441</v>
      </c>
      <c r="B2963" s="97" t="str">
        <f>" 노 무 비  :  "&amp;TEXT(I2963,"#,##0"&amp;IF(I2963&lt;&gt;INT(I2963),".###",""))&amp;" / Q  = "&amp;TEXT(C2963,"#,##0.0")&amp;""</f>
        <v xml:space="preserve"> 노 무 비  :  55,700 / Q  = 2,178.3</v>
      </c>
      <c r="C2963" s="99">
        <f>E2963+D2963+F2963</f>
        <v>2178.3000000000002</v>
      </c>
      <c r="D2963" s="99">
        <f>IF(H2963=0,0,ROUNDDOWN(J2963*H2963,1))</f>
        <v>2178.3000000000002</v>
      </c>
      <c r="E2963" s="99">
        <f>IF(H2963=0,0,ROUNDDOWN(K2963*H2963,1))</f>
        <v>0</v>
      </c>
      <c r="F2963" s="99">
        <f>IF(H2963=0,0,ROUNDDOWN(L2963*H2963,1))</f>
        <v>0</v>
      </c>
      <c r="G2963" s="16" t="s">
        <v>1943</v>
      </c>
      <c r="H2963" s="105">
        <f>AC2963</f>
        <v>3.9108330074305829E-2</v>
      </c>
      <c r="I2963" s="106">
        <f>K2963+J2963+L2963</f>
        <v>55700</v>
      </c>
      <c r="J2963" s="39">
        <f>중기목록표!F9</f>
        <v>55700</v>
      </c>
      <c r="M2963" s="20" t="s">
        <v>1442</v>
      </c>
      <c r="N2963" s="20" t="s">
        <v>1332</v>
      </c>
      <c r="X2963" s="108" t="str">
        <f>중기목록표!B9&amp;" / "&amp;중기목록표!C9</f>
        <v>굴삭기(0.7m3) / 0.7㎥,(암석)</v>
      </c>
      <c r="Y2963" s="19" t="str">
        <f ca="1">HYPERLINK("#"&amp;중기목록표!J2&amp;"!A"&amp;ROW(중기목록표!A9),"중기    6 →")</f>
        <v>중기    6 →</v>
      </c>
      <c r="Z2963" s="20" t="s">
        <v>1393</v>
      </c>
      <c r="AA2963" s="112" t="str">
        <f>AL2961</f>
        <v>25.57</v>
      </c>
      <c r="AB2963" s="20" t="s">
        <v>1326</v>
      </c>
      <c r="AC2963" s="113">
        <f>1/AL2961</f>
        <v>3.9108330074305829E-2</v>
      </c>
      <c r="AD2963" s="109"/>
      <c r="AE2963" s="109"/>
      <c r="AF2963" s="109"/>
      <c r="AG2963" s="109"/>
      <c r="AH2963" s="109"/>
      <c r="AI2963" s="109"/>
      <c r="AJ2963" s="109"/>
      <c r="AK2963" s="109"/>
      <c r="AL2963" s="109"/>
      <c r="AM2963" s="109"/>
      <c r="AN2963" s="109"/>
      <c r="AO2963" s="109"/>
      <c r="AP2963" s="109"/>
      <c r="AQ2963" s="109"/>
      <c r="AR2963" s="109"/>
      <c r="AS2963" s="109"/>
    </row>
    <row r="2964" spans="1:45" ht="12.6" customHeight="1" x14ac:dyDescent="0.3">
      <c r="A2964" s="78"/>
      <c r="B2964" s="78"/>
      <c r="C2964" s="78"/>
      <c r="D2964" s="78"/>
      <c r="E2964" s="78"/>
      <c r="F2964" s="78"/>
      <c r="G2964" s="16" t="s">
        <v>1317</v>
      </c>
      <c r="Z2964" s="109"/>
      <c r="AA2964" s="109"/>
      <c r="AB2964" s="109"/>
      <c r="AC2964" s="109"/>
      <c r="AD2964" s="109"/>
      <c r="AE2964" s="109"/>
      <c r="AF2964" s="109"/>
      <c r="AG2964" s="109"/>
      <c r="AH2964" s="109"/>
      <c r="AI2964" s="109"/>
      <c r="AJ2964" s="109"/>
      <c r="AK2964" s="109"/>
      <c r="AL2964" s="109"/>
      <c r="AM2964" s="109"/>
      <c r="AN2964" s="109"/>
      <c r="AO2964" s="109"/>
      <c r="AP2964" s="109"/>
      <c r="AQ2964" s="109"/>
      <c r="AR2964" s="109"/>
      <c r="AS2964" s="109"/>
    </row>
    <row r="2965" spans="1:45" ht="12.6" customHeight="1" x14ac:dyDescent="0.3">
      <c r="A2965" s="68" t="s">
        <v>1444</v>
      </c>
      <c r="B2965" s="97" t="str">
        <f>" 재 료 비  :  "&amp;TEXT(I2965,"#,##0"&amp;IF(I2965&lt;&gt;INT(I2965),".###",""))&amp;" / Q  = "&amp;TEXT(C2965,"#,##0.0")&amp;""</f>
        <v xml:space="preserve"> 재 료 비  :  18,001 / Q  = 703.9</v>
      </c>
      <c r="C2965" s="99">
        <f>E2965+D2965+F2965</f>
        <v>703.9</v>
      </c>
      <c r="D2965" s="99">
        <f>IF(H2965=0,0,ROUNDDOWN(J2965*H2965,1))</f>
        <v>0</v>
      </c>
      <c r="E2965" s="99">
        <f>IF(H2965=0,0,ROUNDDOWN(K2965*H2965,1))</f>
        <v>703.9</v>
      </c>
      <c r="F2965" s="99">
        <f>IF(H2965=0,0,ROUNDDOWN(L2965*H2965,1))</f>
        <v>0</v>
      </c>
      <c r="G2965" s="16" t="s">
        <v>1944</v>
      </c>
      <c r="H2965" s="105">
        <f>AC2965</f>
        <v>3.9108330074305829E-2</v>
      </c>
      <c r="I2965" s="106">
        <f>K2965+J2965+L2965</f>
        <v>18001</v>
      </c>
      <c r="K2965" s="39">
        <f>중기목록표!G9</f>
        <v>18001</v>
      </c>
      <c r="M2965" s="20" t="s">
        <v>1442</v>
      </c>
      <c r="N2965" s="20" t="s">
        <v>1332</v>
      </c>
      <c r="X2965" s="108" t="str">
        <f>중기목록표!B9&amp;" / "&amp;중기목록표!C9</f>
        <v>굴삭기(0.7m3) / 0.7㎥,(암석)</v>
      </c>
      <c r="Y2965" s="19" t="str">
        <f ca="1">HYPERLINK("#"&amp;중기목록표!J2&amp;"!A"&amp;ROW(중기목록표!A9),"중기    6 →")</f>
        <v>중기    6 →</v>
      </c>
      <c r="Z2965" s="20" t="s">
        <v>1393</v>
      </c>
      <c r="AA2965" s="112" t="str">
        <f>AL2961</f>
        <v>25.57</v>
      </c>
      <c r="AB2965" s="20" t="s">
        <v>1326</v>
      </c>
      <c r="AC2965" s="113">
        <f>1/AL2961</f>
        <v>3.9108330074305829E-2</v>
      </c>
      <c r="AD2965" s="109"/>
      <c r="AE2965" s="109"/>
      <c r="AF2965" s="109"/>
      <c r="AG2965" s="109"/>
      <c r="AH2965" s="109"/>
      <c r="AI2965" s="109"/>
      <c r="AJ2965" s="109"/>
      <c r="AK2965" s="109"/>
      <c r="AL2965" s="109"/>
      <c r="AM2965" s="109"/>
      <c r="AN2965" s="109"/>
      <c r="AO2965" s="109"/>
      <c r="AP2965" s="109"/>
      <c r="AQ2965" s="109"/>
      <c r="AR2965" s="109"/>
      <c r="AS2965" s="109"/>
    </row>
    <row r="2966" spans="1:45" ht="12.6" customHeight="1" x14ac:dyDescent="0.3">
      <c r="A2966" s="78"/>
      <c r="B2966" s="78"/>
      <c r="C2966" s="78"/>
      <c r="D2966" s="78"/>
      <c r="E2966" s="78"/>
      <c r="F2966" s="78"/>
      <c r="G2966" s="16" t="s">
        <v>1317</v>
      </c>
      <c r="Z2966" s="109"/>
      <c r="AA2966" s="109"/>
      <c r="AB2966" s="109"/>
      <c r="AC2966" s="109"/>
      <c r="AD2966" s="109"/>
      <c r="AE2966" s="109"/>
      <c r="AF2966" s="109"/>
      <c r="AG2966" s="109"/>
      <c r="AH2966" s="109"/>
      <c r="AI2966" s="109"/>
      <c r="AJ2966" s="109"/>
      <c r="AK2966" s="109"/>
      <c r="AL2966" s="109"/>
      <c r="AM2966" s="109"/>
      <c r="AN2966" s="109"/>
      <c r="AO2966" s="109"/>
      <c r="AP2966" s="109"/>
      <c r="AQ2966" s="109"/>
      <c r="AR2966" s="109"/>
      <c r="AS2966" s="109"/>
    </row>
    <row r="2967" spans="1:45" ht="12.6" customHeight="1" x14ac:dyDescent="0.3">
      <c r="A2967" s="68" t="s">
        <v>1446</v>
      </c>
      <c r="B2967" s="97" t="str">
        <f>" 경    비  :  "&amp;TEXT(I2967,"#,##0"&amp;IF(I2967&lt;&gt;INT(I2967),".###",""))&amp;" / Q  = "&amp;TEXT(C2967,"#,##0.0")&amp;""</f>
        <v xml:space="preserve"> 경    비  :  26,677 / Q  = 1,043.2</v>
      </c>
      <c r="C2967" s="99">
        <f>E2967+D2967+F2967</f>
        <v>1043.2</v>
      </c>
      <c r="D2967" s="99">
        <f>IF(H2967=0,0,ROUNDDOWN(J2967*H2967,1))</f>
        <v>0</v>
      </c>
      <c r="E2967" s="99">
        <f>IF(H2967=0,0,ROUNDDOWN(K2967*H2967,1))</f>
        <v>0</v>
      </c>
      <c r="F2967" s="99">
        <f>IF(H2967=0,0,ROUNDDOWN(L2967*H2967,1))</f>
        <v>1043.2</v>
      </c>
      <c r="G2967" s="16" t="s">
        <v>1945</v>
      </c>
      <c r="H2967" s="105">
        <f>AC2967</f>
        <v>3.9108330074305829E-2</v>
      </c>
      <c r="I2967" s="106">
        <f>K2967+J2967+L2967</f>
        <v>26677</v>
      </c>
      <c r="L2967" s="39">
        <f>중기목록표!H9</f>
        <v>26677</v>
      </c>
      <c r="M2967" s="20" t="s">
        <v>1442</v>
      </c>
      <c r="N2967" s="20" t="s">
        <v>1332</v>
      </c>
      <c r="X2967" s="108" t="str">
        <f>중기목록표!B9&amp;" / "&amp;중기목록표!C9</f>
        <v>굴삭기(0.7m3) / 0.7㎥,(암석)</v>
      </c>
      <c r="Y2967" s="19" t="str">
        <f ca="1">HYPERLINK("#"&amp;중기목록표!J2&amp;"!A"&amp;ROW(중기목록표!A9),"중기    6 →")</f>
        <v>중기    6 →</v>
      </c>
      <c r="Z2967" s="20" t="s">
        <v>1393</v>
      </c>
      <c r="AA2967" s="112" t="str">
        <f>AL2961</f>
        <v>25.57</v>
      </c>
      <c r="AB2967" s="20" t="s">
        <v>1326</v>
      </c>
      <c r="AC2967" s="113">
        <f>1/AL2961</f>
        <v>3.9108330074305829E-2</v>
      </c>
      <c r="AD2967" s="109"/>
      <c r="AE2967" s="109"/>
      <c r="AF2967" s="109"/>
      <c r="AG2967" s="109"/>
      <c r="AH2967" s="109"/>
      <c r="AI2967" s="109"/>
      <c r="AJ2967" s="109"/>
      <c r="AK2967" s="109"/>
      <c r="AL2967" s="109"/>
      <c r="AM2967" s="109"/>
      <c r="AN2967" s="109"/>
      <c r="AO2967" s="109"/>
      <c r="AP2967" s="109"/>
      <c r="AQ2967" s="109"/>
      <c r="AR2967" s="109"/>
      <c r="AS2967" s="109"/>
    </row>
    <row r="2968" spans="1:45" ht="12.6" customHeight="1" x14ac:dyDescent="0.3">
      <c r="A2968" s="78"/>
      <c r="B2968" s="78"/>
      <c r="C2968" s="78"/>
      <c r="D2968" s="78"/>
      <c r="E2968" s="78"/>
      <c r="F2968" s="78"/>
      <c r="G2968" s="16" t="s">
        <v>1317</v>
      </c>
      <c r="Z2968" s="109"/>
      <c r="AA2968" s="109"/>
      <c r="AB2968" s="109"/>
      <c r="AC2968" s="109"/>
      <c r="AD2968" s="109"/>
      <c r="AE2968" s="109"/>
      <c r="AF2968" s="109"/>
      <c r="AG2968" s="109"/>
      <c r="AH2968" s="109"/>
      <c r="AI2968" s="109"/>
      <c r="AJ2968" s="109"/>
      <c r="AK2968" s="109"/>
      <c r="AL2968" s="109"/>
      <c r="AM2968" s="109"/>
      <c r="AN2968" s="109"/>
      <c r="AO2968" s="109"/>
      <c r="AP2968" s="109"/>
      <c r="AQ2968" s="109"/>
      <c r="AR2968" s="109"/>
      <c r="AS2968" s="109"/>
    </row>
    <row r="2969" spans="1:45" ht="12.6" customHeight="1" x14ac:dyDescent="0.3">
      <c r="A2969" s="68"/>
      <c r="B2969" s="77" t="s">
        <v>1331</v>
      </c>
      <c r="C2969" s="100">
        <f>E2969+D2969+F2969</f>
        <v>3925.4000000000005</v>
      </c>
      <c r="D2969" s="100">
        <f>SUMIF(N2947:N2968,M2969,D2947:D2968)</f>
        <v>2178.3000000000002</v>
      </c>
      <c r="E2969" s="100">
        <f>SUMIF(N2947:N2968,M2969,E2947:E2968)</f>
        <v>703.9</v>
      </c>
      <c r="F2969" s="100">
        <f>SUMIF(N2947:N2968,M2969,F2947:F2968)</f>
        <v>1043.2</v>
      </c>
      <c r="G2969" s="16" t="s">
        <v>1415</v>
      </c>
      <c r="M2969" s="20" t="s">
        <v>1332</v>
      </c>
      <c r="N2969" s="20" t="s">
        <v>1341</v>
      </c>
      <c r="Z2969" s="109"/>
      <c r="AA2969" s="109"/>
      <c r="AB2969" s="109"/>
      <c r="AC2969" s="109"/>
      <c r="AD2969" s="109"/>
      <c r="AE2969" s="109"/>
      <c r="AF2969" s="109"/>
      <c r="AG2969" s="109"/>
      <c r="AH2969" s="109"/>
      <c r="AI2969" s="109"/>
      <c r="AJ2969" s="109"/>
      <c r="AK2969" s="109"/>
      <c r="AL2969" s="109"/>
      <c r="AM2969" s="109"/>
      <c r="AN2969" s="109"/>
      <c r="AO2969" s="109"/>
      <c r="AP2969" s="109"/>
      <c r="AQ2969" s="109"/>
      <c r="AR2969" s="109"/>
      <c r="AS2969" s="109"/>
    </row>
    <row r="2970" spans="1:45" ht="12.6" customHeight="1" x14ac:dyDescent="0.3">
      <c r="A2970" s="78"/>
      <c r="B2970" s="78"/>
      <c r="C2970" s="98"/>
      <c r="D2970" s="98"/>
      <c r="E2970" s="98"/>
      <c r="F2970" s="98"/>
      <c r="G2970" s="16" t="s">
        <v>1317</v>
      </c>
      <c r="Z2970" s="109"/>
      <c r="AA2970" s="109"/>
      <c r="AB2970" s="109"/>
      <c r="AC2970" s="109"/>
      <c r="AD2970" s="109"/>
      <c r="AE2970" s="109"/>
      <c r="AF2970" s="109"/>
      <c r="AG2970" s="109"/>
      <c r="AH2970" s="109"/>
      <c r="AI2970" s="109"/>
      <c r="AJ2970" s="109"/>
      <c r="AK2970" s="109"/>
      <c r="AL2970" s="109"/>
      <c r="AM2970" s="109"/>
      <c r="AN2970" s="109"/>
      <c r="AO2970" s="109"/>
      <c r="AP2970" s="109"/>
      <c r="AQ2970" s="109"/>
      <c r="AR2970" s="109"/>
      <c r="AS2970" s="109"/>
    </row>
    <row r="2971" spans="1:45" ht="12.6" customHeight="1" x14ac:dyDescent="0.3">
      <c r="A2971" s="68"/>
      <c r="B2971" s="77" t="s">
        <v>1947</v>
      </c>
      <c r="C2971" s="78"/>
      <c r="D2971" s="78"/>
      <c r="E2971" s="78"/>
      <c r="F2971" s="78"/>
      <c r="G2971" s="16" t="s">
        <v>1946</v>
      </c>
      <c r="Z2971" s="109"/>
      <c r="AA2971" s="109"/>
      <c r="AB2971" s="109"/>
      <c r="AC2971" s="109"/>
      <c r="AD2971" s="109"/>
      <c r="AE2971" s="109"/>
      <c r="AF2971" s="109"/>
      <c r="AG2971" s="109"/>
      <c r="AH2971" s="109"/>
      <c r="AI2971" s="109"/>
      <c r="AJ2971" s="109"/>
      <c r="AK2971" s="109"/>
      <c r="AL2971" s="109"/>
      <c r="AM2971" s="109"/>
      <c r="AN2971" s="109"/>
      <c r="AO2971" s="109"/>
      <c r="AP2971" s="109"/>
      <c r="AQ2971" s="109"/>
      <c r="AR2971" s="109"/>
      <c r="AS2971" s="109"/>
    </row>
    <row r="2972" spans="1:45" ht="12.6" customHeight="1" x14ac:dyDescent="0.3">
      <c r="A2972" s="78"/>
      <c r="B2972" s="78"/>
      <c r="C2972" s="78"/>
      <c r="D2972" s="78"/>
      <c r="E2972" s="78"/>
      <c r="F2972" s="78"/>
      <c r="G2972" s="16" t="s">
        <v>1317</v>
      </c>
      <c r="Z2972" s="109"/>
      <c r="AA2972" s="109"/>
      <c r="AB2972" s="109"/>
      <c r="AC2972" s="109"/>
      <c r="AD2972" s="109"/>
      <c r="AE2972" s="109"/>
      <c r="AF2972" s="109"/>
      <c r="AG2972" s="109"/>
      <c r="AH2972" s="109"/>
      <c r="AI2972" s="109"/>
      <c r="AJ2972" s="109"/>
      <c r="AK2972" s="109"/>
      <c r="AL2972" s="109"/>
      <c r="AM2972" s="109"/>
      <c r="AN2972" s="109"/>
      <c r="AO2972" s="109"/>
      <c r="AP2972" s="109"/>
      <c r="AQ2972" s="109"/>
      <c r="AR2972" s="109"/>
      <c r="AS2972" s="109"/>
    </row>
    <row r="2973" spans="1:45" ht="12.6" customHeight="1" x14ac:dyDescent="0.3">
      <c r="A2973" s="68"/>
      <c r="B2973" s="77" t="s">
        <v>1949</v>
      </c>
      <c r="C2973" s="78"/>
      <c r="D2973" s="78"/>
      <c r="E2973" s="78"/>
      <c r="F2973" s="78"/>
      <c r="G2973" s="16" t="s">
        <v>1948</v>
      </c>
      <c r="Z2973" s="109"/>
      <c r="AA2973" s="109"/>
      <c r="AB2973" s="109"/>
      <c r="AC2973" s="109"/>
      <c r="AD2973" s="109"/>
      <c r="AE2973" s="109"/>
      <c r="AF2973" s="109"/>
      <c r="AG2973" s="109"/>
      <c r="AH2973" s="109"/>
      <c r="AI2973" s="109"/>
      <c r="AJ2973" s="109"/>
      <c r="AK2973" s="109"/>
      <c r="AL2973" s="109"/>
      <c r="AM2973" s="109"/>
      <c r="AN2973" s="109"/>
      <c r="AO2973" s="109"/>
      <c r="AP2973" s="109"/>
      <c r="AQ2973" s="109"/>
      <c r="AR2973" s="109"/>
      <c r="AS2973" s="109"/>
    </row>
    <row r="2974" spans="1:45" ht="12.6" customHeight="1" x14ac:dyDescent="0.3">
      <c r="A2974" s="78"/>
      <c r="B2974" s="78"/>
      <c r="C2974" s="78"/>
      <c r="D2974" s="78"/>
      <c r="E2974" s="78"/>
      <c r="F2974" s="78"/>
      <c r="G2974" s="16" t="s">
        <v>1317</v>
      </c>
      <c r="Z2974" s="109"/>
      <c r="AA2974" s="109"/>
      <c r="AB2974" s="109"/>
      <c r="AC2974" s="109"/>
      <c r="AD2974" s="109"/>
      <c r="AE2974" s="109"/>
      <c r="AF2974" s="109"/>
      <c r="AG2974" s="109"/>
      <c r="AH2974" s="109"/>
      <c r="AI2974" s="109"/>
      <c r="AJ2974" s="109"/>
      <c r="AK2974" s="109"/>
      <c r="AL2974" s="109"/>
      <c r="AM2974" s="109"/>
      <c r="AN2974" s="109"/>
      <c r="AO2974" s="109"/>
      <c r="AP2974" s="109"/>
      <c r="AQ2974" s="109"/>
      <c r="AR2974" s="109"/>
      <c r="AS2974" s="109"/>
    </row>
    <row r="2975" spans="1:45" ht="12.6" customHeight="1" x14ac:dyDescent="0.3">
      <c r="A2975" s="68"/>
      <c r="B2975" s="97" t="str">
        <f>" E (작업효율) = "&amp;Z2975&amp;""</f>
        <v xml:space="preserve"> E (작업효율) = 0.9</v>
      </c>
      <c r="C2975" s="78"/>
      <c r="D2975" s="78"/>
      <c r="E2975" s="78"/>
      <c r="F2975" s="78"/>
      <c r="G2975" s="16" t="s">
        <v>1950</v>
      </c>
      <c r="Z2975" s="110">
        <v>0.9</v>
      </c>
      <c r="AA2975" s="20" t="s">
        <v>1326</v>
      </c>
      <c r="AB2975" s="112">
        <f>Z2975</f>
        <v>0.9</v>
      </c>
      <c r="AC2975" s="109"/>
      <c r="AD2975" s="109"/>
      <c r="AE2975" s="109"/>
      <c r="AF2975" s="109"/>
      <c r="AG2975" s="109"/>
      <c r="AH2975" s="109"/>
      <c r="AI2975" s="109"/>
      <c r="AJ2975" s="109"/>
      <c r="AK2975" s="109"/>
      <c r="AL2975" s="109"/>
      <c r="AM2975" s="109"/>
      <c r="AN2975" s="109"/>
      <c r="AO2975" s="109"/>
      <c r="AP2975" s="109"/>
      <c r="AQ2975" s="109"/>
      <c r="AR2975" s="109"/>
      <c r="AS2975" s="109"/>
    </row>
    <row r="2976" spans="1:45" ht="12.6" customHeight="1" x14ac:dyDescent="0.3">
      <c r="A2976" s="78"/>
      <c r="B2976" s="78"/>
      <c r="C2976" s="78"/>
      <c r="D2976" s="78"/>
      <c r="E2976" s="78"/>
      <c r="F2976" s="78"/>
      <c r="G2976" s="16" t="s">
        <v>1317</v>
      </c>
      <c r="Z2976" s="109"/>
      <c r="AA2976" s="109"/>
      <c r="AB2976" s="109"/>
      <c r="AC2976" s="109"/>
      <c r="AD2976" s="109"/>
      <c r="AE2976" s="109"/>
      <c r="AF2976" s="109"/>
      <c r="AG2976" s="109"/>
      <c r="AH2976" s="109"/>
      <c r="AI2976" s="109"/>
      <c r="AJ2976" s="109"/>
      <c r="AK2976" s="109"/>
      <c r="AL2976" s="109"/>
      <c r="AM2976" s="109"/>
      <c r="AN2976" s="109"/>
      <c r="AO2976" s="109"/>
      <c r="AP2976" s="109"/>
      <c r="AQ2976" s="109"/>
      <c r="AR2976" s="109"/>
      <c r="AS2976" s="109"/>
    </row>
    <row r="2977" spans="1:45" ht="12.6" customHeight="1" x14ac:dyDescent="0.3">
      <c r="A2977" s="68"/>
      <c r="B2977" s="97" t="str">
        <f>" q1 (흐트러진상태의 덤프트럭 1회 적재량)  = ("&amp;AA2977&amp;"/"&amp;AC2977&amp;")*"&amp;AE2977&amp;"= "&amp;AG2977&amp;""</f>
        <v xml:space="preserve"> q1 (흐트러진상태의 덤프트럭 1회 적재량)  = (15/2)*1.625= 12.19</v>
      </c>
      <c r="C2977" s="78"/>
      <c r="D2977" s="78"/>
      <c r="E2977" s="78"/>
      <c r="F2977" s="78"/>
      <c r="G2977" s="16" t="s">
        <v>1951</v>
      </c>
      <c r="Z2977" s="20" t="s">
        <v>1526</v>
      </c>
      <c r="AA2977" s="111">
        <v>15</v>
      </c>
      <c r="AB2977" s="20" t="s">
        <v>1387</v>
      </c>
      <c r="AC2977" s="111">
        <v>2</v>
      </c>
      <c r="AD2977" s="20" t="s">
        <v>1527</v>
      </c>
      <c r="AE2977" s="110">
        <v>1.625</v>
      </c>
      <c r="AF2977" s="20" t="s">
        <v>1326</v>
      </c>
      <c r="AG2977" s="112" t="str">
        <f>TEXT(ROUND((AA2977/AC2977)*AE2977,2),"0.00")</f>
        <v>12.19</v>
      </c>
      <c r="AH2977" s="109"/>
      <c r="AI2977" s="109"/>
      <c r="AJ2977" s="109"/>
      <c r="AK2977" s="109"/>
      <c r="AL2977" s="109"/>
      <c r="AM2977" s="109"/>
      <c r="AN2977" s="109"/>
      <c r="AO2977" s="109"/>
      <c r="AP2977" s="109"/>
      <c r="AQ2977" s="109"/>
      <c r="AR2977" s="109"/>
      <c r="AS2977" s="109"/>
    </row>
    <row r="2978" spans="1:45" ht="12.6" customHeight="1" x14ac:dyDescent="0.3">
      <c r="A2978" s="78"/>
      <c r="B2978" s="78"/>
      <c r="C2978" s="78"/>
      <c r="D2978" s="78"/>
      <c r="E2978" s="78"/>
      <c r="F2978" s="78"/>
      <c r="G2978" s="16" t="s">
        <v>1317</v>
      </c>
      <c r="Z2978" s="109"/>
      <c r="AA2978" s="109"/>
      <c r="AB2978" s="109"/>
      <c r="AC2978" s="109"/>
      <c r="AD2978" s="109"/>
      <c r="AE2978" s="109"/>
      <c r="AF2978" s="109"/>
      <c r="AG2978" s="109"/>
      <c r="AH2978" s="109"/>
      <c r="AI2978" s="109"/>
      <c r="AJ2978" s="109"/>
      <c r="AK2978" s="109"/>
      <c r="AL2978" s="109"/>
      <c r="AM2978" s="109"/>
      <c r="AN2978" s="109"/>
      <c r="AO2978" s="109"/>
      <c r="AP2978" s="109"/>
      <c r="AQ2978" s="109"/>
      <c r="AR2978" s="109"/>
      <c r="AS2978" s="109"/>
    </row>
    <row r="2979" spans="1:45" ht="12.6" customHeight="1" x14ac:dyDescent="0.3">
      <c r="A2979" s="68"/>
      <c r="B2979" s="77" t="s">
        <v>1528</v>
      </c>
      <c r="C2979" s="78"/>
      <c r="D2979" s="78"/>
      <c r="E2979" s="78"/>
      <c r="F2979" s="78"/>
      <c r="G2979" s="16" t="s">
        <v>1803</v>
      </c>
      <c r="Z2979" s="109"/>
      <c r="AA2979" s="109"/>
      <c r="AB2979" s="109"/>
      <c r="AC2979" s="109"/>
      <c r="AD2979" s="109"/>
      <c r="AE2979" s="109"/>
      <c r="AF2979" s="109"/>
      <c r="AG2979" s="109"/>
      <c r="AH2979" s="109"/>
      <c r="AI2979" s="109"/>
      <c r="AJ2979" s="109"/>
      <c r="AK2979" s="109"/>
      <c r="AL2979" s="109"/>
      <c r="AM2979" s="109"/>
      <c r="AN2979" s="109"/>
      <c r="AO2979" s="109"/>
      <c r="AP2979" s="109"/>
      <c r="AQ2979" s="109"/>
      <c r="AR2979" s="109"/>
      <c r="AS2979" s="109"/>
    </row>
    <row r="2980" spans="1:45" ht="12.6" customHeight="1" x14ac:dyDescent="0.3">
      <c r="A2980" s="78"/>
      <c r="B2980" s="78"/>
      <c r="C2980" s="78"/>
      <c r="D2980" s="78"/>
      <c r="E2980" s="78"/>
      <c r="F2980" s="78"/>
      <c r="G2980" s="16" t="s">
        <v>1317</v>
      </c>
      <c r="Z2980" s="109"/>
      <c r="AA2980" s="109"/>
      <c r="AB2980" s="109"/>
      <c r="AC2980" s="109"/>
      <c r="AD2980" s="109"/>
      <c r="AE2980" s="109"/>
      <c r="AF2980" s="109"/>
      <c r="AG2980" s="109"/>
      <c r="AH2980" s="109"/>
      <c r="AI2980" s="109"/>
      <c r="AJ2980" s="109"/>
      <c r="AK2980" s="109"/>
      <c r="AL2980" s="109"/>
      <c r="AM2980" s="109"/>
      <c r="AN2980" s="109"/>
      <c r="AO2980" s="109"/>
      <c r="AP2980" s="109"/>
      <c r="AQ2980" s="109"/>
      <c r="AR2980" s="109"/>
      <c r="AS2980" s="109"/>
    </row>
    <row r="2981" spans="1:45" ht="12.6" customHeight="1" x14ac:dyDescent="0.3">
      <c r="A2981" s="68"/>
      <c r="B2981" s="97" t="str">
        <f>" n = q1 / ("&amp;AB2981&amp;" * k) = "&amp;AG2981&amp;" 회 "</f>
        <v xml:space="preserve"> n = q1 / (0.7 * k) = 31.66 회 </v>
      </c>
      <c r="C2981" s="78"/>
      <c r="D2981" s="78"/>
      <c r="E2981" s="78"/>
      <c r="F2981" s="78"/>
      <c r="G2981" s="16" t="s">
        <v>1952</v>
      </c>
      <c r="Z2981" s="112" t="str">
        <f>AG2977</f>
        <v>12.19</v>
      </c>
      <c r="AA2981" s="20" t="s">
        <v>1531</v>
      </c>
      <c r="AB2981" s="110">
        <v>0.7</v>
      </c>
      <c r="AC2981" s="20" t="s">
        <v>1390</v>
      </c>
      <c r="AD2981" s="112">
        <f>AF2955</f>
        <v>0.55000000000000004</v>
      </c>
      <c r="AE2981" s="20" t="s">
        <v>1532</v>
      </c>
      <c r="AF2981" s="20" t="s">
        <v>1326</v>
      </c>
      <c r="AG2981" s="112" t="str">
        <f>TEXT(ROUND(AG2977/(AB2981*AF2955),2),"0.00")</f>
        <v>31.66</v>
      </c>
      <c r="AH2981" s="109"/>
      <c r="AI2981" s="109"/>
      <c r="AJ2981" s="109"/>
      <c r="AK2981" s="109"/>
      <c r="AL2981" s="109"/>
      <c r="AM2981" s="109"/>
      <c r="AN2981" s="109"/>
      <c r="AO2981" s="109"/>
      <c r="AP2981" s="109"/>
      <c r="AQ2981" s="109"/>
      <c r="AR2981" s="109"/>
      <c r="AS2981" s="109"/>
    </row>
    <row r="2982" spans="1:45" ht="12.6" customHeight="1" x14ac:dyDescent="0.3">
      <c r="A2982" s="78"/>
      <c r="B2982" s="78"/>
      <c r="C2982" s="78"/>
      <c r="D2982" s="78"/>
      <c r="E2982" s="78"/>
      <c r="F2982" s="78"/>
      <c r="G2982" s="16" t="s">
        <v>1317</v>
      </c>
      <c r="Z2982" s="109"/>
      <c r="AA2982" s="109"/>
      <c r="AB2982" s="109"/>
      <c r="AC2982" s="109"/>
      <c r="AD2982" s="109"/>
      <c r="AE2982" s="109"/>
      <c r="AF2982" s="109"/>
      <c r="AG2982" s="109"/>
      <c r="AH2982" s="109"/>
      <c r="AI2982" s="109"/>
      <c r="AJ2982" s="109"/>
      <c r="AK2982" s="109"/>
      <c r="AL2982" s="109"/>
      <c r="AM2982" s="109"/>
      <c r="AN2982" s="109"/>
      <c r="AO2982" s="109"/>
      <c r="AP2982" s="109"/>
      <c r="AQ2982" s="109"/>
      <c r="AR2982" s="109"/>
      <c r="AS2982" s="109"/>
    </row>
    <row r="2983" spans="1:45" ht="12.6" customHeight="1" x14ac:dyDescent="0.3">
      <c r="A2983" s="68"/>
      <c r="B2983" s="97" t="str">
        <f>" t1 (적재시간) = "&amp;Z2983&amp;" * n / ("&amp;AD2983&amp;" * "&amp;AF2983&amp;") = "&amp;AI2983&amp;" 분 "</f>
        <v xml:space="preserve"> t1 (적재시간) = 20 * n / (60 * 0.45) = 23.45 분 </v>
      </c>
      <c r="C2983" s="78"/>
      <c r="D2983" s="78"/>
      <c r="E2983" s="78"/>
      <c r="F2983" s="78"/>
      <c r="G2983" s="16" t="s">
        <v>1953</v>
      </c>
      <c r="Z2983" s="111">
        <v>20</v>
      </c>
      <c r="AA2983" s="20" t="s">
        <v>1390</v>
      </c>
      <c r="AB2983" s="112" t="str">
        <f>AG2981</f>
        <v>31.66</v>
      </c>
      <c r="AC2983" s="20" t="s">
        <v>1531</v>
      </c>
      <c r="AD2983" s="111">
        <v>60</v>
      </c>
      <c r="AE2983" s="20" t="s">
        <v>1390</v>
      </c>
      <c r="AF2983" s="110">
        <v>0.45</v>
      </c>
      <c r="AG2983" s="20" t="s">
        <v>1532</v>
      </c>
      <c r="AH2983" s="20" t="s">
        <v>1326</v>
      </c>
      <c r="AI2983" s="112" t="str">
        <f>TEXT(ROUND(Z2983*AG2981/(AD2983*AF2983),2),"0.00")</f>
        <v>23.45</v>
      </c>
      <c r="AJ2983" s="109"/>
      <c r="AK2983" s="109"/>
      <c r="AL2983" s="109"/>
      <c r="AM2983" s="109"/>
      <c r="AN2983" s="109"/>
      <c r="AO2983" s="109"/>
      <c r="AP2983" s="109"/>
      <c r="AQ2983" s="109"/>
      <c r="AR2983" s="109"/>
      <c r="AS2983" s="109"/>
    </row>
    <row r="2984" spans="1:45" ht="12.6" customHeight="1" x14ac:dyDescent="0.3">
      <c r="A2984" s="78"/>
      <c r="B2984" s="78"/>
      <c r="C2984" s="78"/>
      <c r="D2984" s="78"/>
      <c r="E2984" s="78"/>
      <c r="F2984" s="78"/>
      <c r="G2984" s="16" t="s">
        <v>1317</v>
      </c>
      <c r="Z2984" s="109"/>
      <c r="AA2984" s="109"/>
      <c r="AB2984" s="109"/>
      <c r="AC2984" s="109"/>
      <c r="AD2984" s="109"/>
      <c r="AE2984" s="109"/>
      <c r="AF2984" s="109"/>
      <c r="AG2984" s="109"/>
      <c r="AH2984" s="109"/>
      <c r="AI2984" s="109"/>
      <c r="AJ2984" s="109"/>
      <c r="AK2984" s="109"/>
      <c r="AL2984" s="109"/>
      <c r="AM2984" s="109"/>
      <c r="AN2984" s="109"/>
      <c r="AO2984" s="109"/>
      <c r="AP2984" s="109"/>
      <c r="AQ2984" s="109"/>
      <c r="AR2984" s="109"/>
      <c r="AS2984" s="109"/>
    </row>
    <row r="2985" spans="1:45" ht="12.6" customHeight="1" x14ac:dyDescent="0.3">
      <c r="A2985" s="68"/>
      <c r="B2985" s="97" t="str">
        <f>" t2 (왕복시간) = (L/"&amp;AC2985&amp;"+L/"&amp;AG2985&amp;")* "&amp;AI2985&amp;" = "&amp;AK2985&amp;" 분 "</f>
        <v xml:space="preserve"> t2 (왕복시간) = (L/7+L/8)* 60 = 5.67 분 </v>
      </c>
      <c r="C2985" s="78"/>
      <c r="D2985" s="78"/>
      <c r="E2985" s="78"/>
      <c r="F2985" s="78"/>
      <c r="G2985" s="16" t="s">
        <v>1923</v>
      </c>
      <c r="Z2985" s="20" t="s">
        <v>1526</v>
      </c>
      <c r="AA2985" s="112">
        <f>AB2951</f>
        <v>0.35299999999999998</v>
      </c>
      <c r="AB2985" s="20" t="s">
        <v>1387</v>
      </c>
      <c r="AC2985" s="111">
        <v>7</v>
      </c>
      <c r="AD2985" s="20" t="s">
        <v>1535</v>
      </c>
      <c r="AE2985" s="112">
        <f>AB2951</f>
        <v>0.35299999999999998</v>
      </c>
      <c r="AF2985" s="20" t="s">
        <v>1387</v>
      </c>
      <c r="AG2985" s="111">
        <v>8</v>
      </c>
      <c r="AH2985" s="20" t="s">
        <v>1527</v>
      </c>
      <c r="AI2985" s="111">
        <v>60</v>
      </c>
      <c r="AJ2985" s="20" t="s">
        <v>1326</v>
      </c>
      <c r="AK2985" s="112" t="str">
        <f>TEXT(ROUND((AB2951/AC2985+AB2951/AG2985)*AI2985,2),"0.00")</f>
        <v>5.67</v>
      </c>
      <c r="AL2985" s="109"/>
      <c r="AM2985" s="109"/>
      <c r="AN2985" s="109"/>
      <c r="AO2985" s="109"/>
      <c r="AP2985" s="109"/>
      <c r="AQ2985" s="109"/>
      <c r="AR2985" s="109"/>
      <c r="AS2985" s="109"/>
    </row>
    <row r="2986" spans="1:45" ht="12.6" customHeight="1" x14ac:dyDescent="0.3">
      <c r="A2986" s="78"/>
      <c r="B2986" s="78"/>
      <c r="C2986" s="78"/>
      <c r="D2986" s="78"/>
      <c r="E2986" s="78"/>
      <c r="F2986" s="78"/>
      <c r="G2986" s="16" t="s">
        <v>1317</v>
      </c>
      <c r="Z2986" s="109"/>
      <c r="AA2986" s="109"/>
      <c r="AB2986" s="109"/>
      <c r="AC2986" s="109"/>
      <c r="AD2986" s="109"/>
      <c r="AE2986" s="109"/>
      <c r="AF2986" s="109"/>
      <c r="AG2986" s="109"/>
      <c r="AH2986" s="109"/>
      <c r="AI2986" s="109"/>
      <c r="AJ2986" s="109"/>
      <c r="AK2986" s="109"/>
      <c r="AL2986" s="109"/>
      <c r="AM2986" s="109"/>
      <c r="AN2986" s="109"/>
      <c r="AO2986" s="109"/>
      <c r="AP2986" s="109"/>
      <c r="AQ2986" s="109"/>
      <c r="AR2986" s="109"/>
      <c r="AS2986" s="109"/>
    </row>
    <row r="2987" spans="1:45" ht="12.6" customHeight="1" x14ac:dyDescent="0.3">
      <c r="A2987" s="68"/>
      <c r="B2987" s="97" t="str">
        <f>" t3 (적하시간) = "&amp;Z2987&amp;""</f>
        <v xml:space="preserve"> t3 (적하시간) = 1.1</v>
      </c>
      <c r="C2987" s="78"/>
      <c r="D2987" s="78"/>
      <c r="E2987" s="78"/>
      <c r="F2987" s="78"/>
      <c r="G2987" s="16" t="s">
        <v>1924</v>
      </c>
      <c r="Z2987" s="110">
        <v>1.1000000000000001</v>
      </c>
      <c r="AA2987" s="20" t="s">
        <v>1326</v>
      </c>
      <c r="AB2987" s="112">
        <f>Z2987</f>
        <v>1.1000000000000001</v>
      </c>
      <c r="AC2987" s="109"/>
      <c r="AD2987" s="109"/>
      <c r="AE2987" s="109"/>
      <c r="AF2987" s="109"/>
      <c r="AG2987" s="109"/>
      <c r="AH2987" s="109"/>
      <c r="AI2987" s="109"/>
      <c r="AJ2987" s="109"/>
      <c r="AK2987" s="109"/>
      <c r="AL2987" s="109"/>
      <c r="AM2987" s="109"/>
      <c r="AN2987" s="109"/>
      <c r="AO2987" s="109"/>
      <c r="AP2987" s="109"/>
      <c r="AQ2987" s="109"/>
      <c r="AR2987" s="109"/>
      <c r="AS2987" s="109"/>
    </row>
    <row r="2988" spans="1:45" ht="12.6" customHeight="1" x14ac:dyDescent="0.3">
      <c r="A2988" s="78"/>
      <c r="B2988" s="78"/>
      <c r="C2988" s="78"/>
      <c r="D2988" s="78"/>
      <c r="E2988" s="78"/>
      <c r="F2988" s="78"/>
      <c r="G2988" s="16" t="s">
        <v>1317</v>
      </c>
      <c r="Z2988" s="109"/>
      <c r="AA2988" s="109"/>
      <c r="AB2988" s="109"/>
      <c r="AC2988" s="109"/>
      <c r="AD2988" s="109"/>
      <c r="AE2988" s="109"/>
      <c r="AF2988" s="109"/>
      <c r="AG2988" s="109"/>
      <c r="AH2988" s="109"/>
      <c r="AI2988" s="109"/>
      <c r="AJ2988" s="109"/>
      <c r="AK2988" s="109"/>
      <c r="AL2988" s="109"/>
      <c r="AM2988" s="109"/>
      <c r="AN2988" s="109"/>
      <c r="AO2988" s="109"/>
      <c r="AP2988" s="109"/>
      <c r="AQ2988" s="109"/>
      <c r="AR2988" s="109"/>
      <c r="AS2988" s="109"/>
    </row>
    <row r="2989" spans="1:45" ht="12.6" customHeight="1" x14ac:dyDescent="0.3">
      <c r="A2989" s="68"/>
      <c r="B2989" s="97" t="str">
        <f>" t4 (적재장소 도착한 때로부터 적재작업이 시작될 때까지의 시간) = "&amp;Z2989&amp;""</f>
        <v xml:space="preserve"> t4 (적재장소 도착한 때로부터 적재작업이 시작될 때까지의 시간) = 0.7</v>
      </c>
      <c r="C2989" s="78"/>
      <c r="D2989" s="78"/>
      <c r="E2989" s="78"/>
      <c r="F2989" s="78"/>
      <c r="G2989" s="16" t="s">
        <v>1954</v>
      </c>
      <c r="Z2989" s="110">
        <v>0.7</v>
      </c>
      <c r="AA2989" s="20" t="s">
        <v>1326</v>
      </c>
      <c r="AB2989" s="112">
        <f>Z2989</f>
        <v>0.7</v>
      </c>
      <c r="AC2989" s="109"/>
      <c r="AD2989" s="109"/>
      <c r="AE2989" s="109"/>
      <c r="AF2989" s="109"/>
      <c r="AG2989" s="109"/>
      <c r="AH2989" s="109"/>
      <c r="AI2989" s="109"/>
      <c r="AJ2989" s="109"/>
      <c r="AK2989" s="109"/>
      <c r="AL2989" s="109"/>
      <c r="AM2989" s="109"/>
      <c r="AN2989" s="109"/>
      <c r="AO2989" s="109"/>
      <c r="AP2989" s="109"/>
      <c r="AQ2989" s="109"/>
      <c r="AR2989" s="109"/>
      <c r="AS2989" s="109"/>
    </row>
    <row r="2990" spans="1:45" ht="12.6" customHeight="1" x14ac:dyDescent="0.3">
      <c r="A2990" s="78"/>
      <c r="B2990" s="78"/>
      <c r="C2990" s="78"/>
      <c r="D2990" s="78"/>
      <c r="E2990" s="78"/>
      <c r="F2990" s="78"/>
      <c r="G2990" s="16" t="s">
        <v>1317</v>
      </c>
      <c r="Z2990" s="109"/>
      <c r="AA2990" s="109"/>
      <c r="AB2990" s="109"/>
      <c r="AC2990" s="109"/>
      <c r="AD2990" s="109"/>
      <c r="AE2990" s="109"/>
      <c r="AF2990" s="109"/>
      <c r="AG2990" s="109"/>
      <c r="AH2990" s="109"/>
      <c r="AI2990" s="109"/>
      <c r="AJ2990" s="109"/>
      <c r="AK2990" s="109"/>
      <c r="AL2990" s="109"/>
      <c r="AM2990" s="109"/>
      <c r="AN2990" s="109"/>
      <c r="AO2990" s="109"/>
      <c r="AP2990" s="109"/>
      <c r="AQ2990" s="109"/>
      <c r="AR2990" s="109"/>
      <c r="AS2990" s="109"/>
    </row>
    <row r="2991" spans="1:45" ht="12.6" customHeight="1" x14ac:dyDescent="0.3">
      <c r="A2991" s="68"/>
      <c r="B2991" s="97" t="str">
        <f>" Cm (1회 사이클 시간(분))  = t1 + t2 + t3 + t4  = "&amp;AH2991&amp;""</f>
        <v xml:space="preserve"> Cm (1회 사이클 시간(분))  = t1 + t2 + t3 + t4  = 30.92</v>
      </c>
      <c r="C2991" s="78"/>
      <c r="D2991" s="78"/>
      <c r="E2991" s="78"/>
      <c r="F2991" s="78"/>
      <c r="G2991" s="16" t="s">
        <v>1955</v>
      </c>
      <c r="Z2991" s="112" t="str">
        <f>AI2983</f>
        <v>23.45</v>
      </c>
      <c r="AA2991" s="20" t="s">
        <v>1535</v>
      </c>
      <c r="AB2991" s="112" t="str">
        <f>AK2985</f>
        <v>5.67</v>
      </c>
      <c r="AC2991" s="20" t="s">
        <v>1535</v>
      </c>
      <c r="AD2991" s="112">
        <f>AB2987</f>
        <v>1.1000000000000001</v>
      </c>
      <c r="AE2991" s="20" t="s">
        <v>1535</v>
      </c>
      <c r="AF2991" s="112">
        <f>AB2989</f>
        <v>0.7</v>
      </c>
      <c r="AG2991" s="20" t="s">
        <v>1326</v>
      </c>
      <c r="AH2991" s="112" t="str">
        <f>TEXT(ROUND(AI2983+AK2985+AB2987+AB2989,2),"0.00")</f>
        <v>30.92</v>
      </c>
      <c r="AI2991" s="109"/>
      <c r="AJ2991" s="109"/>
      <c r="AK2991" s="109"/>
      <c r="AL2991" s="109"/>
      <c r="AM2991" s="109"/>
      <c r="AN2991" s="109"/>
      <c r="AO2991" s="109"/>
      <c r="AP2991" s="109"/>
      <c r="AQ2991" s="109"/>
      <c r="AR2991" s="109"/>
      <c r="AS2991" s="109"/>
    </row>
    <row r="2992" spans="1:45" ht="12.6" customHeight="1" x14ac:dyDescent="0.3">
      <c r="A2992" s="78"/>
      <c r="B2992" s="78"/>
      <c r="C2992" s="78"/>
      <c r="D2992" s="78"/>
      <c r="E2992" s="78"/>
      <c r="F2992" s="78"/>
      <c r="G2992" s="16" t="s">
        <v>1317</v>
      </c>
      <c r="Z2992" s="109"/>
      <c r="AA2992" s="109"/>
      <c r="AB2992" s="109"/>
      <c r="AC2992" s="109"/>
      <c r="AD2992" s="109"/>
      <c r="AE2992" s="109"/>
      <c r="AF2992" s="109"/>
      <c r="AG2992" s="109"/>
      <c r="AH2992" s="109"/>
      <c r="AI2992" s="109"/>
      <c r="AJ2992" s="109"/>
      <c r="AK2992" s="109"/>
      <c r="AL2992" s="109"/>
      <c r="AM2992" s="109"/>
      <c r="AN2992" s="109"/>
      <c r="AO2992" s="109"/>
      <c r="AP2992" s="109"/>
      <c r="AQ2992" s="109"/>
      <c r="AR2992" s="109"/>
      <c r="AS2992" s="109"/>
    </row>
    <row r="2993" spans="1:45" ht="12.6" customHeight="1" x14ac:dyDescent="0.3">
      <c r="A2993" s="68"/>
      <c r="B2993" s="97" t="str">
        <f>" OH (상차 10분 초과 시 운반기계의 유류보정)  =  t2 / Cm = "&amp;AD2993&amp;""</f>
        <v xml:space="preserve"> OH (상차 10분 초과 시 운반기계의 유류보정)  =  t2 / Cm = 0.18</v>
      </c>
      <c r="C2993" s="78"/>
      <c r="D2993" s="78"/>
      <c r="E2993" s="78"/>
      <c r="F2993" s="78"/>
      <c r="G2993" s="16" t="s">
        <v>1956</v>
      </c>
      <c r="Z2993" s="112" t="str">
        <f>AK2985</f>
        <v>5.67</v>
      </c>
      <c r="AA2993" s="20" t="s">
        <v>1387</v>
      </c>
      <c r="AB2993" s="112" t="str">
        <f>AH2991</f>
        <v>30.92</v>
      </c>
      <c r="AC2993" s="20" t="s">
        <v>1326</v>
      </c>
      <c r="AD2993" s="112" t="str">
        <f>TEXT(ROUND(AK2985/AH2991,2),"0.00")</f>
        <v>0.18</v>
      </c>
      <c r="AE2993" s="109"/>
      <c r="AF2993" s="109"/>
      <c r="AG2993" s="109"/>
      <c r="AH2993" s="109"/>
      <c r="AI2993" s="109"/>
      <c r="AJ2993" s="109"/>
      <c r="AK2993" s="109"/>
      <c r="AL2993" s="109"/>
      <c r="AM2993" s="109"/>
      <c r="AN2993" s="109"/>
      <c r="AO2993" s="109"/>
      <c r="AP2993" s="109"/>
      <c r="AQ2993" s="109"/>
      <c r="AR2993" s="109"/>
      <c r="AS2993" s="109"/>
    </row>
    <row r="2994" spans="1:45" ht="12.6" customHeight="1" x14ac:dyDescent="0.3">
      <c r="A2994" s="78"/>
      <c r="B2994" s="78"/>
      <c r="C2994" s="78"/>
      <c r="D2994" s="78"/>
      <c r="E2994" s="78"/>
      <c r="F2994" s="78"/>
      <c r="G2994" s="16" t="s">
        <v>1317</v>
      </c>
      <c r="Z2994" s="109"/>
      <c r="AA2994" s="109"/>
      <c r="AB2994" s="109"/>
      <c r="AC2994" s="109"/>
      <c r="AD2994" s="109"/>
      <c r="AE2994" s="109"/>
      <c r="AF2994" s="109"/>
      <c r="AG2994" s="109"/>
      <c r="AH2994" s="109"/>
      <c r="AI2994" s="109"/>
      <c r="AJ2994" s="109"/>
      <c r="AK2994" s="109"/>
      <c r="AL2994" s="109"/>
      <c r="AM2994" s="109"/>
      <c r="AN2994" s="109"/>
      <c r="AO2994" s="109"/>
      <c r="AP2994" s="109"/>
      <c r="AQ2994" s="109"/>
      <c r="AR2994" s="109"/>
      <c r="AS2994" s="109"/>
    </row>
    <row r="2995" spans="1:45" ht="12.6" customHeight="1" x14ac:dyDescent="0.3">
      <c r="A2995" s="68"/>
      <c r="B2995" s="97" t="str">
        <f>" Q1 (시간당 작업량)  = "&amp;Z2995&amp;" * q1 * F * E / Cm = "&amp;AJ2995&amp;" m3/hr "</f>
        <v xml:space="preserve"> Q1 (시간당 작업량)  = 60 * q1 * F * E / Cm = 17.46 m3/hr </v>
      </c>
      <c r="C2995" s="78"/>
      <c r="D2995" s="78"/>
      <c r="E2995" s="78"/>
      <c r="F2995" s="78"/>
      <c r="G2995" s="16" t="s">
        <v>1957</v>
      </c>
      <c r="Z2995" s="111">
        <v>60</v>
      </c>
      <c r="AA2995" s="20" t="s">
        <v>1390</v>
      </c>
      <c r="AB2995" s="112" t="str">
        <f>AG2977</f>
        <v>12.19</v>
      </c>
      <c r="AC2995" s="20" t="s">
        <v>1390</v>
      </c>
      <c r="AD2995" s="112" t="str">
        <f>AD2957</f>
        <v>0.82</v>
      </c>
      <c r="AE2995" s="20" t="s">
        <v>1390</v>
      </c>
      <c r="AF2995" s="112">
        <f>AB2975</f>
        <v>0.9</v>
      </c>
      <c r="AG2995" s="20" t="s">
        <v>1387</v>
      </c>
      <c r="AH2995" s="112" t="str">
        <f>AH2991</f>
        <v>30.92</v>
      </c>
      <c r="AI2995" s="20" t="s">
        <v>1326</v>
      </c>
      <c r="AJ2995" s="112" t="str">
        <f>TEXT(ROUND(Z2995*AG2977*AD2957*AB2975/AH2991,2),"0.00")</f>
        <v>17.46</v>
      </c>
      <c r="AK2995" s="109"/>
      <c r="AL2995" s="109"/>
      <c r="AM2995" s="109"/>
      <c r="AN2995" s="109"/>
      <c r="AO2995" s="109"/>
      <c r="AP2995" s="109"/>
      <c r="AQ2995" s="109"/>
      <c r="AR2995" s="109"/>
      <c r="AS2995" s="109"/>
    </row>
    <row r="2996" spans="1:45" ht="12.6" customHeight="1" x14ac:dyDescent="0.3">
      <c r="A2996" s="78"/>
      <c r="B2996" s="78"/>
      <c r="C2996" s="78"/>
      <c r="D2996" s="78"/>
      <c r="E2996" s="78"/>
      <c r="F2996" s="78"/>
      <c r="G2996" s="16" t="s">
        <v>1317</v>
      </c>
      <c r="Z2996" s="109"/>
      <c r="AA2996" s="109"/>
      <c r="AB2996" s="109"/>
      <c r="AC2996" s="109"/>
      <c r="AD2996" s="109"/>
      <c r="AE2996" s="109"/>
      <c r="AF2996" s="109"/>
      <c r="AG2996" s="109"/>
      <c r="AH2996" s="109"/>
      <c r="AI2996" s="109"/>
      <c r="AJ2996" s="109"/>
      <c r="AK2996" s="109"/>
      <c r="AL2996" s="109"/>
      <c r="AM2996" s="109"/>
      <c r="AN2996" s="109"/>
      <c r="AO2996" s="109"/>
      <c r="AP2996" s="109"/>
      <c r="AQ2996" s="109"/>
      <c r="AR2996" s="109"/>
      <c r="AS2996" s="109"/>
    </row>
    <row r="2997" spans="1:45" ht="12.6" customHeight="1" x14ac:dyDescent="0.3">
      <c r="A2997" s="68" t="s">
        <v>1710</v>
      </c>
      <c r="B2997" s="97" t="str">
        <f>" 노 무 비  :  "&amp;TEXT(I2997,"#,##0"&amp;IF(I2997&lt;&gt;INT(I2997),".###",""))&amp;" / Q1  = "&amp;TEXT(C2997,"#,##0.0")&amp;""</f>
        <v xml:space="preserve"> 노 무 비  :  55,700 / Q1  = 3,190.1</v>
      </c>
      <c r="C2997" s="99">
        <f>E2997+D2997+F2997</f>
        <v>3190.1</v>
      </c>
      <c r="D2997" s="99">
        <f>IF(H2997=0,0,ROUNDDOWN(J2997*H2997,1))</f>
        <v>3190.1</v>
      </c>
      <c r="E2997" s="99">
        <f>IF(H2997=0,0,ROUNDDOWN(K2997*H2997,1))</f>
        <v>0</v>
      </c>
      <c r="F2997" s="99">
        <f>IF(H2997=0,0,ROUNDDOWN(L2997*H2997,1))</f>
        <v>0</v>
      </c>
      <c r="G2997" s="16" t="s">
        <v>1958</v>
      </c>
      <c r="H2997" s="105">
        <f>AC2997</f>
        <v>5.7273768613974797E-2</v>
      </c>
      <c r="I2997" s="106">
        <f>K2997+J2997+L2997</f>
        <v>55700</v>
      </c>
      <c r="J2997" s="39">
        <f>중기목록표!F13</f>
        <v>55700</v>
      </c>
      <c r="M2997" s="20" t="s">
        <v>1711</v>
      </c>
      <c r="N2997" s="20" t="s">
        <v>1721</v>
      </c>
      <c r="X2997" s="108" t="str">
        <f>중기목록표!B13&amp;" / "&amp;중기목록표!C13</f>
        <v>덤프트럭15ton(암) / 할증율:1.25</v>
      </c>
      <c r="Y2997" s="19" t="str">
        <f ca="1">HYPERLINK("#"&amp;중기목록표!J2&amp;"!A"&amp;ROW(중기목록표!A13),"중기   10 →")</f>
        <v>중기   10 →</v>
      </c>
      <c r="Z2997" s="20" t="s">
        <v>1393</v>
      </c>
      <c r="AA2997" s="112" t="str">
        <f>AJ2995</f>
        <v>17.46</v>
      </c>
      <c r="AB2997" s="20" t="s">
        <v>1326</v>
      </c>
      <c r="AC2997" s="113">
        <f>1/AJ2995</f>
        <v>5.7273768613974797E-2</v>
      </c>
      <c r="AD2997" s="109"/>
      <c r="AE2997" s="109"/>
      <c r="AF2997" s="109"/>
      <c r="AG2997" s="109"/>
      <c r="AH2997" s="109"/>
      <c r="AI2997" s="109"/>
      <c r="AJ2997" s="109"/>
      <c r="AK2997" s="109"/>
      <c r="AL2997" s="109"/>
      <c r="AM2997" s="109"/>
      <c r="AN2997" s="109"/>
      <c r="AO2997" s="109"/>
      <c r="AP2997" s="109"/>
      <c r="AQ2997" s="109"/>
      <c r="AR2997" s="109"/>
      <c r="AS2997" s="109"/>
    </row>
    <row r="2998" spans="1:45" ht="12.6" customHeight="1" x14ac:dyDescent="0.3">
      <c r="A2998" s="78"/>
      <c r="B2998" s="78"/>
      <c r="C2998" s="78"/>
      <c r="D2998" s="78"/>
      <c r="E2998" s="78"/>
      <c r="F2998" s="78"/>
      <c r="G2998" s="16" t="s">
        <v>1317</v>
      </c>
      <c r="Z2998" s="109"/>
      <c r="AA2998" s="109"/>
      <c r="AB2998" s="109"/>
      <c r="AC2998" s="109"/>
      <c r="AD2998" s="109"/>
      <c r="AE2998" s="109"/>
      <c r="AF2998" s="109"/>
      <c r="AG2998" s="109"/>
      <c r="AH2998" s="109"/>
      <c r="AI2998" s="109"/>
      <c r="AJ2998" s="109"/>
      <c r="AK2998" s="109"/>
      <c r="AL2998" s="109"/>
      <c r="AM2998" s="109"/>
      <c r="AN2998" s="109"/>
      <c r="AO2998" s="109"/>
      <c r="AP2998" s="109"/>
      <c r="AQ2998" s="109"/>
      <c r="AR2998" s="109"/>
      <c r="AS2998" s="109"/>
    </row>
    <row r="2999" spans="1:45" ht="12.6" customHeight="1" x14ac:dyDescent="0.3">
      <c r="A2999" s="68" t="s">
        <v>1713</v>
      </c>
      <c r="B2999" s="97" t="str">
        <f>" 재 료 비  :  "&amp;TEXT(I2999,"#,##0"&amp;IF(I2999&lt;&gt;INT(I2999),".###",""))&amp;" / Q1 * OH = "&amp;TEXT(C2999,"#,##0.0")&amp;""</f>
        <v xml:space="preserve"> 재 료 비  :  27,910 / Q1 * OH = 287.7</v>
      </c>
      <c r="C2999" s="99">
        <f>E2999+D2999+F2999</f>
        <v>287.7</v>
      </c>
      <c r="D2999" s="99">
        <f>IF(H2999=0,0,ROUNDDOWN(J2999*H2999,1))</f>
        <v>0</v>
      </c>
      <c r="E2999" s="99">
        <f>IF(H2999=0,0,ROUNDDOWN(K2999*H2999,1))</f>
        <v>287.7</v>
      </c>
      <c r="F2999" s="99">
        <f>IF(H2999=0,0,ROUNDDOWN(L2999*H2999,1))</f>
        <v>0</v>
      </c>
      <c r="G2999" s="16" t="s">
        <v>1959</v>
      </c>
      <c r="H2999" s="105">
        <f>AE2999</f>
        <v>1.0309278350515464E-2</v>
      </c>
      <c r="I2999" s="106">
        <f>K2999+J2999+L2999</f>
        <v>27910</v>
      </c>
      <c r="K2999" s="39">
        <f>중기목록표!G13</f>
        <v>27910</v>
      </c>
      <c r="M2999" s="20" t="s">
        <v>1711</v>
      </c>
      <c r="N2999" s="20" t="s">
        <v>1721</v>
      </c>
      <c r="X2999" s="108" t="str">
        <f>중기목록표!B13&amp;" / "&amp;중기목록표!C13</f>
        <v>덤프트럭15ton(암) / 할증율:1.25</v>
      </c>
      <c r="Y2999" s="19" t="str">
        <f ca="1">HYPERLINK("#"&amp;중기목록표!J2&amp;"!A"&amp;ROW(중기목록표!A13),"중기   10 →")</f>
        <v>중기   10 →</v>
      </c>
      <c r="Z2999" s="20" t="s">
        <v>1393</v>
      </c>
      <c r="AA2999" s="112" t="str">
        <f>AJ2995</f>
        <v>17.46</v>
      </c>
      <c r="AB2999" s="20" t="s">
        <v>1390</v>
      </c>
      <c r="AC2999" s="112" t="str">
        <f>AD2993</f>
        <v>0.18</v>
      </c>
      <c r="AD2999" s="20" t="s">
        <v>1326</v>
      </c>
      <c r="AE2999" s="113">
        <f>1/AJ2995*AD2993</f>
        <v>1.0309278350515464E-2</v>
      </c>
      <c r="AF2999" s="109"/>
      <c r="AG2999" s="109"/>
      <c r="AH2999" s="109"/>
      <c r="AI2999" s="109"/>
      <c r="AJ2999" s="109"/>
      <c r="AK2999" s="109"/>
      <c r="AL2999" s="109"/>
      <c r="AM2999" s="109"/>
      <c r="AN2999" s="109"/>
      <c r="AO2999" s="109"/>
      <c r="AP2999" s="109"/>
      <c r="AQ2999" s="109"/>
      <c r="AR2999" s="109"/>
      <c r="AS2999" s="109"/>
    </row>
    <row r="3000" spans="1:45" ht="12.6" customHeight="1" x14ac:dyDescent="0.3">
      <c r="A3000" s="78"/>
      <c r="B3000" s="78"/>
      <c r="C3000" s="78"/>
      <c r="D3000" s="78"/>
      <c r="E3000" s="78"/>
      <c r="F3000" s="78"/>
      <c r="G3000" s="16" t="s">
        <v>1317</v>
      </c>
      <c r="Z3000" s="109"/>
      <c r="AA3000" s="109"/>
      <c r="AB3000" s="109"/>
      <c r="AC3000" s="109"/>
      <c r="AD3000" s="109"/>
      <c r="AE3000" s="109"/>
      <c r="AF3000" s="109"/>
      <c r="AG3000" s="109"/>
      <c r="AH3000" s="109"/>
      <c r="AI3000" s="109"/>
      <c r="AJ3000" s="109"/>
      <c r="AK3000" s="109"/>
      <c r="AL3000" s="109"/>
      <c r="AM3000" s="109"/>
      <c r="AN3000" s="109"/>
      <c r="AO3000" s="109"/>
      <c r="AP3000" s="109"/>
      <c r="AQ3000" s="109"/>
      <c r="AR3000" s="109"/>
      <c r="AS3000" s="109"/>
    </row>
    <row r="3001" spans="1:45" ht="12.6" customHeight="1" x14ac:dyDescent="0.3">
      <c r="A3001" s="68" t="s">
        <v>1715</v>
      </c>
      <c r="B3001" s="97" t="str">
        <f>" 경    비  :  "&amp;TEXT(I3001,"#,##0"&amp;IF(I3001&lt;&gt;INT(I3001),".###",""))&amp;" / Q1  = "&amp;TEXT(C3001,"#,##0.0")&amp;""</f>
        <v xml:space="preserve"> 경    비  :  23,077 / Q1  = 1,321.7</v>
      </c>
      <c r="C3001" s="99">
        <f>E3001+D3001+F3001</f>
        <v>1321.7</v>
      </c>
      <c r="D3001" s="99">
        <f>IF(H3001=0,0,ROUNDDOWN(J3001*H3001,1))</f>
        <v>0</v>
      </c>
      <c r="E3001" s="99">
        <f>IF(H3001=0,0,ROUNDDOWN(K3001*H3001,1))</f>
        <v>0</v>
      </c>
      <c r="F3001" s="99">
        <f>IF(H3001=0,0,ROUNDDOWN(L3001*H3001,1))</f>
        <v>1321.7</v>
      </c>
      <c r="G3001" s="16" t="s">
        <v>1960</v>
      </c>
      <c r="H3001" s="105">
        <f>AC3001</f>
        <v>5.7273768613974797E-2</v>
      </c>
      <c r="I3001" s="106">
        <f>K3001+J3001+L3001</f>
        <v>23077</v>
      </c>
      <c r="L3001" s="39">
        <f>중기목록표!H13</f>
        <v>23077</v>
      </c>
      <c r="M3001" s="20" t="s">
        <v>1711</v>
      </c>
      <c r="N3001" s="20" t="s">
        <v>1721</v>
      </c>
      <c r="X3001" s="108" t="str">
        <f>중기목록표!B13&amp;" / "&amp;중기목록표!C13</f>
        <v>덤프트럭15ton(암) / 할증율:1.25</v>
      </c>
      <c r="Y3001" s="19" t="str">
        <f ca="1">HYPERLINK("#"&amp;중기목록표!J2&amp;"!A"&amp;ROW(중기목록표!A13),"중기   10 →")</f>
        <v>중기   10 →</v>
      </c>
      <c r="Z3001" s="20" t="s">
        <v>1393</v>
      </c>
      <c r="AA3001" s="112" t="str">
        <f>AJ2995</f>
        <v>17.46</v>
      </c>
      <c r="AB3001" s="20" t="s">
        <v>1326</v>
      </c>
      <c r="AC3001" s="113">
        <f>1/AJ2995</f>
        <v>5.7273768613974797E-2</v>
      </c>
      <c r="AD3001" s="109"/>
      <c r="AE3001" s="109"/>
      <c r="AF3001" s="109"/>
      <c r="AG3001" s="109"/>
      <c r="AH3001" s="109"/>
      <c r="AI3001" s="109"/>
      <c r="AJ3001" s="109"/>
      <c r="AK3001" s="109"/>
      <c r="AL3001" s="109"/>
      <c r="AM3001" s="109"/>
      <c r="AN3001" s="109"/>
      <c r="AO3001" s="109"/>
      <c r="AP3001" s="109"/>
      <c r="AQ3001" s="109"/>
      <c r="AR3001" s="109"/>
      <c r="AS3001" s="109"/>
    </row>
    <row r="3002" spans="1:45" ht="12.6" customHeight="1" x14ac:dyDescent="0.3">
      <c r="A3002" s="78"/>
      <c r="B3002" s="78"/>
      <c r="C3002" s="78"/>
      <c r="D3002" s="78"/>
      <c r="E3002" s="78"/>
      <c r="F3002" s="78"/>
      <c r="G3002" s="16" t="s">
        <v>1317</v>
      </c>
      <c r="Z3002" s="109"/>
      <c r="AA3002" s="109"/>
      <c r="AB3002" s="109"/>
      <c r="AC3002" s="109"/>
      <c r="AD3002" s="109"/>
      <c r="AE3002" s="109"/>
      <c r="AF3002" s="109"/>
      <c r="AG3002" s="109"/>
      <c r="AH3002" s="109"/>
      <c r="AI3002" s="109"/>
      <c r="AJ3002" s="109"/>
      <c r="AK3002" s="109"/>
      <c r="AL3002" s="109"/>
      <c r="AM3002" s="109"/>
      <c r="AN3002" s="109"/>
      <c r="AO3002" s="109"/>
      <c r="AP3002" s="109"/>
      <c r="AQ3002" s="109"/>
      <c r="AR3002" s="109"/>
      <c r="AS3002" s="109"/>
    </row>
    <row r="3003" spans="1:45" ht="12.6" customHeight="1" x14ac:dyDescent="0.3">
      <c r="A3003" s="68"/>
      <c r="B3003" s="77" t="s">
        <v>1720</v>
      </c>
      <c r="C3003" s="103">
        <f>E3003+D3003+F3003</f>
        <v>4799.5</v>
      </c>
      <c r="D3003" s="103">
        <f>SUMIF(N2970:N3002,M3003,D2970:D3002)</f>
        <v>3190.1</v>
      </c>
      <c r="E3003" s="103">
        <f>SUMIF(N2970:N3002,M3003,E2970:E3002)</f>
        <v>287.7</v>
      </c>
      <c r="F3003" s="103">
        <f>SUMIF(N2970:N3002,M3003,F2970:F3002)</f>
        <v>1321.7</v>
      </c>
      <c r="G3003" s="16" t="s">
        <v>1961</v>
      </c>
      <c r="M3003" s="20" t="s">
        <v>1721</v>
      </c>
      <c r="Z3003" s="109"/>
      <c r="AA3003" s="109"/>
      <c r="AB3003" s="109"/>
      <c r="AC3003" s="109"/>
      <c r="AD3003" s="109"/>
      <c r="AE3003" s="109"/>
      <c r="AF3003" s="109"/>
      <c r="AG3003" s="109"/>
      <c r="AH3003" s="109"/>
      <c r="AI3003" s="109"/>
      <c r="AJ3003" s="109"/>
      <c r="AK3003" s="109"/>
      <c r="AL3003" s="109"/>
      <c r="AM3003" s="109"/>
      <c r="AN3003" s="109"/>
      <c r="AO3003" s="109"/>
      <c r="AP3003" s="109"/>
      <c r="AQ3003" s="109"/>
      <c r="AR3003" s="109"/>
      <c r="AS3003" s="109"/>
    </row>
    <row r="3004" spans="1:45" ht="12.6" customHeight="1" x14ac:dyDescent="0.3">
      <c r="A3004" s="78"/>
      <c r="B3004" s="78"/>
      <c r="C3004" s="104"/>
      <c r="D3004" s="104"/>
      <c r="E3004" s="104"/>
      <c r="F3004" s="104"/>
      <c r="G3004" s="16" t="s">
        <v>1317</v>
      </c>
      <c r="Z3004" s="109"/>
      <c r="AA3004" s="109"/>
      <c r="AB3004" s="109"/>
      <c r="AC3004" s="109"/>
      <c r="AD3004" s="109"/>
      <c r="AE3004" s="109"/>
      <c r="AF3004" s="109"/>
      <c r="AG3004" s="109"/>
      <c r="AH3004" s="109"/>
      <c r="AI3004" s="109"/>
      <c r="AJ3004" s="109"/>
      <c r="AK3004" s="109"/>
      <c r="AL3004" s="109"/>
      <c r="AM3004" s="109"/>
      <c r="AN3004" s="109"/>
      <c r="AO3004" s="109"/>
      <c r="AP3004" s="109"/>
      <c r="AQ3004" s="109"/>
      <c r="AR3004" s="109"/>
      <c r="AS3004" s="109"/>
    </row>
    <row r="3005" spans="1:45" ht="12.6" customHeight="1" x14ac:dyDescent="0.3">
      <c r="A3005" s="68"/>
      <c r="B3005" s="77" t="s">
        <v>1963</v>
      </c>
      <c r="C3005" s="78"/>
      <c r="D3005" s="78"/>
      <c r="E3005" s="78"/>
      <c r="F3005" s="78"/>
      <c r="G3005" s="16" t="s">
        <v>1962</v>
      </c>
      <c r="Z3005" s="109"/>
      <c r="AA3005" s="109"/>
      <c r="AB3005" s="109"/>
      <c r="AC3005" s="109"/>
      <c r="AD3005" s="109"/>
      <c r="AE3005" s="109"/>
      <c r="AF3005" s="109"/>
      <c r="AG3005" s="109"/>
      <c r="AH3005" s="109"/>
      <c r="AI3005" s="109"/>
      <c r="AJ3005" s="109"/>
      <c r="AK3005" s="109"/>
      <c r="AL3005" s="109"/>
      <c r="AM3005" s="109"/>
      <c r="AN3005" s="109"/>
      <c r="AO3005" s="109"/>
      <c r="AP3005" s="109"/>
      <c r="AQ3005" s="109"/>
      <c r="AR3005" s="109"/>
      <c r="AS3005" s="109"/>
    </row>
    <row r="3006" spans="1:45" ht="12.6" customHeight="1" x14ac:dyDescent="0.3">
      <c r="A3006" s="78"/>
      <c r="B3006" s="78"/>
      <c r="C3006" s="78"/>
      <c r="D3006" s="78"/>
      <c r="E3006" s="78"/>
      <c r="F3006" s="78"/>
      <c r="G3006" s="16" t="s">
        <v>1317</v>
      </c>
      <c r="Z3006" s="109"/>
      <c r="AA3006" s="109"/>
      <c r="AB3006" s="109"/>
      <c r="AC3006" s="109"/>
      <c r="AD3006" s="109"/>
      <c r="AE3006" s="109"/>
      <c r="AF3006" s="109"/>
      <c r="AG3006" s="109"/>
      <c r="AH3006" s="109"/>
      <c r="AI3006" s="109"/>
      <c r="AJ3006" s="109"/>
      <c r="AK3006" s="109"/>
      <c r="AL3006" s="109"/>
      <c r="AM3006" s="109"/>
      <c r="AN3006" s="109"/>
      <c r="AO3006" s="109"/>
      <c r="AP3006" s="109"/>
      <c r="AQ3006" s="109"/>
      <c r="AR3006" s="109"/>
      <c r="AS3006" s="109"/>
    </row>
    <row r="3007" spans="1:45" ht="12.6" customHeight="1" x14ac:dyDescent="0.3">
      <c r="A3007" s="68"/>
      <c r="B3007" s="97" t="str">
        <f>" E (작업효율) = "&amp;Z3007&amp;""</f>
        <v xml:space="preserve"> E (작업효율) = 0.9</v>
      </c>
      <c r="C3007" s="78"/>
      <c r="D3007" s="78"/>
      <c r="E3007" s="78"/>
      <c r="F3007" s="78"/>
      <c r="G3007" s="16" t="s">
        <v>1950</v>
      </c>
      <c r="Z3007" s="110">
        <v>0.9</v>
      </c>
      <c r="AA3007" s="20" t="s">
        <v>1326</v>
      </c>
      <c r="AB3007" s="112">
        <f>Z3007</f>
        <v>0.9</v>
      </c>
      <c r="AC3007" s="109"/>
      <c r="AD3007" s="109"/>
      <c r="AE3007" s="109"/>
      <c r="AF3007" s="109"/>
      <c r="AG3007" s="109"/>
      <c r="AH3007" s="109"/>
      <c r="AI3007" s="109"/>
      <c r="AJ3007" s="109"/>
      <c r="AK3007" s="109"/>
      <c r="AL3007" s="109"/>
      <c r="AM3007" s="109"/>
      <c r="AN3007" s="109"/>
      <c r="AO3007" s="109"/>
      <c r="AP3007" s="109"/>
      <c r="AQ3007" s="109"/>
      <c r="AR3007" s="109"/>
      <c r="AS3007" s="109"/>
    </row>
    <row r="3008" spans="1:45" ht="12.6" customHeight="1" x14ac:dyDescent="0.3">
      <c r="A3008" s="78"/>
      <c r="B3008" s="78"/>
      <c r="C3008" s="78"/>
      <c r="D3008" s="78"/>
      <c r="E3008" s="78"/>
      <c r="F3008" s="78"/>
      <c r="G3008" s="16" t="s">
        <v>1317</v>
      </c>
      <c r="Z3008" s="109"/>
      <c r="AA3008" s="109"/>
      <c r="AB3008" s="109"/>
      <c r="AC3008" s="109"/>
      <c r="AD3008" s="109"/>
      <c r="AE3008" s="109"/>
      <c r="AF3008" s="109"/>
      <c r="AG3008" s="109"/>
      <c r="AH3008" s="109"/>
      <c r="AI3008" s="109"/>
      <c r="AJ3008" s="109"/>
      <c r="AK3008" s="109"/>
      <c r="AL3008" s="109"/>
      <c r="AM3008" s="109"/>
      <c r="AN3008" s="109"/>
      <c r="AO3008" s="109"/>
      <c r="AP3008" s="109"/>
      <c r="AQ3008" s="109"/>
      <c r="AR3008" s="109"/>
      <c r="AS3008" s="109"/>
    </row>
    <row r="3009" spans="1:45" ht="12.6" customHeight="1" x14ac:dyDescent="0.3">
      <c r="A3009" s="68"/>
      <c r="B3009" s="97" t="str">
        <f>" q1 (흐트러진상태의 덤프트럭 1회 적재량)  = ("&amp;AA3009&amp;"/"&amp;AC3009&amp;")*"&amp;AE3009&amp;"= "&amp;AG3009&amp;""</f>
        <v xml:space="preserve"> q1 (흐트러진상태의 덤프트럭 1회 적재량)  = (10.5/2)*1.625= 8.53</v>
      </c>
      <c r="C3009" s="78"/>
      <c r="D3009" s="78"/>
      <c r="E3009" s="78"/>
      <c r="F3009" s="78"/>
      <c r="G3009" s="16" t="s">
        <v>1964</v>
      </c>
      <c r="Z3009" s="20" t="s">
        <v>1526</v>
      </c>
      <c r="AA3009" s="110">
        <v>10.5</v>
      </c>
      <c r="AB3009" s="20" t="s">
        <v>1387</v>
      </c>
      <c r="AC3009" s="111">
        <v>2</v>
      </c>
      <c r="AD3009" s="20" t="s">
        <v>1527</v>
      </c>
      <c r="AE3009" s="110">
        <v>1.625</v>
      </c>
      <c r="AF3009" s="20" t="s">
        <v>1326</v>
      </c>
      <c r="AG3009" s="112" t="str">
        <f>TEXT(ROUND((AA3009/AC3009)*AE3009,2),"0.00")</f>
        <v>8.53</v>
      </c>
      <c r="AH3009" s="109"/>
      <c r="AI3009" s="109"/>
      <c r="AJ3009" s="109"/>
      <c r="AK3009" s="109"/>
      <c r="AL3009" s="109"/>
      <c r="AM3009" s="109"/>
      <c r="AN3009" s="109"/>
      <c r="AO3009" s="109"/>
      <c r="AP3009" s="109"/>
      <c r="AQ3009" s="109"/>
      <c r="AR3009" s="109"/>
      <c r="AS3009" s="109"/>
    </row>
    <row r="3010" spans="1:45" ht="12.6" customHeight="1" x14ac:dyDescent="0.3">
      <c r="A3010" s="78"/>
      <c r="B3010" s="78"/>
      <c r="C3010" s="78"/>
      <c r="D3010" s="78"/>
      <c r="E3010" s="78"/>
      <c r="F3010" s="78"/>
      <c r="G3010" s="16" t="s">
        <v>1317</v>
      </c>
      <c r="Z3010" s="109"/>
      <c r="AA3010" s="109"/>
      <c r="AB3010" s="109"/>
      <c r="AC3010" s="109"/>
      <c r="AD3010" s="109"/>
      <c r="AE3010" s="109"/>
      <c r="AF3010" s="109"/>
      <c r="AG3010" s="109"/>
      <c r="AH3010" s="109"/>
      <c r="AI3010" s="109"/>
      <c r="AJ3010" s="109"/>
      <c r="AK3010" s="109"/>
      <c r="AL3010" s="109"/>
      <c r="AM3010" s="109"/>
      <c r="AN3010" s="109"/>
      <c r="AO3010" s="109"/>
      <c r="AP3010" s="109"/>
      <c r="AQ3010" s="109"/>
      <c r="AR3010" s="109"/>
      <c r="AS3010" s="109"/>
    </row>
    <row r="3011" spans="1:45" ht="12.6" customHeight="1" x14ac:dyDescent="0.3">
      <c r="A3011" s="68"/>
      <c r="B3011" s="77" t="s">
        <v>1528</v>
      </c>
      <c r="C3011" s="78"/>
      <c r="D3011" s="78"/>
      <c r="E3011" s="78"/>
      <c r="F3011" s="78"/>
      <c r="G3011" s="16" t="s">
        <v>1803</v>
      </c>
      <c r="Z3011" s="109"/>
      <c r="AA3011" s="109"/>
      <c r="AB3011" s="109"/>
      <c r="AC3011" s="109"/>
      <c r="AD3011" s="109"/>
      <c r="AE3011" s="109"/>
      <c r="AF3011" s="109"/>
      <c r="AG3011" s="109"/>
      <c r="AH3011" s="109"/>
      <c r="AI3011" s="109"/>
      <c r="AJ3011" s="109"/>
      <c r="AK3011" s="109"/>
      <c r="AL3011" s="109"/>
      <c r="AM3011" s="109"/>
      <c r="AN3011" s="109"/>
      <c r="AO3011" s="109"/>
      <c r="AP3011" s="109"/>
      <c r="AQ3011" s="109"/>
      <c r="AR3011" s="109"/>
      <c r="AS3011" s="109"/>
    </row>
    <row r="3012" spans="1:45" ht="12.6" customHeight="1" x14ac:dyDescent="0.3">
      <c r="A3012" s="78"/>
      <c r="B3012" s="78"/>
      <c r="C3012" s="78"/>
      <c r="D3012" s="78"/>
      <c r="E3012" s="78"/>
      <c r="F3012" s="78"/>
      <c r="G3012" s="16" t="s">
        <v>1317</v>
      </c>
      <c r="Z3012" s="109"/>
      <c r="AA3012" s="109"/>
      <c r="AB3012" s="109"/>
      <c r="AC3012" s="109"/>
      <c r="AD3012" s="109"/>
      <c r="AE3012" s="109"/>
      <c r="AF3012" s="109"/>
      <c r="AG3012" s="109"/>
      <c r="AH3012" s="109"/>
      <c r="AI3012" s="109"/>
      <c r="AJ3012" s="109"/>
      <c r="AK3012" s="109"/>
      <c r="AL3012" s="109"/>
      <c r="AM3012" s="109"/>
      <c r="AN3012" s="109"/>
      <c r="AO3012" s="109"/>
      <c r="AP3012" s="109"/>
      <c r="AQ3012" s="109"/>
      <c r="AR3012" s="109"/>
      <c r="AS3012" s="109"/>
    </row>
    <row r="3013" spans="1:45" ht="12.6" customHeight="1" x14ac:dyDescent="0.3">
      <c r="A3013" s="68"/>
      <c r="B3013" s="97" t="str">
        <f>" n = q1 / ("&amp;AB3013&amp;" * k) = "&amp;AG3013&amp;" 회 "</f>
        <v xml:space="preserve"> n = q1 / (0.7 * k) = 22.16 회 </v>
      </c>
      <c r="C3013" s="78"/>
      <c r="D3013" s="78"/>
      <c r="E3013" s="78"/>
      <c r="F3013" s="78"/>
      <c r="G3013" s="16" t="s">
        <v>1952</v>
      </c>
      <c r="Z3013" s="112" t="str">
        <f>AG3009</f>
        <v>8.53</v>
      </c>
      <c r="AA3013" s="20" t="s">
        <v>1531</v>
      </c>
      <c r="AB3013" s="110">
        <v>0.7</v>
      </c>
      <c r="AC3013" s="20" t="s">
        <v>1390</v>
      </c>
      <c r="AD3013" s="112">
        <f>AF2955</f>
        <v>0.55000000000000004</v>
      </c>
      <c r="AE3013" s="20" t="s">
        <v>1532</v>
      </c>
      <c r="AF3013" s="20" t="s">
        <v>1326</v>
      </c>
      <c r="AG3013" s="112" t="str">
        <f>TEXT(ROUND(AG3009/(AB3013*AF2955),2),"0.00")</f>
        <v>22.16</v>
      </c>
      <c r="AH3013" s="109"/>
      <c r="AI3013" s="109"/>
      <c r="AJ3013" s="109"/>
      <c r="AK3013" s="109"/>
      <c r="AL3013" s="109"/>
      <c r="AM3013" s="109"/>
      <c r="AN3013" s="109"/>
      <c r="AO3013" s="109"/>
      <c r="AP3013" s="109"/>
      <c r="AQ3013" s="109"/>
      <c r="AR3013" s="109"/>
      <c r="AS3013" s="109"/>
    </row>
    <row r="3014" spans="1:45" ht="12.6" customHeight="1" x14ac:dyDescent="0.3">
      <c r="A3014" s="78"/>
      <c r="B3014" s="78"/>
      <c r="C3014" s="78"/>
      <c r="D3014" s="78"/>
      <c r="E3014" s="78"/>
      <c r="F3014" s="78"/>
      <c r="G3014" s="16" t="s">
        <v>1317</v>
      </c>
      <c r="Z3014" s="109"/>
      <c r="AA3014" s="109"/>
      <c r="AB3014" s="109"/>
      <c r="AC3014" s="109"/>
      <c r="AD3014" s="109"/>
      <c r="AE3014" s="109"/>
      <c r="AF3014" s="109"/>
      <c r="AG3014" s="109"/>
      <c r="AH3014" s="109"/>
      <c r="AI3014" s="109"/>
      <c r="AJ3014" s="109"/>
      <c r="AK3014" s="109"/>
      <c r="AL3014" s="109"/>
      <c r="AM3014" s="109"/>
      <c r="AN3014" s="109"/>
      <c r="AO3014" s="109"/>
      <c r="AP3014" s="109"/>
      <c r="AQ3014" s="109"/>
      <c r="AR3014" s="109"/>
      <c r="AS3014" s="109"/>
    </row>
    <row r="3015" spans="1:45" ht="12.6" customHeight="1" x14ac:dyDescent="0.3">
      <c r="A3015" s="68"/>
      <c r="B3015" s="97" t="str">
        <f>" t1 (적재시간) = "&amp;Z3015&amp;" * n / ("&amp;AD3015&amp;" * "&amp;AF3015&amp;") = "&amp;AI3015&amp;" 분 "</f>
        <v xml:space="preserve"> t1 (적재시간) = 20 * n / (60 * 0.45) = 16.41 분 </v>
      </c>
      <c r="C3015" s="78"/>
      <c r="D3015" s="78"/>
      <c r="E3015" s="78"/>
      <c r="F3015" s="78"/>
      <c r="G3015" s="16" t="s">
        <v>1953</v>
      </c>
      <c r="Z3015" s="111">
        <v>20</v>
      </c>
      <c r="AA3015" s="20" t="s">
        <v>1390</v>
      </c>
      <c r="AB3015" s="112" t="str">
        <f>AG3013</f>
        <v>22.16</v>
      </c>
      <c r="AC3015" s="20" t="s">
        <v>1531</v>
      </c>
      <c r="AD3015" s="111">
        <v>60</v>
      </c>
      <c r="AE3015" s="20" t="s">
        <v>1390</v>
      </c>
      <c r="AF3015" s="110">
        <v>0.45</v>
      </c>
      <c r="AG3015" s="20" t="s">
        <v>1532</v>
      </c>
      <c r="AH3015" s="20" t="s">
        <v>1326</v>
      </c>
      <c r="AI3015" s="112" t="str">
        <f>TEXT(ROUND(Z3015*AG3013/(AD3015*AF3015),2),"0.00")</f>
        <v>16.41</v>
      </c>
      <c r="AJ3015" s="109"/>
      <c r="AK3015" s="109"/>
      <c r="AL3015" s="109"/>
      <c r="AM3015" s="109"/>
      <c r="AN3015" s="109"/>
      <c r="AO3015" s="109"/>
      <c r="AP3015" s="109"/>
      <c r="AQ3015" s="109"/>
      <c r="AR3015" s="109"/>
      <c r="AS3015" s="109"/>
    </row>
    <row r="3016" spans="1:45" ht="12.6" customHeight="1" x14ac:dyDescent="0.3">
      <c r="A3016" s="78"/>
      <c r="B3016" s="78"/>
      <c r="C3016" s="78"/>
      <c r="D3016" s="78"/>
      <c r="E3016" s="78"/>
      <c r="F3016" s="78"/>
      <c r="G3016" s="16" t="s">
        <v>1317</v>
      </c>
      <c r="Z3016" s="109"/>
      <c r="AA3016" s="109"/>
      <c r="AB3016" s="109"/>
      <c r="AC3016" s="109"/>
      <c r="AD3016" s="109"/>
      <c r="AE3016" s="109"/>
      <c r="AF3016" s="109"/>
      <c r="AG3016" s="109"/>
      <c r="AH3016" s="109"/>
      <c r="AI3016" s="109"/>
      <c r="AJ3016" s="109"/>
      <c r="AK3016" s="109"/>
      <c r="AL3016" s="109"/>
      <c r="AM3016" s="109"/>
      <c r="AN3016" s="109"/>
      <c r="AO3016" s="109"/>
      <c r="AP3016" s="109"/>
      <c r="AQ3016" s="109"/>
      <c r="AR3016" s="109"/>
      <c r="AS3016" s="109"/>
    </row>
    <row r="3017" spans="1:45" ht="12.6" customHeight="1" x14ac:dyDescent="0.3">
      <c r="A3017" s="68"/>
      <c r="B3017" s="97" t="str">
        <f>" t2 (왕복시간) = (L/"&amp;AC3017&amp;"+L/"&amp;AG3017&amp;")* "&amp;AI3017&amp;" = "&amp;AK3017&amp;" 분 "</f>
        <v xml:space="preserve"> t2 (왕복시간) = (L/7+L/8)* 60 = 5.67 분 </v>
      </c>
      <c r="C3017" s="78"/>
      <c r="D3017" s="78"/>
      <c r="E3017" s="78"/>
      <c r="F3017" s="78"/>
      <c r="G3017" s="16" t="s">
        <v>1923</v>
      </c>
      <c r="Z3017" s="20" t="s">
        <v>1526</v>
      </c>
      <c r="AA3017" s="112">
        <f>AB2951</f>
        <v>0.35299999999999998</v>
      </c>
      <c r="AB3017" s="20" t="s">
        <v>1387</v>
      </c>
      <c r="AC3017" s="111">
        <v>7</v>
      </c>
      <c r="AD3017" s="20" t="s">
        <v>1535</v>
      </c>
      <c r="AE3017" s="112">
        <f>AB2951</f>
        <v>0.35299999999999998</v>
      </c>
      <c r="AF3017" s="20" t="s">
        <v>1387</v>
      </c>
      <c r="AG3017" s="111">
        <v>8</v>
      </c>
      <c r="AH3017" s="20" t="s">
        <v>1527</v>
      </c>
      <c r="AI3017" s="111">
        <v>60</v>
      </c>
      <c r="AJ3017" s="20" t="s">
        <v>1326</v>
      </c>
      <c r="AK3017" s="112" t="str">
        <f>TEXT(ROUND((AB2951/AC3017+AB2951/AG3017)*AI3017,2),"0.00")</f>
        <v>5.67</v>
      </c>
      <c r="AL3017" s="109"/>
      <c r="AM3017" s="109"/>
      <c r="AN3017" s="109"/>
      <c r="AO3017" s="109"/>
      <c r="AP3017" s="109"/>
      <c r="AQ3017" s="109"/>
      <c r="AR3017" s="109"/>
      <c r="AS3017" s="109"/>
    </row>
    <row r="3018" spans="1:45" ht="12.6" customHeight="1" x14ac:dyDescent="0.3">
      <c r="A3018" s="78"/>
      <c r="B3018" s="78"/>
      <c r="C3018" s="78"/>
      <c r="D3018" s="78"/>
      <c r="E3018" s="78"/>
      <c r="F3018" s="78"/>
      <c r="G3018" s="16" t="s">
        <v>1317</v>
      </c>
      <c r="Z3018" s="109"/>
      <c r="AA3018" s="109"/>
      <c r="AB3018" s="109"/>
      <c r="AC3018" s="109"/>
      <c r="AD3018" s="109"/>
      <c r="AE3018" s="109"/>
      <c r="AF3018" s="109"/>
      <c r="AG3018" s="109"/>
      <c r="AH3018" s="109"/>
      <c r="AI3018" s="109"/>
      <c r="AJ3018" s="109"/>
      <c r="AK3018" s="109"/>
      <c r="AL3018" s="109"/>
      <c r="AM3018" s="109"/>
      <c r="AN3018" s="109"/>
      <c r="AO3018" s="109"/>
      <c r="AP3018" s="109"/>
      <c r="AQ3018" s="109"/>
      <c r="AR3018" s="109"/>
      <c r="AS3018" s="109"/>
    </row>
    <row r="3019" spans="1:45" ht="12.6" customHeight="1" x14ac:dyDescent="0.3">
      <c r="A3019" s="68"/>
      <c r="B3019" s="97" t="str">
        <f>" t3 (적하시간) = "&amp;Z3019&amp;""</f>
        <v xml:space="preserve"> t3 (적하시간) = 1.1</v>
      </c>
      <c r="C3019" s="78"/>
      <c r="D3019" s="78"/>
      <c r="E3019" s="78"/>
      <c r="F3019" s="78"/>
      <c r="G3019" s="16" t="s">
        <v>1924</v>
      </c>
      <c r="Z3019" s="110">
        <v>1.1000000000000001</v>
      </c>
      <c r="AA3019" s="20" t="s">
        <v>1326</v>
      </c>
      <c r="AB3019" s="112">
        <f>Z3019</f>
        <v>1.1000000000000001</v>
      </c>
      <c r="AC3019" s="109"/>
      <c r="AD3019" s="109"/>
      <c r="AE3019" s="109"/>
      <c r="AF3019" s="109"/>
      <c r="AG3019" s="109"/>
      <c r="AH3019" s="109"/>
      <c r="AI3019" s="109"/>
      <c r="AJ3019" s="109"/>
      <c r="AK3019" s="109"/>
      <c r="AL3019" s="109"/>
      <c r="AM3019" s="109"/>
      <c r="AN3019" s="109"/>
      <c r="AO3019" s="109"/>
      <c r="AP3019" s="109"/>
      <c r="AQ3019" s="109"/>
      <c r="AR3019" s="109"/>
      <c r="AS3019" s="109"/>
    </row>
    <row r="3020" spans="1:45" ht="12.6" customHeight="1" x14ac:dyDescent="0.3">
      <c r="A3020" s="78"/>
      <c r="B3020" s="78"/>
      <c r="C3020" s="78"/>
      <c r="D3020" s="78"/>
      <c r="E3020" s="78"/>
      <c r="F3020" s="78"/>
      <c r="G3020" s="16" t="s">
        <v>1317</v>
      </c>
      <c r="Z3020" s="109"/>
      <c r="AA3020" s="109"/>
      <c r="AB3020" s="109"/>
      <c r="AC3020" s="109"/>
      <c r="AD3020" s="109"/>
      <c r="AE3020" s="109"/>
      <c r="AF3020" s="109"/>
      <c r="AG3020" s="109"/>
      <c r="AH3020" s="109"/>
      <c r="AI3020" s="109"/>
      <c r="AJ3020" s="109"/>
      <c r="AK3020" s="109"/>
      <c r="AL3020" s="109"/>
      <c r="AM3020" s="109"/>
      <c r="AN3020" s="109"/>
      <c r="AO3020" s="109"/>
      <c r="AP3020" s="109"/>
      <c r="AQ3020" s="109"/>
      <c r="AR3020" s="109"/>
      <c r="AS3020" s="109"/>
    </row>
    <row r="3021" spans="1:45" ht="12.6" customHeight="1" x14ac:dyDescent="0.3">
      <c r="A3021" s="68"/>
      <c r="B3021" s="97" t="str">
        <f>" t4 (적재장소 도착한 때로부터 적재작업이 시작될 때까지의 시간) = "&amp;Z3021&amp;""</f>
        <v xml:space="preserve"> t4 (적재장소 도착한 때로부터 적재작업이 시작될 때까지의 시간) = 0.7</v>
      </c>
      <c r="C3021" s="78"/>
      <c r="D3021" s="78"/>
      <c r="E3021" s="78"/>
      <c r="F3021" s="78"/>
      <c r="G3021" s="16" t="s">
        <v>1954</v>
      </c>
      <c r="Z3021" s="110">
        <v>0.7</v>
      </c>
      <c r="AA3021" s="20" t="s">
        <v>1326</v>
      </c>
      <c r="AB3021" s="112">
        <f>Z3021</f>
        <v>0.7</v>
      </c>
      <c r="AC3021" s="109"/>
      <c r="AD3021" s="109"/>
      <c r="AE3021" s="109"/>
      <c r="AF3021" s="109"/>
      <c r="AG3021" s="109"/>
      <c r="AH3021" s="109"/>
      <c r="AI3021" s="109"/>
      <c r="AJ3021" s="109"/>
      <c r="AK3021" s="109"/>
      <c r="AL3021" s="109"/>
      <c r="AM3021" s="109"/>
      <c r="AN3021" s="109"/>
      <c r="AO3021" s="109"/>
      <c r="AP3021" s="109"/>
      <c r="AQ3021" s="109"/>
      <c r="AR3021" s="109"/>
      <c r="AS3021" s="109"/>
    </row>
    <row r="3022" spans="1:45" ht="12.6" customHeight="1" x14ac:dyDescent="0.3">
      <c r="A3022" s="78"/>
      <c r="B3022" s="78"/>
      <c r="C3022" s="78"/>
      <c r="D3022" s="78"/>
      <c r="E3022" s="78"/>
      <c r="F3022" s="78"/>
      <c r="G3022" s="16" t="s">
        <v>1317</v>
      </c>
      <c r="Z3022" s="109"/>
      <c r="AA3022" s="109"/>
      <c r="AB3022" s="109"/>
      <c r="AC3022" s="109"/>
      <c r="AD3022" s="109"/>
      <c r="AE3022" s="109"/>
      <c r="AF3022" s="109"/>
      <c r="AG3022" s="109"/>
      <c r="AH3022" s="109"/>
      <c r="AI3022" s="109"/>
      <c r="AJ3022" s="109"/>
      <c r="AK3022" s="109"/>
      <c r="AL3022" s="109"/>
      <c r="AM3022" s="109"/>
      <c r="AN3022" s="109"/>
      <c r="AO3022" s="109"/>
      <c r="AP3022" s="109"/>
      <c r="AQ3022" s="109"/>
      <c r="AR3022" s="109"/>
      <c r="AS3022" s="109"/>
    </row>
    <row r="3023" spans="1:45" ht="12.6" customHeight="1" x14ac:dyDescent="0.3">
      <c r="A3023" s="68"/>
      <c r="B3023" s="97" t="str">
        <f>" Cm (1회 사이클 시간(분))  = t1 + t2 + t3 + t4  = "&amp;AH3023&amp;""</f>
        <v xml:space="preserve"> Cm (1회 사이클 시간(분))  = t1 + t2 + t3 + t4  = 23.88</v>
      </c>
      <c r="C3023" s="78"/>
      <c r="D3023" s="78"/>
      <c r="E3023" s="78"/>
      <c r="F3023" s="78"/>
      <c r="G3023" s="16" t="s">
        <v>1955</v>
      </c>
      <c r="Z3023" s="112" t="str">
        <f>AI3015</f>
        <v>16.41</v>
      </c>
      <c r="AA3023" s="20" t="s">
        <v>1535</v>
      </c>
      <c r="AB3023" s="112" t="str">
        <f>AK3017</f>
        <v>5.67</v>
      </c>
      <c r="AC3023" s="20" t="s">
        <v>1535</v>
      </c>
      <c r="AD3023" s="112">
        <f>AB3019</f>
        <v>1.1000000000000001</v>
      </c>
      <c r="AE3023" s="20" t="s">
        <v>1535</v>
      </c>
      <c r="AF3023" s="112">
        <f>AB3021</f>
        <v>0.7</v>
      </c>
      <c r="AG3023" s="20" t="s">
        <v>1326</v>
      </c>
      <c r="AH3023" s="112" t="str">
        <f>TEXT(ROUND(AI3015+AK3017+AB3019+AB3021,2),"0.00")</f>
        <v>23.88</v>
      </c>
      <c r="AI3023" s="109"/>
      <c r="AJ3023" s="109"/>
      <c r="AK3023" s="109"/>
      <c r="AL3023" s="109"/>
      <c r="AM3023" s="109"/>
      <c r="AN3023" s="109"/>
      <c r="AO3023" s="109"/>
      <c r="AP3023" s="109"/>
      <c r="AQ3023" s="109"/>
      <c r="AR3023" s="109"/>
      <c r="AS3023" s="109"/>
    </row>
    <row r="3024" spans="1:45" ht="12.6" customHeight="1" x14ac:dyDescent="0.3">
      <c r="A3024" s="78"/>
      <c r="B3024" s="78"/>
      <c r="C3024" s="78"/>
      <c r="D3024" s="78"/>
      <c r="E3024" s="78"/>
      <c r="F3024" s="78"/>
      <c r="G3024" s="16" t="s">
        <v>1317</v>
      </c>
      <c r="Z3024" s="109"/>
      <c r="AA3024" s="109"/>
      <c r="AB3024" s="109"/>
      <c r="AC3024" s="109"/>
      <c r="AD3024" s="109"/>
      <c r="AE3024" s="109"/>
      <c r="AF3024" s="109"/>
      <c r="AG3024" s="109"/>
      <c r="AH3024" s="109"/>
      <c r="AI3024" s="109"/>
      <c r="AJ3024" s="109"/>
      <c r="AK3024" s="109"/>
      <c r="AL3024" s="109"/>
      <c r="AM3024" s="109"/>
      <c r="AN3024" s="109"/>
      <c r="AO3024" s="109"/>
      <c r="AP3024" s="109"/>
      <c r="AQ3024" s="109"/>
      <c r="AR3024" s="109"/>
      <c r="AS3024" s="109"/>
    </row>
    <row r="3025" spans="1:45" ht="12.6" customHeight="1" x14ac:dyDescent="0.3">
      <c r="A3025" s="68"/>
      <c r="B3025" s="97" t="str">
        <f>" OH (상차 10분 초과 시 운반기계의 유류보정)  = t2 / Cm = "&amp;AD3025&amp;""</f>
        <v xml:space="preserve"> OH (상차 10분 초과 시 운반기계의 유류보정)  = t2 / Cm = 0.24</v>
      </c>
      <c r="C3025" s="78"/>
      <c r="D3025" s="78"/>
      <c r="E3025" s="78"/>
      <c r="F3025" s="78"/>
      <c r="G3025" s="16" t="s">
        <v>1965</v>
      </c>
      <c r="Z3025" s="112" t="str">
        <f>AK3017</f>
        <v>5.67</v>
      </c>
      <c r="AA3025" s="20" t="s">
        <v>1387</v>
      </c>
      <c r="AB3025" s="112" t="str">
        <f>AH3023</f>
        <v>23.88</v>
      </c>
      <c r="AC3025" s="20" t="s">
        <v>1326</v>
      </c>
      <c r="AD3025" s="112" t="str">
        <f>TEXT(ROUND(AK3017/AH3023,2),"0.00")</f>
        <v>0.24</v>
      </c>
      <c r="AE3025" s="109"/>
      <c r="AF3025" s="109"/>
      <c r="AG3025" s="109"/>
      <c r="AH3025" s="109"/>
      <c r="AI3025" s="109"/>
      <c r="AJ3025" s="109"/>
      <c r="AK3025" s="109"/>
      <c r="AL3025" s="109"/>
      <c r="AM3025" s="109"/>
      <c r="AN3025" s="109"/>
      <c r="AO3025" s="109"/>
      <c r="AP3025" s="109"/>
      <c r="AQ3025" s="109"/>
      <c r="AR3025" s="109"/>
      <c r="AS3025" s="109"/>
    </row>
    <row r="3026" spans="1:45" ht="12.6" customHeight="1" x14ac:dyDescent="0.3">
      <c r="A3026" s="78"/>
      <c r="B3026" s="78"/>
      <c r="C3026" s="78"/>
      <c r="D3026" s="78"/>
      <c r="E3026" s="78"/>
      <c r="F3026" s="78"/>
      <c r="G3026" s="16" t="s">
        <v>1317</v>
      </c>
      <c r="Z3026" s="109"/>
      <c r="AA3026" s="109"/>
      <c r="AB3026" s="109"/>
      <c r="AC3026" s="109"/>
      <c r="AD3026" s="109"/>
      <c r="AE3026" s="109"/>
      <c r="AF3026" s="109"/>
      <c r="AG3026" s="109"/>
      <c r="AH3026" s="109"/>
      <c r="AI3026" s="109"/>
      <c r="AJ3026" s="109"/>
      <c r="AK3026" s="109"/>
      <c r="AL3026" s="109"/>
      <c r="AM3026" s="109"/>
      <c r="AN3026" s="109"/>
      <c r="AO3026" s="109"/>
      <c r="AP3026" s="109"/>
      <c r="AQ3026" s="109"/>
      <c r="AR3026" s="109"/>
      <c r="AS3026" s="109"/>
    </row>
    <row r="3027" spans="1:45" ht="12.6" customHeight="1" x14ac:dyDescent="0.3">
      <c r="A3027" s="68"/>
      <c r="B3027" s="97" t="str">
        <f>" Q2 (시간당 작업량) = "&amp;Z3027&amp;" * q1 * F * E / Cm = "&amp;AJ3027&amp;" m3/hr "</f>
        <v xml:space="preserve"> Q2 (시간당 작업량) = 60 * q1 * F * E / Cm = 15.82 m3/hr </v>
      </c>
      <c r="C3027" s="78"/>
      <c r="D3027" s="78"/>
      <c r="E3027" s="78"/>
      <c r="F3027" s="78"/>
      <c r="G3027" s="16" t="s">
        <v>1966</v>
      </c>
      <c r="Z3027" s="111">
        <v>60</v>
      </c>
      <c r="AA3027" s="20" t="s">
        <v>1390</v>
      </c>
      <c r="AB3027" s="112" t="str">
        <f>AG3009</f>
        <v>8.53</v>
      </c>
      <c r="AC3027" s="20" t="s">
        <v>1390</v>
      </c>
      <c r="AD3027" s="112" t="str">
        <f>AD2957</f>
        <v>0.82</v>
      </c>
      <c r="AE3027" s="20" t="s">
        <v>1390</v>
      </c>
      <c r="AF3027" s="112">
        <f>AB3007</f>
        <v>0.9</v>
      </c>
      <c r="AG3027" s="20" t="s">
        <v>1387</v>
      </c>
      <c r="AH3027" s="112" t="str">
        <f>AH3023</f>
        <v>23.88</v>
      </c>
      <c r="AI3027" s="20" t="s">
        <v>1326</v>
      </c>
      <c r="AJ3027" s="112" t="str">
        <f>TEXT(ROUND(Z3027*AG3009*AD2957*AB3007/AH3023,2),"0.00")</f>
        <v>15.82</v>
      </c>
      <c r="AK3027" s="109"/>
      <c r="AL3027" s="109"/>
      <c r="AM3027" s="109"/>
      <c r="AN3027" s="109"/>
      <c r="AO3027" s="109"/>
      <c r="AP3027" s="109"/>
      <c r="AQ3027" s="109"/>
      <c r="AR3027" s="109"/>
      <c r="AS3027" s="109"/>
    </row>
    <row r="3028" spans="1:45" ht="12.6" customHeight="1" x14ac:dyDescent="0.3">
      <c r="A3028" s="78"/>
      <c r="B3028" s="78"/>
      <c r="C3028" s="78"/>
      <c r="D3028" s="78"/>
      <c r="E3028" s="78"/>
      <c r="F3028" s="78"/>
      <c r="G3028" s="16" t="s">
        <v>1317</v>
      </c>
      <c r="Z3028" s="109"/>
      <c r="AA3028" s="109"/>
      <c r="AB3028" s="109"/>
      <c r="AC3028" s="109"/>
      <c r="AD3028" s="109"/>
      <c r="AE3028" s="109"/>
      <c r="AF3028" s="109"/>
      <c r="AG3028" s="109"/>
      <c r="AH3028" s="109"/>
      <c r="AI3028" s="109"/>
      <c r="AJ3028" s="109"/>
      <c r="AK3028" s="109"/>
      <c r="AL3028" s="109"/>
      <c r="AM3028" s="109"/>
      <c r="AN3028" s="109"/>
      <c r="AO3028" s="109"/>
      <c r="AP3028" s="109"/>
      <c r="AQ3028" s="109"/>
      <c r="AR3028" s="109"/>
      <c r="AS3028" s="109"/>
    </row>
    <row r="3029" spans="1:45" ht="12.6" customHeight="1" x14ac:dyDescent="0.3">
      <c r="A3029" s="68" t="s">
        <v>1968</v>
      </c>
      <c r="B3029" s="97" t="str">
        <f>" 노 무 비  :  "&amp;TEXT(I3029,"#,##0"&amp;IF(I3029&lt;&gt;INT(I3029),".###",""))&amp;" / Q2 = "&amp;TEXT(C3029,"#,##0.0")&amp;""</f>
        <v xml:space="preserve"> 노 무 비  :  47,231 / Q2 = 2,985.5</v>
      </c>
      <c r="C3029" s="99">
        <f>E3029+D3029+F3029</f>
        <v>2985.5</v>
      </c>
      <c r="D3029" s="99">
        <f>IF(H3029=0,0,ROUNDDOWN(J3029*H3029,1))</f>
        <v>2985.5</v>
      </c>
      <c r="E3029" s="99">
        <f>IF(H3029=0,0,ROUNDDOWN(K3029*H3029,1))</f>
        <v>0</v>
      </c>
      <c r="F3029" s="99">
        <f>IF(H3029=0,0,ROUNDDOWN(L3029*H3029,1))</f>
        <v>0</v>
      </c>
      <c r="G3029" s="16" t="s">
        <v>1967</v>
      </c>
      <c r="H3029" s="105">
        <f>AC3029</f>
        <v>6.3211125158027806E-2</v>
      </c>
      <c r="I3029" s="106">
        <f>K3029+J3029+L3029</f>
        <v>47231</v>
      </c>
      <c r="J3029" s="39">
        <f>중기목록표!F12</f>
        <v>47231</v>
      </c>
      <c r="M3029" s="20" t="s">
        <v>1969</v>
      </c>
      <c r="N3029" s="20" t="s">
        <v>1332</v>
      </c>
      <c r="X3029" s="108" t="str">
        <f>중기목록표!B12&amp;" / "&amp;중기목록표!C12</f>
        <v>덤프트럭10.5ton(암) / 할증율:1.25</v>
      </c>
      <c r="Y3029" s="19" t="str">
        <f ca="1">HYPERLINK("#"&amp;중기목록표!J2&amp;"!A"&amp;ROW(중기목록표!A12),"중기    9 →")</f>
        <v>중기    9 →</v>
      </c>
      <c r="Z3029" s="20" t="s">
        <v>1393</v>
      </c>
      <c r="AA3029" s="112" t="str">
        <f>AJ3027</f>
        <v>15.82</v>
      </c>
      <c r="AB3029" s="20" t="s">
        <v>1326</v>
      </c>
      <c r="AC3029" s="113">
        <f>1/AJ3027</f>
        <v>6.3211125158027806E-2</v>
      </c>
      <c r="AD3029" s="109"/>
      <c r="AE3029" s="109"/>
      <c r="AF3029" s="109"/>
      <c r="AG3029" s="109"/>
      <c r="AH3029" s="109"/>
      <c r="AI3029" s="109"/>
      <c r="AJ3029" s="109"/>
      <c r="AK3029" s="109"/>
      <c r="AL3029" s="109"/>
      <c r="AM3029" s="109"/>
      <c r="AN3029" s="109"/>
      <c r="AO3029" s="109"/>
      <c r="AP3029" s="109"/>
      <c r="AQ3029" s="109"/>
      <c r="AR3029" s="109"/>
      <c r="AS3029" s="109"/>
    </row>
    <row r="3030" spans="1:45" ht="12.6" customHeight="1" x14ac:dyDescent="0.3">
      <c r="A3030" s="78"/>
      <c r="B3030" s="78"/>
      <c r="C3030" s="78"/>
      <c r="D3030" s="78"/>
      <c r="E3030" s="78"/>
      <c r="F3030" s="78"/>
      <c r="G3030" s="16" t="s">
        <v>1317</v>
      </c>
      <c r="Z3030" s="109"/>
      <c r="AA3030" s="109"/>
      <c r="AB3030" s="109"/>
      <c r="AC3030" s="109"/>
      <c r="AD3030" s="109"/>
      <c r="AE3030" s="109"/>
      <c r="AF3030" s="109"/>
      <c r="AG3030" s="109"/>
      <c r="AH3030" s="109"/>
      <c r="AI3030" s="109"/>
      <c r="AJ3030" s="109"/>
      <c r="AK3030" s="109"/>
      <c r="AL3030" s="109"/>
      <c r="AM3030" s="109"/>
      <c r="AN3030" s="109"/>
      <c r="AO3030" s="109"/>
      <c r="AP3030" s="109"/>
      <c r="AQ3030" s="109"/>
      <c r="AR3030" s="109"/>
      <c r="AS3030" s="109"/>
    </row>
    <row r="3031" spans="1:45" ht="12.6" customHeight="1" x14ac:dyDescent="0.3">
      <c r="A3031" s="68" t="s">
        <v>1971</v>
      </c>
      <c r="B3031" s="97" t="str">
        <f>" 재 료 비  :  "&amp;TEXT(I3031,"#,##0"&amp;IF(I3031&lt;&gt;INT(I3031),".###",""))&amp;" / Q2 * OH = "&amp;TEXT(C3031,"#,##0.0")&amp;""</f>
        <v xml:space="preserve"> 재 료 비  :  24,750 / Q2 * OH = 375.4</v>
      </c>
      <c r="C3031" s="99">
        <f>E3031+D3031+F3031</f>
        <v>375.4</v>
      </c>
      <c r="D3031" s="99">
        <f>IF(H3031=0,0,ROUNDDOWN(J3031*H3031,1))</f>
        <v>0</v>
      </c>
      <c r="E3031" s="99">
        <f>IF(H3031=0,0,ROUNDDOWN(K3031*H3031,1))</f>
        <v>375.4</v>
      </c>
      <c r="F3031" s="99">
        <f>IF(H3031=0,0,ROUNDDOWN(L3031*H3031,1))</f>
        <v>0</v>
      </c>
      <c r="G3031" s="16" t="s">
        <v>1970</v>
      </c>
      <c r="H3031" s="105">
        <f>AE3031</f>
        <v>1.5170670037926673E-2</v>
      </c>
      <c r="I3031" s="106">
        <f>K3031+J3031+L3031</f>
        <v>24750</v>
      </c>
      <c r="K3031" s="39">
        <f>중기목록표!G12</f>
        <v>24750</v>
      </c>
      <c r="M3031" s="20" t="s">
        <v>1969</v>
      </c>
      <c r="N3031" s="20" t="s">
        <v>1332</v>
      </c>
      <c r="X3031" s="108" t="str">
        <f>중기목록표!B12&amp;" / "&amp;중기목록표!C12</f>
        <v>덤프트럭10.5ton(암) / 할증율:1.25</v>
      </c>
      <c r="Y3031" s="19" t="str">
        <f ca="1">HYPERLINK("#"&amp;중기목록표!J2&amp;"!A"&amp;ROW(중기목록표!A12),"중기    9 →")</f>
        <v>중기    9 →</v>
      </c>
      <c r="Z3031" s="20" t="s">
        <v>1393</v>
      </c>
      <c r="AA3031" s="112" t="str">
        <f>AJ3027</f>
        <v>15.82</v>
      </c>
      <c r="AB3031" s="20" t="s">
        <v>1390</v>
      </c>
      <c r="AC3031" s="112" t="str">
        <f>AD3025</f>
        <v>0.24</v>
      </c>
      <c r="AD3031" s="20" t="s">
        <v>1326</v>
      </c>
      <c r="AE3031" s="113">
        <f>1/AJ3027*AD3025</f>
        <v>1.5170670037926673E-2</v>
      </c>
      <c r="AF3031" s="109"/>
      <c r="AG3031" s="109"/>
      <c r="AH3031" s="109"/>
      <c r="AI3031" s="109"/>
      <c r="AJ3031" s="109"/>
      <c r="AK3031" s="109"/>
      <c r="AL3031" s="109"/>
      <c r="AM3031" s="109"/>
      <c r="AN3031" s="109"/>
      <c r="AO3031" s="109"/>
      <c r="AP3031" s="109"/>
      <c r="AQ3031" s="109"/>
      <c r="AR3031" s="109"/>
      <c r="AS3031" s="109"/>
    </row>
    <row r="3032" spans="1:45" ht="12.6" customHeight="1" x14ac:dyDescent="0.3">
      <c r="A3032" s="78"/>
      <c r="B3032" s="78"/>
      <c r="C3032" s="78"/>
      <c r="D3032" s="78"/>
      <c r="E3032" s="78"/>
      <c r="F3032" s="78"/>
      <c r="G3032" s="16" t="s">
        <v>1317</v>
      </c>
      <c r="Z3032" s="109"/>
      <c r="AA3032" s="109"/>
      <c r="AB3032" s="109"/>
      <c r="AC3032" s="109"/>
      <c r="AD3032" s="109"/>
      <c r="AE3032" s="109"/>
      <c r="AF3032" s="109"/>
      <c r="AG3032" s="109"/>
      <c r="AH3032" s="109"/>
      <c r="AI3032" s="109"/>
      <c r="AJ3032" s="109"/>
      <c r="AK3032" s="109"/>
      <c r="AL3032" s="109"/>
      <c r="AM3032" s="109"/>
      <c r="AN3032" s="109"/>
      <c r="AO3032" s="109"/>
      <c r="AP3032" s="109"/>
      <c r="AQ3032" s="109"/>
      <c r="AR3032" s="109"/>
      <c r="AS3032" s="109"/>
    </row>
    <row r="3033" spans="1:45" ht="12.6" customHeight="1" x14ac:dyDescent="0.3">
      <c r="A3033" s="68" t="s">
        <v>1973</v>
      </c>
      <c r="B3033" s="97" t="str">
        <f>" 경    비  :  "&amp;TEXT(I3033,"#,##0"&amp;IF(I3033&lt;&gt;INT(I3033),".###",""))&amp;" / Q2 = "&amp;TEXT(C3033,"#,##0.0")&amp;""</f>
        <v xml:space="preserve"> 경    비  :  13,222 / Q2 = 835.7</v>
      </c>
      <c r="C3033" s="99">
        <f>E3033+D3033+F3033</f>
        <v>835.7</v>
      </c>
      <c r="D3033" s="99">
        <f>IF(H3033=0,0,ROUNDDOWN(J3033*H3033,1))</f>
        <v>0</v>
      </c>
      <c r="E3033" s="99">
        <f>IF(H3033=0,0,ROUNDDOWN(K3033*H3033,1))</f>
        <v>0</v>
      </c>
      <c r="F3033" s="99">
        <f>IF(H3033=0,0,ROUNDDOWN(L3033*H3033,1))</f>
        <v>835.7</v>
      </c>
      <c r="G3033" s="16" t="s">
        <v>1972</v>
      </c>
      <c r="H3033" s="105">
        <f>AC3033</f>
        <v>6.3211125158027806E-2</v>
      </c>
      <c r="I3033" s="106">
        <f>K3033+J3033+L3033</f>
        <v>13222</v>
      </c>
      <c r="L3033" s="39">
        <f>중기목록표!H12</f>
        <v>13222</v>
      </c>
      <c r="M3033" s="20" t="s">
        <v>1969</v>
      </c>
      <c r="N3033" s="20" t="s">
        <v>1332</v>
      </c>
      <c r="X3033" s="108" t="str">
        <f>중기목록표!B12&amp;" / "&amp;중기목록표!C12</f>
        <v>덤프트럭10.5ton(암) / 할증율:1.25</v>
      </c>
      <c r="Y3033" s="19" t="str">
        <f ca="1">HYPERLINK("#"&amp;중기목록표!J2&amp;"!A"&amp;ROW(중기목록표!A12),"중기    9 →")</f>
        <v>중기    9 →</v>
      </c>
      <c r="Z3033" s="20" t="s">
        <v>1393</v>
      </c>
      <c r="AA3033" s="112" t="str">
        <f>AJ3027</f>
        <v>15.82</v>
      </c>
      <c r="AB3033" s="20" t="s">
        <v>1326</v>
      </c>
      <c r="AC3033" s="113">
        <f>1/AJ3027</f>
        <v>6.3211125158027806E-2</v>
      </c>
      <c r="AD3033" s="109"/>
      <c r="AE3033" s="109"/>
      <c r="AF3033" s="109"/>
      <c r="AG3033" s="109"/>
      <c r="AH3033" s="109"/>
      <c r="AI3033" s="109"/>
      <c r="AJ3033" s="109"/>
      <c r="AK3033" s="109"/>
      <c r="AL3033" s="109"/>
      <c r="AM3033" s="109"/>
      <c r="AN3033" s="109"/>
      <c r="AO3033" s="109"/>
      <c r="AP3033" s="109"/>
      <c r="AQ3033" s="109"/>
      <c r="AR3033" s="109"/>
      <c r="AS3033" s="109"/>
    </row>
    <row r="3034" spans="1:45" ht="12.6" customHeight="1" x14ac:dyDescent="0.3">
      <c r="A3034" s="78"/>
      <c r="B3034" s="78"/>
      <c r="C3034" s="78"/>
      <c r="D3034" s="78"/>
      <c r="E3034" s="78"/>
      <c r="F3034" s="78"/>
      <c r="G3034" s="16" t="s">
        <v>1317</v>
      </c>
      <c r="Z3034" s="109"/>
      <c r="AA3034" s="109"/>
      <c r="AB3034" s="109"/>
      <c r="AC3034" s="109"/>
      <c r="AD3034" s="109"/>
      <c r="AE3034" s="109"/>
      <c r="AF3034" s="109"/>
      <c r="AG3034" s="109"/>
      <c r="AH3034" s="109"/>
      <c r="AI3034" s="109"/>
      <c r="AJ3034" s="109"/>
      <c r="AK3034" s="109"/>
      <c r="AL3034" s="109"/>
      <c r="AM3034" s="109"/>
      <c r="AN3034" s="109"/>
      <c r="AO3034" s="109"/>
      <c r="AP3034" s="109"/>
      <c r="AQ3034" s="109"/>
      <c r="AR3034" s="109"/>
      <c r="AS3034" s="109"/>
    </row>
    <row r="3035" spans="1:45" ht="12.6" customHeight="1" x14ac:dyDescent="0.3">
      <c r="A3035" s="68"/>
      <c r="B3035" s="77" t="s">
        <v>1331</v>
      </c>
      <c r="C3035" s="100">
        <f>E3035+D3035+F3035</f>
        <v>4196.6000000000004</v>
      </c>
      <c r="D3035" s="100">
        <f>SUMIF(N3004:N3034,M3035,D3004:D3034)</f>
        <v>2985.5</v>
      </c>
      <c r="E3035" s="100">
        <f>SUMIF(N3004:N3034,M3035,E3004:E3034)</f>
        <v>375.4</v>
      </c>
      <c r="F3035" s="100">
        <f>SUMIF(N3004:N3034,M3035,F3004:F3034)</f>
        <v>835.7</v>
      </c>
      <c r="G3035" s="16" t="s">
        <v>1363</v>
      </c>
      <c r="M3035" s="20" t="s">
        <v>1332</v>
      </c>
      <c r="N3035" s="20" t="s">
        <v>1341</v>
      </c>
      <c r="Z3035" s="109"/>
      <c r="AA3035" s="109"/>
      <c r="AB3035" s="109"/>
      <c r="AC3035" s="109"/>
      <c r="AD3035" s="109"/>
      <c r="AE3035" s="109"/>
      <c r="AF3035" s="109"/>
      <c r="AG3035" s="109"/>
      <c r="AH3035" s="109"/>
      <c r="AI3035" s="109"/>
      <c r="AJ3035" s="109"/>
      <c r="AK3035" s="109"/>
      <c r="AL3035" s="109"/>
      <c r="AM3035" s="109"/>
      <c r="AN3035" s="109"/>
      <c r="AO3035" s="109"/>
      <c r="AP3035" s="109"/>
      <c r="AQ3035" s="109"/>
      <c r="AR3035" s="109"/>
      <c r="AS3035" s="109"/>
    </row>
    <row r="3036" spans="1:45" ht="12.6" customHeight="1" x14ac:dyDescent="0.3">
      <c r="A3036" s="78"/>
      <c r="B3036" s="78"/>
      <c r="C3036" s="98"/>
      <c r="D3036" s="98"/>
      <c r="E3036" s="98"/>
      <c r="F3036" s="98"/>
      <c r="G3036" s="16" t="s">
        <v>1317</v>
      </c>
      <c r="Z3036" s="109"/>
      <c r="AA3036" s="109"/>
      <c r="AB3036" s="109"/>
      <c r="AC3036" s="109"/>
      <c r="AD3036" s="109"/>
      <c r="AE3036" s="109"/>
      <c r="AF3036" s="109"/>
      <c r="AG3036" s="109"/>
      <c r="AH3036" s="109"/>
      <c r="AI3036" s="109"/>
      <c r="AJ3036" s="109"/>
      <c r="AK3036" s="109"/>
      <c r="AL3036" s="109"/>
      <c r="AM3036" s="109"/>
      <c r="AN3036" s="109"/>
      <c r="AO3036" s="109"/>
      <c r="AP3036" s="109"/>
      <c r="AQ3036" s="109"/>
      <c r="AR3036" s="109"/>
      <c r="AS3036" s="109"/>
    </row>
    <row r="3037" spans="1:45" ht="12.6" customHeight="1" x14ac:dyDescent="0.3">
      <c r="A3037" s="68"/>
      <c r="B3037" s="77" t="s">
        <v>1933</v>
      </c>
      <c r="C3037" s="78"/>
      <c r="D3037" s="78"/>
      <c r="E3037" s="78"/>
      <c r="F3037" s="78"/>
      <c r="G3037" s="16" t="s">
        <v>1932</v>
      </c>
      <c r="Z3037" s="109"/>
      <c r="AA3037" s="109"/>
      <c r="AB3037" s="109"/>
      <c r="AC3037" s="109"/>
      <c r="AD3037" s="109"/>
      <c r="AE3037" s="109"/>
      <c r="AF3037" s="109"/>
      <c r="AG3037" s="109"/>
      <c r="AH3037" s="109"/>
      <c r="AI3037" s="109"/>
      <c r="AJ3037" s="109"/>
      <c r="AK3037" s="109"/>
      <c r="AL3037" s="109"/>
      <c r="AM3037" s="109"/>
      <c r="AN3037" s="109"/>
      <c r="AO3037" s="109"/>
      <c r="AP3037" s="109"/>
      <c r="AQ3037" s="109"/>
      <c r="AR3037" s="109"/>
      <c r="AS3037" s="109"/>
    </row>
    <row r="3038" spans="1:45" ht="12.6" customHeight="1" x14ac:dyDescent="0.3">
      <c r="A3038" s="78"/>
      <c r="B3038" s="78"/>
      <c r="C3038" s="78"/>
      <c r="D3038" s="78"/>
      <c r="E3038" s="78"/>
      <c r="F3038" s="78"/>
      <c r="G3038" s="16" t="s">
        <v>1317</v>
      </c>
      <c r="Z3038" s="109"/>
      <c r="AA3038" s="109"/>
      <c r="AB3038" s="109"/>
      <c r="AC3038" s="109"/>
      <c r="AD3038" s="109"/>
      <c r="AE3038" s="109"/>
      <c r="AF3038" s="109"/>
      <c r="AG3038" s="109"/>
      <c r="AH3038" s="109"/>
      <c r="AI3038" s="109"/>
      <c r="AJ3038" s="109"/>
      <c r="AK3038" s="109"/>
      <c r="AL3038" s="109"/>
      <c r="AM3038" s="109"/>
      <c r="AN3038" s="109"/>
      <c r="AO3038" s="109"/>
      <c r="AP3038" s="109"/>
      <c r="AQ3038" s="109"/>
      <c r="AR3038" s="109"/>
      <c r="AS3038" s="109"/>
    </row>
    <row r="3039" spans="1:45" ht="12.6" customHeight="1" x14ac:dyDescent="0.3">
      <c r="A3039" s="68"/>
      <c r="B3039" s="97" t="str">
        <f>"q (버킷용량) = "&amp;Z3039&amp;" , k (버킷계수) = "&amp;AD3039&amp;" , f (체적환산계수) = "&amp;AH3039&amp;""</f>
        <v>q (버킷용량) = 0.7 , k (버킷계수) = 0.7 , f (체적환산계수) = 1</v>
      </c>
      <c r="C3039" s="78"/>
      <c r="D3039" s="78"/>
      <c r="E3039" s="78"/>
      <c r="F3039" s="78"/>
      <c r="G3039" s="16" t="s">
        <v>1934</v>
      </c>
      <c r="Z3039" s="110">
        <v>0.7</v>
      </c>
      <c r="AA3039" s="20" t="s">
        <v>1326</v>
      </c>
      <c r="AB3039" s="112">
        <f>Z3039</f>
        <v>0.7</v>
      </c>
      <c r="AC3039" s="20" t="s">
        <v>1385</v>
      </c>
      <c r="AD3039" s="110">
        <v>0.7</v>
      </c>
      <c r="AE3039" s="20" t="s">
        <v>1326</v>
      </c>
      <c r="AF3039" s="112">
        <f>AD3039</f>
        <v>0.7</v>
      </c>
      <c r="AG3039" s="20" t="s">
        <v>1385</v>
      </c>
      <c r="AH3039" s="111">
        <v>1</v>
      </c>
      <c r="AI3039" s="20" t="s">
        <v>1326</v>
      </c>
      <c r="AJ3039" s="112">
        <f>AH3039</f>
        <v>1</v>
      </c>
      <c r="AK3039" s="20" t="s">
        <v>1385</v>
      </c>
      <c r="AL3039" s="109"/>
      <c r="AM3039" s="109"/>
      <c r="AN3039" s="109"/>
      <c r="AO3039" s="109"/>
      <c r="AP3039" s="109"/>
      <c r="AQ3039" s="109"/>
      <c r="AR3039" s="109"/>
      <c r="AS3039" s="109"/>
    </row>
    <row r="3040" spans="1:45" ht="12.6" customHeight="1" x14ac:dyDescent="0.3">
      <c r="A3040" s="78"/>
      <c r="B3040" s="78"/>
      <c r="C3040" s="78"/>
      <c r="D3040" s="78"/>
      <c r="E3040" s="78"/>
      <c r="F3040" s="78"/>
      <c r="G3040" s="16" t="s">
        <v>1317</v>
      </c>
      <c r="Z3040" s="109"/>
      <c r="AA3040" s="109"/>
      <c r="AB3040" s="109"/>
      <c r="AC3040" s="109"/>
      <c r="AD3040" s="109"/>
      <c r="AE3040" s="109"/>
      <c r="AF3040" s="109"/>
      <c r="AG3040" s="109"/>
      <c r="AH3040" s="109"/>
      <c r="AI3040" s="109"/>
      <c r="AJ3040" s="109"/>
      <c r="AK3040" s="109"/>
      <c r="AL3040" s="109"/>
      <c r="AM3040" s="109"/>
      <c r="AN3040" s="109"/>
      <c r="AO3040" s="109"/>
      <c r="AP3040" s="109"/>
      <c r="AQ3040" s="109"/>
      <c r="AR3040" s="109"/>
      <c r="AS3040" s="109"/>
    </row>
    <row r="3041" spans="1:45" ht="12.6" customHeight="1" x14ac:dyDescent="0.3">
      <c r="A3041" s="68"/>
      <c r="B3041" s="97" t="str">
        <f>"E (작업효율) = "&amp;Z3041&amp;" , Cm (1회 사이클 시간(초)) = "&amp;AD3041&amp;"  sec(90) "</f>
        <v xml:space="preserve">E (작업효율) = 0.45 , Cm (1회 사이클 시간(초)) = 18  sec(90) </v>
      </c>
      <c r="C3041" s="78"/>
      <c r="D3041" s="78"/>
      <c r="E3041" s="78"/>
      <c r="F3041" s="78"/>
      <c r="G3041" s="16" t="s">
        <v>1974</v>
      </c>
      <c r="Z3041" s="110">
        <v>0.45</v>
      </c>
      <c r="AA3041" s="20" t="s">
        <v>1326</v>
      </c>
      <c r="AB3041" s="112">
        <f>Z3041</f>
        <v>0.45</v>
      </c>
      <c r="AC3041" s="20" t="s">
        <v>1385</v>
      </c>
      <c r="AD3041" s="111">
        <v>18</v>
      </c>
      <c r="AE3041" s="20" t="s">
        <v>1326</v>
      </c>
      <c r="AF3041" s="112">
        <f>AD3041</f>
        <v>18</v>
      </c>
      <c r="AG3041" s="20" t="s">
        <v>1385</v>
      </c>
      <c r="AH3041" s="109"/>
      <c r="AI3041" s="109"/>
      <c r="AJ3041" s="109"/>
      <c r="AK3041" s="109"/>
      <c r="AL3041" s="109"/>
      <c r="AM3041" s="109"/>
      <c r="AN3041" s="109"/>
      <c r="AO3041" s="109"/>
      <c r="AP3041" s="109"/>
      <c r="AQ3041" s="109"/>
      <c r="AR3041" s="109"/>
      <c r="AS3041" s="109"/>
    </row>
    <row r="3042" spans="1:45" ht="12.6" customHeight="1" x14ac:dyDescent="0.3">
      <c r="A3042" s="78"/>
      <c r="B3042" s="78"/>
      <c r="C3042" s="78"/>
      <c r="D3042" s="78"/>
      <c r="E3042" s="78"/>
      <c r="F3042" s="78"/>
      <c r="G3042" s="16" t="s">
        <v>1317</v>
      </c>
      <c r="Z3042" s="109"/>
      <c r="AA3042" s="109"/>
      <c r="AB3042" s="109"/>
      <c r="AC3042" s="109"/>
      <c r="AD3042" s="109"/>
      <c r="AE3042" s="109"/>
      <c r="AF3042" s="109"/>
      <c r="AG3042" s="109"/>
      <c r="AH3042" s="109"/>
      <c r="AI3042" s="109"/>
      <c r="AJ3042" s="109"/>
      <c r="AK3042" s="109"/>
      <c r="AL3042" s="109"/>
      <c r="AM3042" s="109"/>
      <c r="AN3042" s="109"/>
      <c r="AO3042" s="109"/>
      <c r="AP3042" s="109"/>
      <c r="AQ3042" s="109"/>
      <c r="AR3042" s="109"/>
      <c r="AS3042" s="109"/>
    </row>
    <row r="3043" spans="1:45" ht="12.6" customHeight="1" x14ac:dyDescent="0.3">
      <c r="A3043" s="68"/>
      <c r="B3043" s="97" t="str">
        <f>"Q3 (시간당 작업량) = "&amp;Z3043&amp;"*q*k*E*f/Cm = "&amp;AL3043&amp;" m3/hr "</f>
        <v xml:space="preserve">Q3 (시간당 작업량) = 3600*q*k*E*f/Cm = 44.10 m3/hr </v>
      </c>
      <c r="C3043" s="78"/>
      <c r="D3043" s="78"/>
      <c r="E3043" s="78"/>
      <c r="F3043" s="78"/>
      <c r="G3043" s="16" t="s">
        <v>1975</v>
      </c>
      <c r="Z3043" s="111">
        <v>3600</v>
      </c>
      <c r="AA3043" s="20" t="s">
        <v>1390</v>
      </c>
      <c r="AB3043" s="112">
        <f>AB3039</f>
        <v>0.7</v>
      </c>
      <c r="AC3043" s="20" t="s">
        <v>1390</v>
      </c>
      <c r="AD3043" s="112">
        <f>AF3039</f>
        <v>0.7</v>
      </c>
      <c r="AE3043" s="20" t="s">
        <v>1390</v>
      </c>
      <c r="AF3043" s="112">
        <f>AB3041</f>
        <v>0.45</v>
      </c>
      <c r="AG3043" s="20" t="s">
        <v>1390</v>
      </c>
      <c r="AH3043" s="112">
        <f>AJ3039</f>
        <v>1</v>
      </c>
      <c r="AI3043" s="20" t="s">
        <v>1387</v>
      </c>
      <c r="AJ3043" s="112">
        <f>AF3041</f>
        <v>18</v>
      </c>
      <c r="AK3043" s="20" t="s">
        <v>1326</v>
      </c>
      <c r="AL3043" s="112" t="str">
        <f>TEXT(ROUND(Z3043*AB3039*AF3039*AB3041*AJ3039/AF3041,2),"0.00")</f>
        <v>44.10</v>
      </c>
      <c r="AM3043" s="109"/>
      <c r="AN3043" s="109"/>
      <c r="AO3043" s="109"/>
      <c r="AP3043" s="109"/>
      <c r="AQ3043" s="109"/>
      <c r="AR3043" s="109"/>
      <c r="AS3043" s="109"/>
    </row>
    <row r="3044" spans="1:45" ht="12.6" customHeight="1" x14ac:dyDescent="0.3">
      <c r="A3044" s="78"/>
      <c r="B3044" s="78"/>
      <c r="C3044" s="78"/>
      <c r="D3044" s="78"/>
      <c r="E3044" s="78"/>
      <c r="F3044" s="78"/>
      <c r="G3044" s="16" t="s">
        <v>1317</v>
      </c>
      <c r="Z3044" s="109"/>
      <c r="AA3044" s="109"/>
      <c r="AB3044" s="109"/>
      <c r="AC3044" s="109"/>
      <c r="AD3044" s="109"/>
      <c r="AE3044" s="109"/>
      <c r="AF3044" s="109"/>
      <c r="AG3044" s="109"/>
      <c r="AH3044" s="109"/>
      <c r="AI3044" s="109"/>
      <c r="AJ3044" s="109"/>
      <c r="AK3044" s="109"/>
      <c r="AL3044" s="109"/>
      <c r="AM3044" s="109"/>
      <c r="AN3044" s="109"/>
      <c r="AO3044" s="109"/>
      <c r="AP3044" s="109"/>
      <c r="AQ3044" s="109"/>
      <c r="AR3044" s="109"/>
      <c r="AS3044" s="109"/>
    </row>
    <row r="3045" spans="1:45" ht="12.6" customHeight="1" x14ac:dyDescent="0.3">
      <c r="A3045" s="68" t="s">
        <v>1441</v>
      </c>
      <c r="B3045" s="97" t="str">
        <f>" 노 무 비  :  "&amp;TEXT(I3045,"#,##0"&amp;IF(I3045&lt;&gt;INT(I3045),".###",""))&amp;" / Q3/ "&amp;AC3045&amp;" = "&amp;TEXT(C3045,"#,##0.0")&amp;""</f>
        <v xml:space="preserve"> 노 무 비  :  55,700 / Q3/ 3 = 421.0</v>
      </c>
      <c r="C3045" s="99">
        <f>E3045+D3045+F3045</f>
        <v>421</v>
      </c>
      <c r="D3045" s="99">
        <f>IF(H3045=0,0,ROUNDDOWN(J3045*H3045,1))</f>
        <v>421</v>
      </c>
      <c r="E3045" s="99">
        <f>IF(H3045=0,0,ROUNDDOWN(K3045*H3045,1))</f>
        <v>0</v>
      </c>
      <c r="F3045" s="99">
        <f>IF(H3045=0,0,ROUNDDOWN(L3045*H3045,1))</f>
        <v>0</v>
      </c>
      <c r="G3045" s="16" t="s">
        <v>1976</v>
      </c>
      <c r="H3045" s="105">
        <f>AE3045</f>
        <v>7.5585789871504159E-3</v>
      </c>
      <c r="I3045" s="106">
        <f>K3045+J3045+L3045</f>
        <v>55700</v>
      </c>
      <c r="J3045" s="39">
        <f>중기목록표!F9</f>
        <v>55700</v>
      </c>
      <c r="M3045" s="20" t="s">
        <v>1442</v>
      </c>
      <c r="N3045" s="20" t="s">
        <v>1332</v>
      </c>
      <c r="X3045" s="108" t="str">
        <f>중기목록표!B9&amp;" / "&amp;중기목록표!C9</f>
        <v>굴삭기(0.7m3) / 0.7㎥,(암석)</v>
      </c>
      <c r="Y3045" s="19" t="str">
        <f ca="1">HYPERLINK("#"&amp;중기목록표!J2&amp;"!A"&amp;ROW(중기목록표!A9),"중기    6 →")</f>
        <v>중기    6 →</v>
      </c>
      <c r="Z3045" s="20" t="s">
        <v>1393</v>
      </c>
      <c r="AA3045" s="112" t="str">
        <f>AL3043</f>
        <v>44.10</v>
      </c>
      <c r="AB3045" s="20" t="s">
        <v>1387</v>
      </c>
      <c r="AC3045" s="111">
        <v>3</v>
      </c>
      <c r="AD3045" s="20" t="s">
        <v>1326</v>
      </c>
      <c r="AE3045" s="113">
        <f>1/AL3043/AC3045</f>
        <v>7.5585789871504159E-3</v>
      </c>
      <c r="AF3045" s="109"/>
      <c r="AG3045" s="109"/>
      <c r="AH3045" s="109"/>
      <c r="AI3045" s="109"/>
      <c r="AJ3045" s="109"/>
      <c r="AK3045" s="109"/>
      <c r="AL3045" s="109"/>
      <c r="AM3045" s="109"/>
      <c r="AN3045" s="109"/>
      <c r="AO3045" s="109"/>
      <c r="AP3045" s="109"/>
      <c r="AQ3045" s="109"/>
      <c r="AR3045" s="109"/>
      <c r="AS3045" s="109"/>
    </row>
    <row r="3046" spans="1:45" ht="12.6" customHeight="1" x14ac:dyDescent="0.3">
      <c r="A3046" s="78"/>
      <c r="B3046" s="78"/>
      <c r="C3046" s="78"/>
      <c r="D3046" s="78"/>
      <c r="E3046" s="78"/>
      <c r="F3046" s="78"/>
      <c r="G3046" s="16" t="s">
        <v>1317</v>
      </c>
      <c r="Z3046" s="109"/>
      <c r="AA3046" s="109"/>
      <c r="AB3046" s="109"/>
      <c r="AC3046" s="109"/>
      <c r="AD3046" s="109"/>
      <c r="AE3046" s="109"/>
      <c r="AF3046" s="109"/>
      <c r="AG3046" s="109"/>
      <c r="AH3046" s="109"/>
      <c r="AI3046" s="109"/>
      <c r="AJ3046" s="109"/>
      <c r="AK3046" s="109"/>
      <c r="AL3046" s="109"/>
      <c r="AM3046" s="109"/>
      <c r="AN3046" s="109"/>
      <c r="AO3046" s="109"/>
      <c r="AP3046" s="109"/>
      <c r="AQ3046" s="109"/>
      <c r="AR3046" s="109"/>
      <c r="AS3046" s="109"/>
    </row>
    <row r="3047" spans="1:45" ht="12.6" customHeight="1" x14ac:dyDescent="0.3">
      <c r="A3047" s="68" t="s">
        <v>1444</v>
      </c>
      <c r="B3047" s="97" t="str">
        <f>" 재 료 비  :  "&amp;TEXT(I3047,"#,##0"&amp;IF(I3047&lt;&gt;INT(I3047),".###",""))&amp;" / Q3/ "&amp;AC3047&amp;" = "&amp;TEXT(C3047,"#,##0.0")&amp;""</f>
        <v xml:space="preserve"> 재 료 비  :  18,001 / Q3/ 3 = 136.0</v>
      </c>
      <c r="C3047" s="99">
        <f>E3047+D3047+F3047</f>
        <v>136</v>
      </c>
      <c r="D3047" s="99">
        <f>IF(H3047=0,0,ROUNDDOWN(J3047*H3047,1))</f>
        <v>0</v>
      </c>
      <c r="E3047" s="99">
        <f>IF(H3047=0,0,ROUNDDOWN(K3047*H3047,1))</f>
        <v>136</v>
      </c>
      <c r="F3047" s="99">
        <f>IF(H3047=0,0,ROUNDDOWN(L3047*H3047,1))</f>
        <v>0</v>
      </c>
      <c r="G3047" s="16" t="s">
        <v>1977</v>
      </c>
      <c r="H3047" s="105">
        <f>AE3047</f>
        <v>7.5585789871504159E-3</v>
      </c>
      <c r="I3047" s="106">
        <f>K3047+J3047+L3047</f>
        <v>18001</v>
      </c>
      <c r="K3047" s="39">
        <f>중기목록표!G9</f>
        <v>18001</v>
      </c>
      <c r="M3047" s="20" t="s">
        <v>1442</v>
      </c>
      <c r="N3047" s="20" t="s">
        <v>1332</v>
      </c>
      <c r="X3047" s="108" t="str">
        <f>중기목록표!B9&amp;" / "&amp;중기목록표!C9</f>
        <v>굴삭기(0.7m3) / 0.7㎥,(암석)</v>
      </c>
      <c r="Y3047" s="19" t="str">
        <f ca="1">HYPERLINK("#"&amp;중기목록표!J2&amp;"!A"&amp;ROW(중기목록표!A9),"중기    6 →")</f>
        <v>중기    6 →</v>
      </c>
      <c r="Z3047" s="20" t="s">
        <v>1393</v>
      </c>
      <c r="AA3047" s="112" t="str">
        <f>AL3043</f>
        <v>44.10</v>
      </c>
      <c r="AB3047" s="20" t="s">
        <v>1387</v>
      </c>
      <c r="AC3047" s="111">
        <v>3</v>
      </c>
      <c r="AD3047" s="20" t="s">
        <v>1326</v>
      </c>
      <c r="AE3047" s="113">
        <f>1/AL3043/AC3047</f>
        <v>7.5585789871504159E-3</v>
      </c>
      <c r="AF3047" s="109"/>
      <c r="AG3047" s="109"/>
      <c r="AH3047" s="109"/>
      <c r="AI3047" s="109"/>
      <c r="AJ3047" s="109"/>
      <c r="AK3047" s="109"/>
      <c r="AL3047" s="109"/>
      <c r="AM3047" s="109"/>
      <c r="AN3047" s="109"/>
      <c r="AO3047" s="109"/>
      <c r="AP3047" s="109"/>
      <c r="AQ3047" s="109"/>
      <c r="AR3047" s="109"/>
      <c r="AS3047" s="109"/>
    </row>
    <row r="3048" spans="1:45" ht="12.6" customHeight="1" x14ac:dyDescent="0.3">
      <c r="A3048" s="78"/>
      <c r="B3048" s="78"/>
      <c r="C3048" s="78"/>
      <c r="D3048" s="78"/>
      <c r="E3048" s="78"/>
      <c r="F3048" s="78"/>
      <c r="G3048" s="16" t="s">
        <v>1317</v>
      </c>
      <c r="Z3048" s="109"/>
      <c r="AA3048" s="109"/>
      <c r="AB3048" s="109"/>
      <c r="AC3048" s="109"/>
      <c r="AD3048" s="109"/>
      <c r="AE3048" s="109"/>
      <c r="AF3048" s="109"/>
      <c r="AG3048" s="109"/>
      <c r="AH3048" s="109"/>
      <c r="AI3048" s="109"/>
      <c r="AJ3048" s="109"/>
      <c r="AK3048" s="109"/>
      <c r="AL3048" s="109"/>
      <c r="AM3048" s="109"/>
      <c r="AN3048" s="109"/>
      <c r="AO3048" s="109"/>
      <c r="AP3048" s="109"/>
      <c r="AQ3048" s="109"/>
      <c r="AR3048" s="109"/>
      <c r="AS3048" s="109"/>
    </row>
    <row r="3049" spans="1:45" ht="12.6" customHeight="1" x14ac:dyDescent="0.3">
      <c r="A3049" s="68" t="s">
        <v>1446</v>
      </c>
      <c r="B3049" s="97" t="str">
        <f>" 경    비  :  "&amp;TEXT(I3049,"#,##0"&amp;IF(I3049&lt;&gt;INT(I3049),".###",""))&amp;" / Q3/ "&amp;AC3049&amp;" = "&amp;TEXT(C3049,"#,##0.0")&amp;""</f>
        <v xml:space="preserve"> 경    비  :  26,677 / Q3/ 3 = 201.6</v>
      </c>
      <c r="C3049" s="99">
        <f>E3049+D3049+F3049</f>
        <v>201.6</v>
      </c>
      <c r="D3049" s="99">
        <f>IF(H3049=0,0,ROUNDDOWN(J3049*H3049,1))</f>
        <v>0</v>
      </c>
      <c r="E3049" s="99">
        <f>IF(H3049=0,0,ROUNDDOWN(K3049*H3049,1))</f>
        <v>0</v>
      </c>
      <c r="F3049" s="99">
        <f>IF(H3049=0,0,ROUNDDOWN(L3049*H3049,1))</f>
        <v>201.6</v>
      </c>
      <c r="G3049" s="16" t="s">
        <v>1978</v>
      </c>
      <c r="H3049" s="105">
        <f>AE3049</f>
        <v>7.5585789871504159E-3</v>
      </c>
      <c r="I3049" s="106">
        <f>K3049+J3049+L3049</f>
        <v>26677</v>
      </c>
      <c r="L3049" s="39">
        <f>중기목록표!H9</f>
        <v>26677</v>
      </c>
      <c r="M3049" s="20" t="s">
        <v>1442</v>
      </c>
      <c r="N3049" s="20" t="s">
        <v>1332</v>
      </c>
      <c r="X3049" s="108" t="str">
        <f>중기목록표!B9&amp;" / "&amp;중기목록표!C9</f>
        <v>굴삭기(0.7m3) / 0.7㎥,(암석)</v>
      </c>
      <c r="Y3049" s="19" t="str">
        <f ca="1">HYPERLINK("#"&amp;중기목록표!J2&amp;"!A"&amp;ROW(중기목록표!A9),"중기    6 →")</f>
        <v>중기    6 →</v>
      </c>
      <c r="Z3049" s="20" t="s">
        <v>1393</v>
      </c>
      <c r="AA3049" s="112" t="str">
        <f>AL3043</f>
        <v>44.10</v>
      </c>
      <c r="AB3049" s="20" t="s">
        <v>1387</v>
      </c>
      <c r="AC3049" s="111">
        <v>3</v>
      </c>
      <c r="AD3049" s="20" t="s">
        <v>1326</v>
      </c>
      <c r="AE3049" s="113">
        <f>1/AL3043/AC3049</f>
        <v>7.5585789871504159E-3</v>
      </c>
      <c r="AF3049" s="109"/>
      <c r="AG3049" s="109"/>
      <c r="AH3049" s="109"/>
      <c r="AI3049" s="109"/>
      <c r="AJ3049" s="109"/>
      <c r="AK3049" s="109"/>
      <c r="AL3049" s="109"/>
      <c r="AM3049" s="109"/>
      <c r="AN3049" s="109"/>
      <c r="AO3049" s="109"/>
      <c r="AP3049" s="109"/>
      <c r="AQ3049" s="109"/>
      <c r="AR3049" s="109"/>
      <c r="AS3049" s="109"/>
    </row>
    <row r="3050" spans="1:45" ht="12.6" customHeight="1" x14ac:dyDescent="0.3">
      <c r="A3050" s="78"/>
      <c r="B3050" s="78"/>
      <c r="C3050" s="78"/>
      <c r="D3050" s="78"/>
      <c r="E3050" s="78"/>
      <c r="F3050" s="78"/>
      <c r="G3050" s="16" t="s">
        <v>1317</v>
      </c>
      <c r="Z3050" s="109"/>
      <c r="AA3050" s="109"/>
      <c r="AB3050" s="109"/>
      <c r="AC3050" s="109"/>
      <c r="AD3050" s="109"/>
      <c r="AE3050" s="109"/>
      <c r="AF3050" s="109"/>
      <c r="AG3050" s="109"/>
      <c r="AH3050" s="109"/>
      <c r="AI3050" s="109"/>
      <c r="AJ3050" s="109"/>
      <c r="AK3050" s="109"/>
      <c r="AL3050" s="109"/>
      <c r="AM3050" s="109"/>
      <c r="AN3050" s="109"/>
      <c r="AO3050" s="109"/>
      <c r="AP3050" s="109"/>
      <c r="AQ3050" s="109"/>
      <c r="AR3050" s="109"/>
      <c r="AS3050" s="109"/>
    </row>
    <row r="3051" spans="1:45" ht="12.6" customHeight="1" x14ac:dyDescent="0.3">
      <c r="A3051" s="68"/>
      <c r="B3051" s="77" t="s">
        <v>1331</v>
      </c>
      <c r="C3051" s="100">
        <f>E3051+D3051+F3051</f>
        <v>758.6</v>
      </c>
      <c r="D3051" s="100">
        <f>SUMIF(N3036:N3050,M3051,D3036:D3050)</f>
        <v>421</v>
      </c>
      <c r="E3051" s="100">
        <f>SUMIF(N3036:N3050,M3051,E3036:E3050)</f>
        <v>136</v>
      </c>
      <c r="F3051" s="100">
        <f>SUMIF(N3036:N3050,M3051,F3036:F3050)</f>
        <v>201.6</v>
      </c>
      <c r="G3051" s="16" t="s">
        <v>1415</v>
      </c>
      <c r="M3051" s="20" t="s">
        <v>1332</v>
      </c>
      <c r="N3051" s="20" t="s">
        <v>1341</v>
      </c>
      <c r="Z3051" s="109"/>
      <c r="AA3051" s="109"/>
      <c r="AB3051" s="109"/>
      <c r="AC3051" s="109"/>
      <c r="AD3051" s="109"/>
      <c r="AE3051" s="109"/>
      <c r="AF3051" s="109"/>
      <c r="AG3051" s="109"/>
      <c r="AH3051" s="109"/>
      <c r="AI3051" s="109"/>
      <c r="AJ3051" s="109"/>
      <c r="AK3051" s="109"/>
      <c r="AL3051" s="109"/>
      <c r="AM3051" s="109"/>
      <c r="AN3051" s="109"/>
      <c r="AO3051" s="109"/>
      <c r="AP3051" s="109"/>
      <c r="AQ3051" s="109"/>
      <c r="AR3051" s="109"/>
      <c r="AS3051" s="109"/>
    </row>
    <row r="3052" spans="1:45" ht="12.6" customHeight="1" x14ac:dyDescent="0.3">
      <c r="A3052" s="78"/>
      <c r="B3052" s="78"/>
      <c r="C3052" s="98"/>
      <c r="D3052" s="98"/>
      <c r="E3052" s="98"/>
      <c r="F3052" s="98"/>
      <c r="G3052" s="16" t="s">
        <v>1317</v>
      </c>
      <c r="Z3052" s="109"/>
      <c r="AA3052" s="109"/>
      <c r="AB3052" s="109"/>
      <c r="AC3052" s="109"/>
      <c r="AD3052" s="109"/>
      <c r="AE3052" s="109"/>
      <c r="AF3052" s="109"/>
      <c r="AG3052" s="109"/>
      <c r="AH3052" s="109"/>
      <c r="AI3052" s="109"/>
      <c r="AJ3052" s="109"/>
      <c r="AK3052" s="109"/>
      <c r="AL3052" s="109"/>
      <c r="AM3052" s="109"/>
      <c r="AN3052" s="109"/>
      <c r="AO3052" s="109"/>
      <c r="AP3052" s="109"/>
      <c r="AQ3052" s="109"/>
      <c r="AR3052" s="109"/>
      <c r="AS3052" s="109"/>
    </row>
    <row r="3053" spans="1:45" ht="12.6" customHeight="1" x14ac:dyDescent="0.3">
      <c r="A3053" s="68"/>
      <c r="B3053" s="77" t="s">
        <v>1340</v>
      </c>
      <c r="C3053" s="100">
        <f>E3053+D3053+F3053</f>
        <v>8880.6</v>
      </c>
      <c r="D3053" s="100">
        <f>SUMIF(N2947:N3052,M3053,D2947:D3052)</f>
        <v>5584.8</v>
      </c>
      <c r="E3053" s="100">
        <f>SUMIF(N2947:N3052,M3053,E2947:E3052)</f>
        <v>1215.3</v>
      </c>
      <c r="F3053" s="100">
        <f>SUMIF(N2947:N3052,M3053,F2947:F3052)</f>
        <v>2080.5</v>
      </c>
      <c r="G3053" s="16" t="s">
        <v>1380</v>
      </c>
      <c r="M3053" s="20" t="s">
        <v>1341</v>
      </c>
      <c r="N3053" s="20" t="s">
        <v>1128</v>
      </c>
      <c r="Z3053" s="109"/>
      <c r="AA3053" s="109"/>
      <c r="AB3053" s="109"/>
      <c r="AC3053" s="109"/>
      <c r="AD3053" s="109"/>
      <c r="AE3053" s="109"/>
      <c r="AF3053" s="109"/>
      <c r="AG3053" s="109"/>
      <c r="AH3053" s="109"/>
      <c r="AI3053" s="109"/>
      <c r="AJ3053" s="109"/>
      <c r="AK3053" s="109"/>
      <c r="AL3053" s="109"/>
      <c r="AM3053" s="109"/>
      <c r="AN3053" s="109"/>
      <c r="AO3053" s="109"/>
      <c r="AP3053" s="109"/>
      <c r="AQ3053" s="109"/>
      <c r="AR3053" s="109"/>
      <c r="AS3053" s="109"/>
    </row>
    <row r="3054" spans="1:45" ht="12.6" customHeight="1" x14ac:dyDescent="0.3">
      <c r="A3054" s="78"/>
      <c r="B3054" s="78"/>
      <c r="C3054" s="98"/>
      <c r="D3054" s="98"/>
      <c r="E3054" s="98"/>
      <c r="F3054" s="98"/>
      <c r="Z3054" s="109"/>
      <c r="AA3054" s="109"/>
      <c r="AB3054" s="109"/>
      <c r="AC3054" s="109"/>
      <c r="AD3054" s="109"/>
      <c r="AE3054" s="109"/>
      <c r="AF3054" s="109"/>
      <c r="AG3054" s="109"/>
      <c r="AH3054" s="109"/>
      <c r="AI3054" s="109"/>
      <c r="AJ3054" s="109"/>
      <c r="AK3054" s="109"/>
      <c r="AL3054" s="109"/>
      <c r="AM3054" s="109"/>
      <c r="AN3054" s="109"/>
      <c r="AO3054" s="109"/>
      <c r="AP3054" s="109"/>
      <c r="AQ3054" s="109"/>
      <c r="AR3054" s="109"/>
      <c r="AS3054" s="109"/>
    </row>
    <row r="3055" spans="1:45" ht="12.6" customHeight="1" x14ac:dyDescent="0.3">
      <c r="A3055" s="78"/>
      <c r="B3055" s="78"/>
      <c r="C3055" s="78"/>
      <c r="D3055" s="78"/>
      <c r="E3055" s="78"/>
      <c r="F3055" s="78"/>
      <c r="Z3055" s="109"/>
      <c r="AA3055" s="109"/>
      <c r="AB3055" s="109"/>
      <c r="AC3055" s="109"/>
      <c r="AD3055" s="109"/>
      <c r="AE3055" s="109"/>
      <c r="AF3055" s="109"/>
      <c r="AG3055" s="109"/>
      <c r="AH3055" s="109"/>
      <c r="AI3055" s="109"/>
      <c r="AJ3055" s="109"/>
      <c r="AK3055" s="109"/>
      <c r="AL3055" s="109"/>
      <c r="AM3055" s="109"/>
      <c r="AN3055" s="109"/>
      <c r="AO3055" s="109"/>
      <c r="AP3055" s="109"/>
      <c r="AQ3055" s="109"/>
      <c r="AR3055" s="109"/>
      <c r="AS3055" s="109"/>
    </row>
    <row r="3056" spans="1:45" ht="12.6" customHeight="1" x14ac:dyDescent="0.3">
      <c r="A3056" s="78"/>
      <c r="B3056" s="78"/>
      <c r="C3056" s="78"/>
      <c r="D3056" s="78"/>
      <c r="E3056" s="78"/>
      <c r="F3056" s="78"/>
      <c r="Z3056" s="109"/>
      <c r="AA3056" s="109"/>
      <c r="AB3056" s="109"/>
      <c r="AC3056" s="109"/>
      <c r="AD3056" s="109"/>
      <c r="AE3056" s="109"/>
      <c r="AF3056" s="109"/>
      <c r="AG3056" s="109"/>
      <c r="AH3056" s="109"/>
      <c r="AI3056" s="109"/>
      <c r="AJ3056" s="109"/>
      <c r="AK3056" s="109"/>
      <c r="AL3056" s="109"/>
      <c r="AM3056" s="109"/>
      <c r="AN3056" s="109"/>
      <c r="AO3056" s="109"/>
      <c r="AP3056" s="109"/>
      <c r="AQ3056" s="109"/>
      <c r="AR3056" s="109"/>
      <c r="AS3056" s="109"/>
    </row>
    <row r="3057" spans="1:45" ht="12.6" customHeight="1" x14ac:dyDescent="0.3">
      <c r="A3057" s="78"/>
      <c r="B3057" s="78"/>
      <c r="C3057" s="78"/>
      <c r="D3057" s="78"/>
      <c r="E3057" s="78"/>
      <c r="F3057" s="78"/>
      <c r="Z3057" s="109"/>
      <c r="AA3057" s="109"/>
      <c r="AB3057" s="109"/>
      <c r="AC3057" s="109"/>
      <c r="AD3057" s="109"/>
      <c r="AE3057" s="109"/>
      <c r="AF3057" s="109"/>
      <c r="AG3057" s="109"/>
      <c r="AH3057" s="109"/>
      <c r="AI3057" s="109"/>
      <c r="AJ3057" s="109"/>
      <c r="AK3057" s="109"/>
      <c r="AL3057" s="109"/>
      <c r="AM3057" s="109"/>
      <c r="AN3057" s="109"/>
      <c r="AO3057" s="109"/>
      <c r="AP3057" s="109"/>
      <c r="AQ3057" s="109"/>
      <c r="AR3057" s="109"/>
      <c r="AS3057" s="109"/>
    </row>
    <row r="3058" spans="1:45" ht="12.6" customHeight="1" x14ac:dyDescent="0.3">
      <c r="A3058" s="78"/>
      <c r="B3058" s="78"/>
      <c r="C3058" s="78"/>
      <c r="D3058" s="78"/>
      <c r="E3058" s="78"/>
      <c r="F3058" s="78"/>
      <c r="Z3058" s="109"/>
      <c r="AA3058" s="109"/>
      <c r="AB3058" s="109"/>
      <c r="AC3058" s="109"/>
      <c r="AD3058" s="109"/>
      <c r="AE3058" s="109"/>
      <c r="AF3058" s="109"/>
      <c r="AG3058" s="109"/>
      <c r="AH3058" s="109"/>
      <c r="AI3058" s="109"/>
      <c r="AJ3058" s="109"/>
      <c r="AK3058" s="109"/>
      <c r="AL3058" s="109"/>
      <c r="AM3058" s="109"/>
      <c r="AN3058" s="109"/>
      <c r="AO3058" s="109"/>
      <c r="AP3058" s="109"/>
      <c r="AQ3058" s="109"/>
      <c r="AR3058" s="109"/>
      <c r="AS3058" s="109"/>
    </row>
    <row r="3059" spans="1:45" ht="12.6" customHeight="1" x14ac:dyDescent="0.3">
      <c r="A3059" s="78"/>
      <c r="B3059" s="78"/>
      <c r="C3059" s="78"/>
      <c r="D3059" s="78"/>
      <c r="E3059" s="78"/>
      <c r="F3059" s="78"/>
      <c r="Z3059" s="109"/>
      <c r="AA3059" s="109"/>
      <c r="AB3059" s="109"/>
      <c r="AC3059" s="109"/>
      <c r="AD3059" s="109"/>
      <c r="AE3059" s="109"/>
      <c r="AF3059" s="109"/>
      <c r="AG3059" s="109"/>
      <c r="AH3059" s="109"/>
      <c r="AI3059" s="109"/>
      <c r="AJ3059" s="109"/>
      <c r="AK3059" s="109"/>
      <c r="AL3059" s="109"/>
      <c r="AM3059" s="109"/>
      <c r="AN3059" s="109"/>
      <c r="AO3059" s="109"/>
      <c r="AP3059" s="109"/>
      <c r="AQ3059" s="109"/>
      <c r="AR3059" s="109"/>
      <c r="AS3059" s="109"/>
    </row>
    <row r="3060" spans="1:45" ht="12.6" customHeight="1" x14ac:dyDescent="0.3">
      <c r="A3060" s="78"/>
      <c r="B3060" s="78"/>
      <c r="C3060" s="78"/>
      <c r="D3060" s="78"/>
      <c r="E3060" s="78"/>
      <c r="F3060" s="78"/>
      <c r="Z3060" s="109"/>
      <c r="AA3060" s="109"/>
      <c r="AB3060" s="109"/>
      <c r="AC3060" s="109"/>
      <c r="AD3060" s="109"/>
      <c r="AE3060" s="109"/>
      <c r="AF3060" s="109"/>
      <c r="AG3060" s="109"/>
      <c r="AH3060" s="109"/>
      <c r="AI3060" s="109"/>
      <c r="AJ3060" s="109"/>
      <c r="AK3060" s="109"/>
      <c r="AL3060" s="109"/>
      <c r="AM3060" s="109"/>
      <c r="AN3060" s="109"/>
      <c r="AO3060" s="109"/>
      <c r="AP3060" s="109"/>
      <c r="AQ3060" s="109"/>
      <c r="AR3060" s="109"/>
      <c r="AS3060" s="109"/>
    </row>
    <row r="3061" spans="1:45" ht="12.6" customHeight="1" x14ac:dyDescent="0.3">
      <c r="A3061" s="78"/>
      <c r="B3061" s="78"/>
      <c r="C3061" s="78"/>
      <c r="D3061" s="78"/>
      <c r="E3061" s="78"/>
      <c r="F3061" s="78"/>
      <c r="Z3061" s="109"/>
      <c r="AA3061" s="109"/>
      <c r="AB3061" s="109"/>
      <c r="AC3061" s="109"/>
      <c r="AD3061" s="109"/>
      <c r="AE3061" s="109"/>
      <c r="AF3061" s="109"/>
      <c r="AG3061" s="109"/>
      <c r="AH3061" s="109"/>
      <c r="AI3061" s="109"/>
      <c r="AJ3061" s="109"/>
      <c r="AK3061" s="109"/>
      <c r="AL3061" s="109"/>
      <c r="AM3061" s="109"/>
      <c r="AN3061" s="109"/>
      <c r="AO3061" s="109"/>
      <c r="AP3061" s="109"/>
      <c r="AQ3061" s="109"/>
      <c r="AR3061" s="109"/>
      <c r="AS3061" s="109"/>
    </row>
    <row r="3062" spans="1:45" ht="12.6" customHeight="1" x14ac:dyDescent="0.3">
      <c r="A3062" s="78"/>
      <c r="B3062" s="78"/>
      <c r="C3062" s="78"/>
      <c r="D3062" s="78"/>
      <c r="E3062" s="78"/>
      <c r="F3062" s="78"/>
      <c r="Z3062" s="109"/>
      <c r="AA3062" s="109"/>
      <c r="AB3062" s="109"/>
      <c r="AC3062" s="109"/>
      <c r="AD3062" s="109"/>
      <c r="AE3062" s="109"/>
      <c r="AF3062" s="109"/>
      <c r="AG3062" s="109"/>
      <c r="AH3062" s="109"/>
      <c r="AI3062" s="109"/>
      <c r="AJ3062" s="109"/>
      <c r="AK3062" s="109"/>
      <c r="AL3062" s="109"/>
      <c r="AM3062" s="109"/>
      <c r="AN3062" s="109"/>
      <c r="AO3062" s="109"/>
      <c r="AP3062" s="109"/>
      <c r="AQ3062" s="109"/>
      <c r="AR3062" s="109"/>
      <c r="AS3062" s="109"/>
    </row>
    <row r="3063" spans="1:45" ht="12.6" customHeight="1" x14ac:dyDescent="0.3">
      <c r="A3063" s="78"/>
      <c r="B3063" s="78"/>
      <c r="C3063" s="78"/>
      <c r="D3063" s="78"/>
      <c r="E3063" s="78"/>
      <c r="F3063" s="78"/>
      <c r="Z3063" s="109"/>
      <c r="AA3063" s="109"/>
      <c r="AB3063" s="109"/>
      <c r="AC3063" s="109"/>
      <c r="AD3063" s="109"/>
      <c r="AE3063" s="109"/>
      <c r="AF3063" s="109"/>
      <c r="AG3063" s="109"/>
      <c r="AH3063" s="109"/>
      <c r="AI3063" s="109"/>
      <c r="AJ3063" s="109"/>
      <c r="AK3063" s="109"/>
      <c r="AL3063" s="109"/>
      <c r="AM3063" s="109"/>
      <c r="AN3063" s="109"/>
      <c r="AO3063" s="109"/>
      <c r="AP3063" s="109"/>
      <c r="AQ3063" s="109"/>
      <c r="AR3063" s="109"/>
      <c r="AS3063" s="109"/>
    </row>
    <row r="3064" spans="1:45" ht="12.6" customHeight="1" x14ac:dyDescent="0.3">
      <c r="A3064" s="78"/>
      <c r="B3064" s="78"/>
      <c r="C3064" s="78"/>
      <c r="D3064" s="78"/>
      <c r="E3064" s="78"/>
      <c r="F3064" s="78"/>
      <c r="Z3064" s="109"/>
      <c r="AA3064" s="109"/>
      <c r="AB3064" s="109"/>
      <c r="AC3064" s="109"/>
      <c r="AD3064" s="109"/>
      <c r="AE3064" s="109"/>
      <c r="AF3064" s="109"/>
      <c r="AG3064" s="109"/>
      <c r="AH3064" s="109"/>
      <c r="AI3064" s="109"/>
      <c r="AJ3064" s="109"/>
      <c r="AK3064" s="109"/>
      <c r="AL3064" s="109"/>
      <c r="AM3064" s="109"/>
      <c r="AN3064" s="109"/>
      <c r="AO3064" s="109"/>
      <c r="AP3064" s="109"/>
      <c r="AQ3064" s="109"/>
      <c r="AR3064" s="109"/>
      <c r="AS3064" s="109"/>
    </row>
    <row r="3065" spans="1:45" ht="12.6" customHeight="1" x14ac:dyDescent="0.3">
      <c r="A3065" s="78"/>
      <c r="B3065" s="78"/>
      <c r="C3065" s="78"/>
      <c r="D3065" s="78"/>
      <c r="E3065" s="78"/>
      <c r="F3065" s="78"/>
      <c r="Z3065" s="109"/>
      <c r="AA3065" s="109"/>
      <c r="AB3065" s="109"/>
      <c r="AC3065" s="109"/>
      <c r="AD3065" s="109"/>
      <c r="AE3065" s="109"/>
      <c r="AF3065" s="109"/>
      <c r="AG3065" s="109"/>
      <c r="AH3065" s="109"/>
      <c r="AI3065" s="109"/>
      <c r="AJ3065" s="109"/>
      <c r="AK3065" s="109"/>
      <c r="AL3065" s="109"/>
      <c r="AM3065" s="109"/>
      <c r="AN3065" s="109"/>
      <c r="AO3065" s="109"/>
      <c r="AP3065" s="109"/>
      <c r="AQ3065" s="109"/>
      <c r="AR3065" s="109"/>
      <c r="AS3065" s="109"/>
    </row>
    <row r="3066" spans="1:45" ht="12.6" customHeight="1" x14ac:dyDescent="0.3">
      <c r="A3066" s="78"/>
      <c r="B3066" s="78"/>
      <c r="C3066" s="78"/>
      <c r="D3066" s="78"/>
      <c r="E3066" s="78"/>
      <c r="F3066" s="78"/>
      <c r="Z3066" s="109"/>
      <c r="AA3066" s="109"/>
      <c r="AB3066" s="109"/>
      <c r="AC3066" s="109"/>
      <c r="AD3066" s="109"/>
      <c r="AE3066" s="109"/>
      <c r="AF3066" s="109"/>
      <c r="AG3066" s="109"/>
      <c r="AH3066" s="109"/>
      <c r="AI3066" s="109"/>
      <c r="AJ3066" s="109"/>
      <c r="AK3066" s="109"/>
      <c r="AL3066" s="109"/>
      <c r="AM3066" s="109"/>
      <c r="AN3066" s="109"/>
      <c r="AO3066" s="109"/>
      <c r="AP3066" s="109"/>
      <c r="AQ3066" s="109"/>
      <c r="AR3066" s="109"/>
      <c r="AS3066" s="109"/>
    </row>
    <row r="3067" spans="1:45" ht="12.6" customHeight="1" x14ac:dyDescent="0.3">
      <c r="A3067" s="78"/>
      <c r="B3067" s="78"/>
      <c r="C3067" s="78"/>
      <c r="D3067" s="78"/>
      <c r="E3067" s="78"/>
      <c r="F3067" s="78"/>
      <c r="Z3067" s="109"/>
      <c r="AA3067" s="109"/>
      <c r="AB3067" s="109"/>
      <c r="AC3067" s="109"/>
      <c r="AD3067" s="109"/>
      <c r="AE3067" s="109"/>
      <c r="AF3067" s="109"/>
      <c r="AG3067" s="109"/>
      <c r="AH3067" s="109"/>
      <c r="AI3067" s="109"/>
      <c r="AJ3067" s="109"/>
      <c r="AK3067" s="109"/>
      <c r="AL3067" s="109"/>
      <c r="AM3067" s="109"/>
      <c r="AN3067" s="109"/>
      <c r="AO3067" s="109"/>
      <c r="AP3067" s="109"/>
      <c r="AQ3067" s="109"/>
      <c r="AR3067" s="109"/>
      <c r="AS3067" s="109"/>
    </row>
    <row r="3068" spans="1:45" ht="12.6" customHeight="1" x14ac:dyDescent="0.3">
      <c r="A3068" s="78"/>
      <c r="B3068" s="78"/>
      <c r="C3068" s="78"/>
      <c r="D3068" s="78"/>
      <c r="E3068" s="78"/>
      <c r="F3068" s="78"/>
      <c r="Z3068" s="109"/>
      <c r="AA3068" s="109"/>
      <c r="AB3068" s="109"/>
      <c r="AC3068" s="109"/>
      <c r="AD3068" s="109"/>
      <c r="AE3068" s="109"/>
      <c r="AF3068" s="109"/>
      <c r="AG3068" s="109"/>
      <c r="AH3068" s="109"/>
      <c r="AI3068" s="109"/>
      <c r="AJ3068" s="109"/>
      <c r="AK3068" s="109"/>
      <c r="AL3068" s="109"/>
      <c r="AM3068" s="109"/>
      <c r="AN3068" s="109"/>
      <c r="AO3068" s="109"/>
      <c r="AP3068" s="109"/>
      <c r="AQ3068" s="109"/>
      <c r="AR3068" s="109"/>
      <c r="AS3068" s="109"/>
    </row>
    <row r="3069" spans="1:45" ht="12.6" customHeight="1" x14ac:dyDescent="0.3">
      <c r="A3069" s="78"/>
      <c r="B3069" s="78"/>
      <c r="C3069" s="78"/>
      <c r="D3069" s="78"/>
      <c r="E3069" s="78"/>
      <c r="F3069" s="78"/>
      <c r="Z3069" s="109"/>
      <c r="AA3069" s="109"/>
      <c r="AB3069" s="109"/>
      <c r="AC3069" s="109"/>
      <c r="AD3069" s="109"/>
      <c r="AE3069" s="109"/>
      <c r="AF3069" s="109"/>
      <c r="AG3069" s="109"/>
      <c r="AH3069" s="109"/>
      <c r="AI3069" s="109"/>
      <c r="AJ3069" s="109"/>
      <c r="AK3069" s="109"/>
      <c r="AL3069" s="109"/>
      <c r="AM3069" s="109"/>
      <c r="AN3069" s="109"/>
      <c r="AO3069" s="109"/>
      <c r="AP3069" s="109"/>
      <c r="AQ3069" s="109"/>
      <c r="AR3069" s="109"/>
      <c r="AS3069" s="109"/>
    </row>
    <row r="3070" spans="1:45" ht="12.6" customHeight="1" x14ac:dyDescent="0.3">
      <c r="A3070" s="78"/>
      <c r="B3070" s="78"/>
      <c r="C3070" s="78"/>
      <c r="D3070" s="78"/>
      <c r="E3070" s="78"/>
      <c r="F3070" s="78"/>
      <c r="Z3070" s="109"/>
      <c r="AA3070" s="109"/>
      <c r="AB3070" s="109"/>
      <c r="AC3070" s="109"/>
      <c r="AD3070" s="109"/>
      <c r="AE3070" s="109"/>
      <c r="AF3070" s="109"/>
      <c r="AG3070" s="109"/>
      <c r="AH3070" s="109"/>
      <c r="AI3070" s="109"/>
      <c r="AJ3070" s="109"/>
      <c r="AK3070" s="109"/>
      <c r="AL3070" s="109"/>
      <c r="AM3070" s="109"/>
      <c r="AN3070" s="109"/>
      <c r="AO3070" s="109"/>
      <c r="AP3070" s="109"/>
      <c r="AQ3070" s="109"/>
      <c r="AR3070" s="109"/>
      <c r="AS3070" s="109"/>
    </row>
    <row r="3071" spans="1:45" ht="12.6" customHeight="1" x14ac:dyDescent="0.3">
      <c r="A3071" s="78"/>
      <c r="B3071" s="78"/>
      <c r="C3071" s="78"/>
      <c r="D3071" s="78"/>
      <c r="E3071" s="78"/>
      <c r="F3071" s="78"/>
      <c r="Z3071" s="109"/>
      <c r="AA3071" s="109"/>
      <c r="AB3071" s="109"/>
      <c r="AC3071" s="109"/>
      <c r="AD3071" s="109"/>
      <c r="AE3071" s="109"/>
      <c r="AF3071" s="109"/>
      <c r="AG3071" s="109"/>
      <c r="AH3071" s="109"/>
      <c r="AI3071" s="109"/>
      <c r="AJ3071" s="109"/>
      <c r="AK3071" s="109"/>
      <c r="AL3071" s="109"/>
      <c r="AM3071" s="109"/>
      <c r="AN3071" s="109"/>
      <c r="AO3071" s="109"/>
      <c r="AP3071" s="109"/>
      <c r="AQ3071" s="109"/>
      <c r="AR3071" s="109"/>
      <c r="AS3071" s="109"/>
    </row>
    <row r="3072" spans="1:45" ht="12.6" customHeight="1" x14ac:dyDescent="0.3">
      <c r="A3072" s="78"/>
      <c r="B3072" s="78"/>
      <c r="C3072" s="78"/>
      <c r="D3072" s="78"/>
      <c r="E3072" s="78"/>
      <c r="F3072" s="78"/>
      <c r="Z3072" s="109"/>
      <c r="AA3072" s="109"/>
      <c r="AB3072" s="109"/>
      <c r="AC3072" s="109"/>
      <c r="AD3072" s="109"/>
      <c r="AE3072" s="109"/>
      <c r="AF3072" s="109"/>
      <c r="AG3072" s="109"/>
      <c r="AH3072" s="109"/>
      <c r="AI3072" s="109"/>
      <c r="AJ3072" s="109"/>
      <c r="AK3072" s="109"/>
      <c r="AL3072" s="109"/>
      <c r="AM3072" s="109"/>
      <c r="AN3072" s="109"/>
      <c r="AO3072" s="109"/>
      <c r="AP3072" s="109"/>
      <c r="AQ3072" s="109"/>
      <c r="AR3072" s="109"/>
      <c r="AS3072" s="109"/>
    </row>
    <row r="3073" spans="1:45" ht="12.6" customHeight="1" x14ac:dyDescent="0.3">
      <c r="A3073" s="78"/>
      <c r="B3073" s="78"/>
      <c r="C3073" s="78"/>
      <c r="D3073" s="78"/>
      <c r="E3073" s="78"/>
      <c r="F3073" s="78"/>
      <c r="Z3073" s="109"/>
      <c r="AA3073" s="109"/>
      <c r="AB3073" s="109"/>
      <c r="AC3073" s="109"/>
      <c r="AD3073" s="109"/>
      <c r="AE3073" s="109"/>
      <c r="AF3073" s="109"/>
      <c r="AG3073" s="109"/>
      <c r="AH3073" s="109"/>
      <c r="AI3073" s="109"/>
      <c r="AJ3073" s="109"/>
      <c r="AK3073" s="109"/>
      <c r="AL3073" s="109"/>
      <c r="AM3073" s="109"/>
      <c r="AN3073" s="109"/>
      <c r="AO3073" s="109"/>
      <c r="AP3073" s="109"/>
      <c r="AQ3073" s="109"/>
      <c r="AR3073" s="109"/>
      <c r="AS3073" s="109"/>
    </row>
    <row r="3074" spans="1:45" ht="12.6" customHeight="1" x14ac:dyDescent="0.3">
      <c r="A3074" s="78"/>
      <c r="B3074" s="78"/>
      <c r="C3074" s="78"/>
      <c r="D3074" s="78"/>
      <c r="E3074" s="78"/>
      <c r="F3074" s="78"/>
      <c r="Z3074" s="109"/>
      <c r="AA3074" s="109"/>
      <c r="AB3074" s="109"/>
      <c r="AC3074" s="109"/>
      <c r="AD3074" s="109"/>
      <c r="AE3074" s="109"/>
      <c r="AF3074" s="109"/>
      <c r="AG3074" s="109"/>
      <c r="AH3074" s="109"/>
      <c r="AI3074" s="109"/>
      <c r="AJ3074" s="109"/>
      <c r="AK3074" s="109"/>
      <c r="AL3074" s="109"/>
      <c r="AM3074" s="109"/>
      <c r="AN3074" s="109"/>
      <c r="AO3074" s="109"/>
      <c r="AP3074" s="109"/>
      <c r="AQ3074" s="109"/>
      <c r="AR3074" s="109"/>
      <c r="AS3074" s="109"/>
    </row>
    <row r="3075" spans="1:45" ht="12.6" customHeight="1" x14ac:dyDescent="0.3">
      <c r="A3075" s="78"/>
      <c r="B3075" s="78"/>
      <c r="C3075" s="78"/>
      <c r="D3075" s="78"/>
      <c r="E3075" s="78"/>
      <c r="F3075" s="78"/>
      <c r="Z3075" s="109"/>
      <c r="AA3075" s="109"/>
      <c r="AB3075" s="109"/>
      <c r="AC3075" s="109"/>
      <c r="AD3075" s="109"/>
      <c r="AE3075" s="109"/>
      <c r="AF3075" s="109"/>
      <c r="AG3075" s="109"/>
      <c r="AH3075" s="109"/>
      <c r="AI3075" s="109"/>
      <c r="AJ3075" s="109"/>
      <c r="AK3075" s="109"/>
      <c r="AL3075" s="109"/>
      <c r="AM3075" s="109"/>
      <c r="AN3075" s="109"/>
      <c r="AO3075" s="109"/>
      <c r="AP3075" s="109"/>
      <c r="AQ3075" s="109"/>
      <c r="AR3075" s="109"/>
      <c r="AS3075" s="109"/>
    </row>
    <row r="3076" spans="1:45" ht="12.6" customHeight="1" x14ac:dyDescent="0.3">
      <c r="A3076" s="78"/>
      <c r="B3076" s="78"/>
      <c r="C3076" s="78"/>
      <c r="D3076" s="78"/>
      <c r="E3076" s="78"/>
      <c r="F3076" s="78"/>
      <c r="Z3076" s="109"/>
      <c r="AA3076" s="109"/>
      <c r="AB3076" s="109"/>
      <c r="AC3076" s="109"/>
      <c r="AD3076" s="109"/>
      <c r="AE3076" s="109"/>
      <c r="AF3076" s="109"/>
      <c r="AG3076" s="109"/>
      <c r="AH3076" s="109"/>
      <c r="AI3076" s="109"/>
      <c r="AJ3076" s="109"/>
      <c r="AK3076" s="109"/>
      <c r="AL3076" s="109"/>
      <c r="AM3076" s="109"/>
      <c r="AN3076" s="109"/>
      <c r="AO3076" s="109"/>
      <c r="AP3076" s="109"/>
      <c r="AQ3076" s="109"/>
      <c r="AR3076" s="109"/>
      <c r="AS3076" s="109"/>
    </row>
    <row r="3077" spans="1:45" ht="12.6" customHeight="1" x14ac:dyDescent="0.3">
      <c r="A3077" s="78"/>
      <c r="B3077" s="78"/>
      <c r="C3077" s="78"/>
      <c r="D3077" s="78"/>
      <c r="E3077" s="78"/>
      <c r="F3077" s="78"/>
      <c r="Z3077" s="109"/>
      <c r="AA3077" s="109"/>
      <c r="AB3077" s="109"/>
      <c r="AC3077" s="109"/>
      <c r="AD3077" s="109"/>
      <c r="AE3077" s="109"/>
      <c r="AF3077" s="109"/>
      <c r="AG3077" s="109"/>
      <c r="AH3077" s="109"/>
      <c r="AI3077" s="109"/>
      <c r="AJ3077" s="109"/>
      <c r="AK3077" s="109"/>
      <c r="AL3077" s="109"/>
      <c r="AM3077" s="109"/>
      <c r="AN3077" s="109"/>
      <c r="AO3077" s="109"/>
      <c r="AP3077" s="109"/>
      <c r="AQ3077" s="109"/>
      <c r="AR3077" s="109"/>
      <c r="AS3077" s="109"/>
    </row>
    <row r="3078" spans="1:45" ht="12.6" customHeight="1" x14ac:dyDescent="0.3">
      <c r="A3078" s="78"/>
      <c r="B3078" s="78"/>
      <c r="C3078" s="78"/>
      <c r="D3078" s="78"/>
      <c r="E3078" s="78"/>
      <c r="F3078" s="78"/>
      <c r="Z3078" s="109"/>
      <c r="AA3078" s="109"/>
      <c r="AB3078" s="109"/>
      <c r="AC3078" s="109"/>
      <c r="AD3078" s="109"/>
      <c r="AE3078" s="109"/>
      <c r="AF3078" s="109"/>
      <c r="AG3078" s="109"/>
      <c r="AH3078" s="109"/>
      <c r="AI3078" s="109"/>
      <c r="AJ3078" s="109"/>
      <c r="AK3078" s="109"/>
      <c r="AL3078" s="109"/>
      <c r="AM3078" s="109"/>
      <c r="AN3078" s="109"/>
      <c r="AO3078" s="109"/>
      <c r="AP3078" s="109"/>
      <c r="AQ3078" s="109"/>
      <c r="AR3078" s="109"/>
      <c r="AS3078" s="109"/>
    </row>
    <row r="3079" spans="1:45" ht="12.6" customHeight="1" x14ac:dyDescent="0.3">
      <c r="A3079" s="78"/>
      <c r="B3079" s="78"/>
      <c r="C3079" s="78"/>
      <c r="D3079" s="78"/>
      <c r="E3079" s="78"/>
      <c r="F3079" s="78"/>
      <c r="Z3079" s="109"/>
      <c r="AA3079" s="109"/>
      <c r="AB3079" s="109"/>
      <c r="AC3079" s="109"/>
      <c r="AD3079" s="109"/>
      <c r="AE3079" s="109"/>
      <c r="AF3079" s="109"/>
      <c r="AG3079" s="109"/>
      <c r="AH3079" s="109"/>
      <c r="AI3079" s="109"/>
      <c r="AJ3079" s="109"/>
      <c r="AK3079" s="109"/>
      <c r="AL3079" s="109"/>
      <c r="AM3079" s="109"/>
      <c r="AN3079" s="109"/>
      <c r="AO3079" s="109"/>
      <c r="AP3079" s="109"/>
      <c r="AQ3079" s="109"/>
      <c r="AR3079" s="109"/>
      <c r="AS3079" s="109"/>
    </row>
    <row r="3080" spans="1:45" ht="12.6" customHeight="1" x14ac:dyDescent="0.3">
      <c r="A3080" s="78"/>
      <c r="B3080" s="78"/>
      <c r="C3080" s="78"/>
      <c r="D3080" s="78"/>
      <c r="E3080" s="78"/>
      <c r="F3080" s="78"/>
      <c r="Z3080" s="109"/>
      <c r="AA3080" s="109"/>
      <c r="AB3080" s="109"/>
      <c r="AC3080" s="109"/>
      <c r="AD3080" s="109"/>
      <c r="AE3080" s="109"/>
      <c r="AF3080" s="109"/>
      <c r="AG3080" s="109"/>
      <c r="AH3080" s="109"/>
      <c r="AI3080" s="109"/>
      <c r="AJ3080" s="109"/>
      <c r="AK3080" s="109"/>
      <c r="AL3080" s="109"/>
      <c r="AM3080" s="109"/>
      <c r="AN3080" s="109"/>
      <c r="AO3080" s="109"/>
      <c r="AP3080" s="109"/>
      <c r="AQ3080" s="109"/>
      <c r="AR3080" s="109"/>
      <c r="AS3080" s="109"/>
    </row>
    <row r="3081" spans="1:45" ht="12.6" customHeight="1" x14ac:dyDescent="0.3">
      <c r="A3081" s="78"/>
      <c r="B3081" s="78"/>
      <c r="C3081" s="78"/>
      <c r="D3081" s="78"/>
      <c r="E3081" s="78"/>
      <c r="F3081" s="78"/>
      <c r="Z3081" s="109"/>
      <c r="AA3081" s="109"/>
      <c r="AB3081" s="109"/>
      <c r="AC3081" s="109"/>
      <c r="AD3081" s="109"/>
      <c r="AE3081" s="109"/>
      <c r="AF3081" s="109"/>
      <c r="AG3081" s="109"/>
      <c r="AH3081" s="109"/>
      <c r="AI3081" s="109"/>
      <c r="AJ3081" s="109"/>
      <c r="AK3081" s="109"/>
      <c r="AL3081" s="109"/>
      <c r="AM3081" s="109"/>
      <c r="AN3081" s="109"/>
      <c r="AO3081" s="109"/>
      <c r="AP3081" s="109"/>
      <c r="AQ3081" s="109"/>
      <c r="AR3081" s="109"/>
      <c r="AS3081" s="109"/>
    </row>
    <row r="3082" spans="1:45" ht="12.6" customHeight="1" x14ac:dyDescent="0.3">
      <c r="A3082" s="78"/>
      <c r="B3082" s="78"/>
      <c r="C3082" s="78"/>
      <c r="D3082" s="78"/>
      <c r="E3082" s="78"/>
      <c r="F3082" s="78"/>
      <c r="Z3082" s="109"/>
      <c r="AA3082" s="109"/>
      <c r="AB3082" s="109"/>
      <c r="AC3082" s="109"/>
      <c r="AD3082" s="109"/>
      <c r="AE3082" s="109"/>
      <c r="AF3082" s="109"/>
      <c r="AG3082" s="109"/>
      <c r="AH3082" s="109"/>
      <c r="AI3082" s="109"/>
      <c r="AJ3082" s="109"/>
      <c r="AK3082" s="109"/>
      <c r="AL3082" s="109"/>
      <c r="AM3082" s="109"/>
      <c r="AN3082" s="109"/>
      <c r="AO3082" s="109"/>
      <c r="AP3082" s="109"/>
      <c r="AQ3082" s="109"/>
      <c r="AR3082" s="109"/>
      <c r="AS3082" s="109"/>
    </row>
    <row r="3083" spans="1:45" ht="12.6" customHeight="1" x14ac:dyDescent="0.3">
      <c r="A3083" s="58"/>
      <c r="B3083" s="58"/>
      <c r="C3083" s="58"/>
      <c r="D3083" s="58"/>
      <c r="E3083" s="58"/>
      <c r="F3083" s="58"/>
      <c r="Z3083" s="109"/>
      <c r="AA3083" s="109"/>
      <c r="AB3083" s="109"/>
      <c r="AC3083" s="109"/>
      <c r="AD3083" s="109"/>
      <c r="AE3083" s="109"/>
      <c r="AF3083" s="109"/>
      <c r="AG3083" s="109"/>
      <c r="AH3083" s="109"/>
      <c r="AI3083" s="109"/>
      <c r="AJ3083" s="109"/>
      <c r="AK3083" s="109"/>
      <c r="AL3083" s="109"/>
      <c r="AM3083" s="109"/>
      <c r="AN3083" s="109"/>
      <c r="AO3083" s="109"/>
      <c r="AP3083" s="109"/>
      <c r="AQ3083" s="109"/>
      <c r="AR3083" s="109"/>
      <c r="AS3083" s="109"/>
    </row>
    <row r="3084" spans="1:45" ht="12.6" customHeight="1" x14ac:dyDescent="0.3">
      <c r="A3084" s="159" t="s">
        <v>1401</v>
      </c>
      <c r="B3084" s="152"/>
      <c r="C3084" s="55">
        <f>E3084+D3084+F3084</f>
        <v>8879</v>
      </c>
      <c r="D3084" s="54">
        <f>ROUNDDOWN(SUMIF(N2947:N3053,M3084,D2947:D3053),0)</f>
        <v>5584</v>
      </c>
      <c r="E3084" s="63">
        <f>ROUNDDOWN(SUMIF(N2947:N3053,M3084,E2947:E3053),0)</f>
        <v>1215</v>
      </c>
      <c r="F3084" s="55">
        <f>ROUNDDOWN(SUMIF(N2947:N3053,M3084,F2947:F3053),0)</f>
        <v>2080</v>
      </c>
      <c r="M3084" s="20" t="s">
        <v>1128</v>
      </c>
      <c r="Z3084" s="109"/>
      <c r="AA3084" s="109"/>
      <c r="AB3084" s="109"/>
      <c r="AC3084" s="109"/>
      <c r="AD3084" s="109"/>
      <c r="AE3084" s="109"/>
      <c r="AF3084" s="109"/>
      <c r="AG3084" s="109"/>
      <c r="AH3084" s="109"/>
      <c r="AI3084" s="109"/>
      <c r="AJ3084" s="109"/>
      <c r="AK3084" s="109"/>
      <c r="AL3084" s="109"/>
      <c r="AM3084" s="109"/>
      <c r="AN3084" s="109"/>
      <c r="AO3084" s="109"/>
      <c r="AP3084" s="109"/>
      <c r="AQ3084" s="109"/>
      <c r="AR3084" s="109"/>
      <c r="AS3084" s="109"/>
    </row>
    <row r="3085" spans="1:45" ht="12.6" customHeight="1" x14ac:dyDescent="0.3">
      <c r="A3085" s="95" t="s">
        <v>332</v>
      </c>
      <c r="B3085" s="96" t="s">
        <v>332</v>
      </c>
      <c r="C3085" s="158">
        <f>C3154</f>
        <v>27665</v>
      </c>
      <c r="D3085" s="158">
        <f>D3154</f>
        <v>22142</v>
      </c>
      <c r="E3085" s="158">
        <f>E3154</f>
        <v>2285</v>
      </c>
      <c r="F3085" s="158">
        <f>F3154</f>
        <v>3238</v>
      </c>
      <c r="G3085" s="36" t="str">
        <f>HYPERLINK("#G"&amp;ROW(G3118),"_x0005_`BDCOD|D02262_x0007_`POSS|"&amp;ROW(G3087)&amp;"_x0007_`POSE|"&amp;ROW(G3118)&amp;"_x0007_`")</f>
        <v>_x0005_`BDCOD|D02262_x0007_`POSS|3087_x0007_`POSE|3118_x0007_`</v>
      </c>
      <c r="Z3085" s="109"/>
      <c r="AA3085" s="109"/>
      <c r="AB3085" s="109"/>
      <c r="AC3085" s="109"/>
      <c r="AD3085" s="109"/>
      <c r="AE3085" s="109"/>
      <c r="AF3085" s="109"/>
      <c r="AG3085" s="109"/>
      <c r="AH3085" s="109"/>
      <c r="AI3085" s="109"/>
      <c r="AJ3085" s="109"/>
      <c r="AK3085" s="109"/>
      <c r="AL3085" s="109"/>
      <c r="AM3085" s="109"/>
      <c r="AN3085" s="109"/>
      <c r="AO3085" s="109"/>
      <c r="AP3085" s="109"/>
      <c r="AQ3085" s="109"/>
      <c r="AR3085" s="109"/>
      <c r="AS3085" s="109"/>
    </row>
    <row r="3086" spans="1:45" ht="12.6" customHeight="1" x14ac:dyDescent="0.3">
      <c r="A3086" s="84"/>
      <c r="B3086" s="96" t="s">
        <v>331</v>
      </c>
      <c r="C3086" s="141"/>
      <c r="D3086" s="141"/>
      <c r="E3086" s="141"/>
      <c r="F3086" s="141"/>
      <c r="M3086" s="20" t="s">
        <v>330</v>
      </c>
      <c r="Z3086" s="109"/>
      <c r="AA3086" s="109"/>
      <c r="AB3086" s="109"/>
      <c r="AC3086" s="109"/>
      <c r="AD3086" s="109"/>
      <c r="AE3086" s="109"/>
      <c r="AF3086" s="109"/>
      <c r="AG3086" s="109"/>
      <c r="AH3086" s="109"/>
      <c r="AI3086" s="109"/>
      <c r="AJ3086" s="109"/>
      <c r="AK3086" s="109"/>
      <c r="AL3086" s="109"/>
      <c r="AM3086" s="109"/>
      <c r="AN3086" s="109"/>
      <c r="AO3086" s="109"/>
      <c r="AP3086" s="109"/>
      <c r="AQ3086" s="109"/>
      <c r="AR3086" s="109"/>
      <c r="AS3086" s="109"/>
    </row>
    <row r="3087" spans="1:45" ht="12.6" customHeight="1" x14ac:dyDescent="0.3">
      <c r="A3087" s="78"/>
      <c r="B3087" s="78"/>
      <c r="C3087" s="98"/>
      <c r="D3087" s="98"/>
      <c r="E3087" s="98"/>
      <c r="F3087" s="98"/>
      <c r="G3087" s="16" t="s">
        <v>1317</v>
      </c>
      <c r="Z3087" s="109"/>
      <c r="AA3087" s="109"/>
      <c r="AB3087" s="109"/>
      <c r="AC3087" s="109"/>
      <c r="AD3087" s="109"/>
      <c r="AE3087" s="109"/>
      <c r="AF3087" s="109"/>
      <c r="AG3087" s="109"/>
      <c r="AH3087" s="109"/>
      <c r="AI3087" s="109"/>
      <c r="AJ3087" s="109"/>
      <c r="AK3087" s="109"/>
      <c r="AL3087" s="109"/>
      <c r="AM3087" s="109"/>
      <c r="AN3087" s="109"/>
      <c r="AO3087" s="109"/>
      <c r="AP3087" s="109"/>
      <c r="AQ3087" s="109"/>
      <c r="AR3087" s="109"/>
      <c r="AS3087" s="109"/>
    </row>
    <row r="3088" spans="1:45" ht="12.6" customHeight="1" x14ac:dyDescent="0.3">
      <c r="A3088" s="68"/>
      <c r="B3088" s="77" t="s">
        <v>2107</v>
      </c>
      <c r="C3088" s="78"/>
      <c r="D3088" s="78"/>
      <c r="E3088" s="78"/>
      <c r="F3088" s="78"/>
      <c r="G3088" s="16" t="s">
        <v>2106</v>
      </c>
      <c r="Z3088" s="109"/>
      <c r="AA3088" s="109"/>
      <c r="AB3088" s="109"/>
      <c r="AC3088" s="109"/>
      <c r="AD3088" s="109"/>
      <c r="AE3088" s="109"/>
      <c r="AF3088" s="109"/>
      <c r="AG3088" s="109"/>
      <c r="AH3088" s="109"/>
      <c r="AI3088" s="109"/>
      <c r="AJ3088" s="109"/>
      <c r="AK3088" s="109"/>
      <c r="AL3088" s="109"/>
      <c r="AM3088" s="109"/>
      <c r="AN3088" s="109"/>
      <c r="AO3088" s="109"/>
      <c r="AP3088" s="109"/>
      <c r="AQ3088" s="109"/>
      <c r="AR3088" s="109"/>
      <c r="AS3088" s="109"/>
    </row>
    <row r="3089" spans="1:45" ht="12.6" customHeight="1" x14ac:dyDescent="0.3">
      <c r="A3089" s="78"/>
      <c r="B3089" s="78"/>
      <c r="C3089" s="78"/>
      <c r="D3089" s="78"/>
      <c r="E3089" s="78"/>
      <c r="F3089" s="78"/>
      <c r="G3089" s="16" t="s">
        <v>1317</v>
      </c>
      <c r="Z3089" s="109"/>
      <c r="AA3089" s="109"/>
      <c r="AB3089" s="109"/>
      <c r="AC3089" s="109"/>
      <c r="AD3089" s="109"/>
      <c r="AE3089" s="109"/>
      <c r="AF3089" s="109"/>
      <c r="AG3089" s="109"/>
      <c r="AH3089" s="109"/>
      <c r="AI3089" s="109"/>
      <c r="AJ3089" s="109"/>
      <c r="AK3089" s="109"/>
      <c r="AL3089" s="109"/>
      <c r="AM3089" s="109"/>
      <c r="AN3089" s="109"/>
      <c r="AO3089" s="109"/>
      <c r="AP3089" s="109"/>
      <c r="AQ3089" s="109"/>
      <c r="AR3089" s="109"/>
      <c r="AS3089" s="109"/>
    </row>
    <row r="3090" spans="1:45" ht="12.6" customHeight="1" x14ac:dyDescent="0.3">
      <c r="A3090" s="68"/>
      <c r="B3090" s="97" t="str">
        <f>" □ 일 시공량 :  Q =  "&amp;Z3090&amp;" m3/일  "</f>
        <v xml:space="preserve"> □ 일 시공량 :  Q =  63 m3/일  </v>
      </c>
      <c r="C3090" s="78"/>
      <c r="D3090" s="78"/>
      <c r="E3090" s="78"/>
      <c r="F3090" s="78"/>
      <c r="G3090" s="16" t="s">
        <v>2108</v>
      </c>
      <c r="Z3090" s="111">
        <v>63</v>
      </c>
      <c r="AA3090" s="20" t="s">
        <v>1326</v>
      </c>
      <c r="AB3090" s="112">
        <f>Z3090</f>
        <v>63</v>
      </c>
      <c r="AC3090" s="109"/>
      <c r="AD3090" s="109"/>
      <c r="AE3090" s="109"/>
      <c r="AF3090" s="109"/>
      <c r="AG3090" s="109"/>
      <c r="AH3090" s="109"/>
      <c r="AI3090" s="109"/>
      <c r="AJ3090" s="109"/>
      <c r="AK3090" s="109"/>
      <c r="AL3090" s="109"/>
      <c r="AM3090" s="109"/>
      <c r="AN3090" s="109"/>
      <c r="AO3090" s="109"/>
      <c r="AP3090" s="109"/>
      <c r="AQ3090" s="109"/>
      <c r="AR3090" s="109"/>
      <c r="AS3090" s="109"/>
    </row>
    <row r="3091" spans="1:45" ht="12.6" customHeight="1" x14ac:dyDescent="0.3">
      <c r="A3091" s="78"/>
      <c r="B3091" s="78"/>
      <c r="C3091" s="78"/>
      <c r="D3091" s="78"/>
      <c r="E3091" s="78"/>
      <c r="F3091" s="78"/>
      <c r="G3091" s="16" t="s">
        <v>1317</v>
      </c>
      <c r="Z3091" s="109"/>
      <c r="AA3091" s="109"/>
      <c r="AB3091" s="109"/>
      <c r="AC3091" s="109"/>
      <c r="AD3091" s="109"/>
      <c r="AE3091" s="109"/>
      <c r="AF3091" s="109"/>
      <c r="AG3091" s="109"/>
      <c r="AH3091" s="109"/>
      <c r="AI3091" s="109"/>
      <c r="AJ3091" s="109"/>
      <c r="AK3091" s="109"/>
      <c r="AL3091" s="109"/>
      <c r="AM3091" s="109"/>
      <c r="AN3091" s="109"/>
      <c r="AO3091" s="109"/>
      <c r="AP3091" s="109"/>
      <c r="AQ3091" s="109"/>
      <c r="AR3091" s="109"/>
      <c r="AS3091" s="109"/>
    </row>
    <row r="3092" spans="1:45" ht="12.6" customHeight="1" x14ac:dyDescent="0.3">
      <c r="A3092" s="68"/>
      <c r="B3092" s="77" t="s">
        <v>2110</v>
      </c>
      <c r="C3092" s="78"/>
      <c r="D3092" s="78"/>
      <c r="E3092" s="78"/>
      <c r="F3092" s="78"/>
      <c r="G3092" s="16" t="s">
        <v>2109</v>
      </c>
      <c r="Z3092" s="109"/>
      <c r="AA3092" s="109"/>
      <c r="AB3092" s="109"/>
      <c r="AC3092" s="109"/>
      <c r="AD3092" s="109"/>
      <c r="AE3092" s="109"/>
      <c r="AF3092" s="109"/>
      <c r="AG3092" s="109"/>
      <c r="AH3092" s="109"/>
      <c r="AI3092" s="109"/>
      <c r="AJ3092" s="109"/>
      <c r="AK3092" s="109"/>
      <c r="AL3092" s="109"/>
      <c r="AM3092" s="109"/>
      <c r="AN3092" s="109"/>
      <c r="AO3092" s="109"/>
      <c r="AP3092" s="109"/>
      <c r="AQ3092" s="109"/>
      <c r="AR3092" s="109"/>
      <c r="AS3092" s="109"/>
    </row>
    <row r="3093" spans="1:45" ht="12.6" customHeight="1" x14ac:dyDescent="0.3">
      <c r="A3093" s="78"/>
      <c r="B3093" s="78"/>
      <c r="C3093" s="78"/>
      <c r="D3093" s="78"/>
      <c r="E3093" s="78"/>
      <c r="F3093" s="78"/>
      <c r="G3093" s="16" t="s">
        <v>1317</v>
      </c>
      <c r="Z3093" s="109"/>
      <c r="AA3093" s="109"/>
      <c r="AB3093" s="109"/>
      <c r="AC3093" s="109"/>
      <c r="AD3093" s="109"/>
      <c r="AE3093" s="109"/>
      <c r="AF3093" s="109"/>
      <c r="AG3093" s="109"/>
      <c r="AH3093" s="109"/>
      <c r="AI3093" s="109"/>
      <c r="AJ3093" s="109"/>
      <c r="AK3093" s="109"/>
      <c r="AL3093" s="109"/>
      <c r="AM3093" s="109"/>
      <c r="AN3093" s="109"/>
      <c r="AO3093" s="109"/>
      <c r="AP3093" s="109"/>
      <c r="AQ3093" s="109"/>
      <c r="AR3093" s="109"/>
      <c r="AS3093" s="109"/>
    </row>
    <row r="3094" spans="1:45" ht="12.6" customHeight="1" x14ac:dyDescent="0.3">
      <c r="A3094" s="68" t="s">
        <v>2112</v>
      </c>
      <c r="B3094" s="97" t="str">
        <f>" ○콘크리트공: "&amp;TEXT(I3094,"#,##0"&amp;IF(I3094&lt;&gt;INT(I3094),".###",""))&amp;" * "&amp;AA3094&amp;" 인 / Q = "&amp;TEXT(C3094,"#,##0.0")&amp;"  원/m3 "</f>
        <v xml:space="preserve"> ○콘크리트공: 261,283 * 3 인 / Q = 12,442.0  원/m3 </v>
      </c>
      <c r="C3094" s="99">
        <f>E3094+D3094+F3094</f>
        <v>12442</v>
      </c>
      <c r="D3094" s="99">
        <f>IF(H3094=0,0,ROUNDDOWN(J3094*H3094,1))</f>
        <v>12442</v>
      </c>
      <c r="E3094" s="99">
        <f>IF(H3094=0,0,ROUNDDOWN(K3094*H3094,1))</f>
        <v>0</v>
      </c>
      <c r="F3094" s="99">
        <f>IF(H3094=0,0,ROUNDDOWN(L3094*H3094,1))</f>
        <v>0</v>
      </c>
      <c r="G3094" s="16" t="s">
        <v>2111</v>
      </c>
      <c r="H3094" s="105">
        <f>AE3094</f>
        <v>4.7619047619047616E-2</v>
      </c>
      <c r="I3094" s="106">
        <f>K3094+J3094+L3094</f>
        <v>261283</v>
      </c>
      <c r="J3094" s="39">
        <f>노무비목록표!E7</f>
        <v>261283</v>
      </c>
      <c r="M3094" s="20" t="s">
        <v>1262</v>
      </c>
      <c r="N3094" s="20" t="s">
        <v>1332</v>
      </c>
      <c r="O3094" s="20" t="s">
        <v>1247</v>
      </c>
      <c r="X3094" s="108" t="str">
        <f>노무비목록표!B7&amp;" / "&amp;노무비목록표!C7</f>
        <v xml:space="preserve">콘크리트공 / </v>
      </c>
      <c r="Y3094" s="19" t="str">
        <f ca="1">HYPERLINK("#"&amp;노무비목록표!G2&amp;"!A"&amp;ROW(노무비목록표!A7),"노무    4 →")</f>
        <v>노무    4 →</v>
      </c>
      <c r="Z3094" s="20" t="s">
        <v>1338</v>
      </c>
      <c r="AA3094" s="111">
        <v>3</v>
      </c>
      <c r="AB3094" s="20" t="s">
        <v>1387</v>
      </c>
      <c r="AC3094" s="112">
        <f>AB3090</f>
        <v>63</v>
      </c>
      <c r="AD3094" s="20" t="s">
        <v>1326</v>
      </c>
      <c r="AE3094" s="113">
        <f>1*AA3094/AB3090</f>
        <v>4.7619047619047616E-2</v>
      </c>
      <c r="AF3094" s="109"/>
      <c r="AG3094" s="109"/>
      <c r="AH3094" s="109"/>
      <c r="AI3094" s="109"/>
      <c r="AJ3094" s="109"/>
      <c r="AK3094" s="109"/>
      <c r="AL3094" s="109"/>
      <c r="AM3094" s="109"/>
      <c r="AN3094" s="109"/>
      <c r="AO3094" s="109"/>
      <c r="AP3094" s="109"/>
      <c r="AQ3094" s="109"/>
      <c r="AR3094" s="109"/>
      <c r="AS3094" s="109"/>
    </row>
    <row r="3095" spans="1:45" ht="12.6" customHeight="1" x14ac:dyDescent="0.3">
      <c r="A3095" s="78"/>
      <c r="B3095" s="78"/>
      <c r="C3095" s="78"/>
      <c r="D3095" s="78"/>
      <c r="E3095" s="78"/>
      <c r="F3095" s="78"/>
      <c r="G3095" s="16" t="s">
        <v>1317</v>
      </c>
      <c r="Z3095" s="109"/>
      <c r="AA3095" s="109"/>
      <c r="AB3095" s="109"/>
      <c r="AC3095" s="109"/>
      <c r="AD3095" s="109"/>
      <c r="AE3095" s="109"/>
      <c r="AF3095" s="109"/>
      <c r="AG3095" s="109"/>
      <c r="AH3095" s="109"/>
      <c r="AI3095" s="109"/>
      <c r="AJ3095" s="109"/>
      <c r="AK3095" s="109"/>
      <c r="AL3095" s="109"/>
      <c r="AM3095" s="109"/>
      <c r="AN3095" s="109"/>
      <c r="AO3095" s="109"/>
      <c r="AP3095" s="109"/>
      <c r="AQ3095" s="109"/>
      <c r="AR3095" s="109"/>
      <c r="AS3095" s="109"/>
    </row>
    <row r="3096" spans="1:45" ht="12.6" customHeight="1" x14ac:dyDescent="0.3">
      <c r="A3096" s="68" t="s">
        <v>1349</v>
      </c>
      <c r="B3096" s="97" t="str">
        <f>" ○보통인부 : "&amp;TEXT(I3096,"#,##0"&amp;IF(I3096&lt;&gt;INT(I3096),".###",""))&amp;" * "&amp;AA3096&amp;" 인  / Q = "&amp;TEXT(C3096,"#,##0.0")&amp;"  원/m3 "</f>
        <v xml:space="preserve"> ○보통인부 : 165,545 * 1 인  / Q = 2,627.6  원/m3 </v>
      </c>
      <c r="C3096" s="99">
        <f>E3096+D3096+F3096</f>
        <v>2627.6</v>
      </c>
      <c r="D3096" s="99">
        <f>IF(H3096=0,0,ROUNDDOWN(J3096*H3096,1))</f>
        <v>2627.6</v>
      </c>
      <c r="E3096" s="99">
        <f>IF(H3096=0,0,ROUNDDOWN(K3096*H3096,1))</f>
        <v>0</v>
      </c>
      <c r="F3096" s="99">
        <f>IF(H3096=0,0,ROUNDDOWN(L3096*H3096,1))</f>
        <v>0</v>
      </c>
      <c r="G3096" s="16" t="s">
        <v>2113</v>
      </c>
      <c r="H3096" s="105">
        <f>AE3096</f>
        <v>1.5873015873015872E-2</v>
      </c>
      <c r="I3096" s="106">
        <f>K3096+J3096+L3096</f>
        <v>165545</v>
      </c>
      <c r="J3096" s="39">
        <f>노무비목록표!E9</f>
        <v>165545</v>
      </c>
      <c r="M3096" s="20" t="s">
        <v>1126</v>
      </c>
      <c r="N3096" s="20" t="s">
        <v>1332</v>
      </c>
      <c r="O3096" s="20" t="s">
        <v>1247</v>
      </c>
      <c r="X3096" s="108" t="str">
        <f>노무비목록표!B9&amp;" / "&amp;노무비목록표!C9</f>
        <v xml:space="preserve">보통인부 / </v>
      </c>
      <c r="Y3096" s="19" t="str">
        <f ca="1">HYPERLINK("#"&amp;노무비목록표!G2&amp;"!A"&amp;ROW(노무비목록표!A9),"노무    6 →")</f>
        <v>노무    6 →</v>
      </c>
      <c r="Z3096" s="20" t="s">
        <v>1338</v>
      </c>
      <c r="AA3096" s="111">
        <v>1</v>
      </c>
      <c r="AB3096" s="20" t="s">
        <v>1387</v>
      </c>
      <c r="AC3096" s="112">
        <f>AB3090</f>
        <v>63</v>
      </c>
      <c r="AD3096" s="20" t="s">
        <v>1326</v>
      </c>
      <c r="AE3096" s="113">
        <f>1*AA3096/AB3090</f>
        <v>1.5873015873015872E-2</v>
      </c>
      <c r="AF3096" s="109"/>
      <c r="AG3096" s="109"/>
      <c r="AH3096" s="109"/>
      <c r="AI3096" s="109"/>
      <c r="AJ3096" s="109"/>
      <c r="AK3096" s="109"/>
      <c r="AL3096" s="109"/>
      <c r="AM3096" s="109"/>
      <c r="AN3096" s="109"/>
      <c r="AO3096" s="109"/>
      <c r="AP3096" s="109"/>
      <c r="AQ3096" s="109"/>
      <c r="AR3096" s="109"/>
      <c r="AS3096" s="109"/>
    </row>
    <row r="3097" spans="1:45" ht="12.6" customHeight="1" x14ac:dyDescent="0.3">
      <c r="A3097" s="78"/>
      <c r="B3097" s="78"/>
      <c r="C3097" s="78"/>
      <c r="D3097" s="78"/>
      <c r="E3097" s="78"/>
      <c r="F3097" s="78"/>
      <c r="G3097" s="16" t="s">
        <v>1317</v>
      </c>
      <c r="Z3097" s="109"/>
      <c r="AA3097" s="109"/>
      <c r="AB3097" s="109"/>
      <c r="AC3097" s="109"/>
      <c r="AD3097" s="109"/>
      <c r="AE3097" s="109"/>
      <c r="AF3097" s="109"/>
      <c r="AG3097" s="109"/>
      <c r="AH3097" s="109"/>
      <c r="AI3097" s="109"/>
      <c r="AJ3097" s="109"/>
      <c r="AK3097" s="109"/>
      <c r="AL3097" s="109"/>
      <c r="AM3097" s="109"/>
      <c r="AN3097" s="109"/>
      <c r="AO3097" s="109"/>
      <c r="AP3097" s="109"/>
      <c r="AQ3097" s="109"/>
      <c r="AR3097" s="109"/>
      <c r="AS3097" s="109"/>
    </row>
    <row r="3098" spans="1:45" ht="12.6" customHeight="1" x14ac:dyDescent="0.3">
      <c r="A3098" s="68"/>
      <c r="B3098" s="77" t="s">
        <v>1331</v>
      </c>
      <c r="C3098" s="100">
        <f>E3098+D3098+F3098</f>
        <v>15069.6</v>
      </c>
      <c r="D3098" s="100">
        <f>SUMIF(N3087:N3097,M3098,D3087:D3097)</f>
        <v>15069.6</v>
      </c>
      <c r="E3098" s="100">
        <f>SUMIF(N3087:N3097,M3098,E3087:E3097)</f>
        <v>0</v>
      </c>
      <c r="F3098" s="100">
        <f>SUMIF(N3087:N3097,M3098,F3087:F3097)</f>
        <v>0</v>
      </c>
      <c r="G3098" s="16" t="s">
        <v>1415</v>
      </c>
      <c r="M3098" s="20" t="s">
        <v>1332</v>
      </c>
      <c r="N3098" s="20" t="s">
        <v>1341</v>
      </c>
      <c r="Z3098" s="109"/>
      <c r="AA3098" s="109"/>
      <c r="AB3098" s="109"/>
      <c r="AC3098" s="109"/>
      <c r="AD3098" s="109"/>
      <c r="AE3098" s="109"/>
      <c r="AF3098" s="109"/>
      <c r="AG3098" s="109"/>
      <c r="AH3098" s="109"/>
      <c r="AI3098" s="109"/>
      <c r="AJ3098" s="109"/>
      <c r="AK3098" s="109"/>
      <c r="AL3098" s="109"/>
      <c r="AM3098" s="109"/>
      <c r="AN3098" s="109"/>
      <c r="AO3098" s="109"/>
      <c r="AP3098" s="109"/>
      <c r="AQ3098" s="109"/>
      <c r="AR3098" s="109"/>
      <c r="AS3098" s="109"/>
    </row>
    <row r="3099" spans="1:45" ht="12.6" customHeight="1" x14ac:dyDescent="0.3">
      <c r="A3099" s="78"/>
      <c r="B3099" s="78"/>
      <c r="C3099" s="98"/>
      <c r="D3099" s="98"/>
      <c r="E3099" s="98"/>
      <c r="F3099" s="98"/>
      <c r="G3099" s="16" t="s">
        <v>1317</v>
      </c>
      <c r="Z3099" s="109"/>
      <c r="AA3099" s="109"/>
      <c r="AB3099" s="109"/>
      <c r="AC3099" s="109"/>
      <c r="AD3099" s="109"/>
      <c r="AE3099" s="109"/>
      <c r="AF3099" s="109"/>
      <c r="AG3099" s="109"/>
      <c r="AH3099" s="109"/>
      <c r="AI3099" s="109"/>
      <c r="AJ3099" s="109"/>
      <c r="AK3099" s="109"/>
      <c r="AL3099" s="109"/>
      <c r="AM3099" s="109"/>
      <c r="AN3099" s="109"/>
      <c r="AO3099" s="109"/>
      <c r="AP3099" s="109"/>
      <c r="AQ3099" s="109"/>
      <c r="AR3099" s="109"/>
      <c r="AS3099" s="109"/>
    </row>
    <row r="3100" spans="1:45" ht="12.6" customHeight="1" x14ac:dyDescent="0.3">
      <c r="A3100" s="68"/>
      <c r="B3100" s="77" t="s">
        <v>2115</v>
      </c>
      <c r="C3100" s="78"/>
      <c r="D3100" s="78"/>
      <c r="E3100" s="78"/>
      <c r="F3100" s="78"/>
      <c r="G3100" s="16" t="s">
        <v>2114</v>
      </c>
      <c r="Z3100" s="109"/>
      <c r="AA3100" s="109"/>
      <c r="AB3100" s="109"/>
      <c r="AC3100" s="109"/>
      <c r="AD3100" s="109"/>
      <c r="AE3100" s="109"/>
      <c r="AF3100" s="109"/>
      <c r="AG3100" s="109"/>
      <c r="AH3100" s="109"/>
      <c r="AI3100" s="109"/>
      <c r="AJ3100" s="109"/>
      <c r="AK3100" s="109"/>
      <c r="AL3100" s="109"/>
      <c r="AM3100" s="109"/>
      <c r="AN3100" s="109"/>
      <c r="AO3100" s="109"/>
      <c r="AP3100" s="109"/>
      <c r="AQ3100" s="109"/>
      <c r="AR3100" s="109"/>
      <c r="AS3100" s="109"/>
    </row>
    <row r="3101" spans="1:45" ht="12.6" customHeight="1" x14ac:dyDescent="0.3">
      <c r="A3101" s="78"/>
      <c r="B3101" s="78"/>
      <c r="C3101" s="78"/>
      <c r="D3101" s="78"/>
      <c r="E3101" s="78"/>
      <c r="F3101" s="78"/>
      <c r="G3101" s="16" t="s">
        <v>1317</v>
      </c>
      <c r="Z3101" s="109"/>
      <c r="AA3101" s="109"/>
      <c r="AB3101" s="109"/>
      <c r="AC3101" s="109"/>
      <c r="AD3101" s="109"/>
      <c r="AE3101" s="109"/>
      <c r="AF3101" s="109"/>
      <c r="AG3101" s="109"/>
      <c r="AH3101" s="109"/>
      <c r="AI3101" s="109"/>
      <c r="AJ3101" s="109"/>
      <c r="AK3101" s="109"/>
      <c r="AL3101" s="109"/>
      <c r="AM3101" s="109"/>
      <c r="AN3101" s="109"/>
      <c r="AO3101" s="109"/>
      <c r="AP3101" s="109"/>
      <c r="AQ3101" s="109"/>
      <c r="AR3101" s="109"/>
      <c r="AS3101" s="109"/>
    </row>
    <row r="3102" spans="1:45" ht="12.6" customHeight="1" x14ac:dyDescent="0.3">
      <c r="A3102" s="68"/>
      <c r="B3102" s="97" t="str">
        <f>"  공구손료 :  "&amp;TEXT(I3102,"#,##0.0")&amp;" * "&amp;AA3102&amp;" % = "&amp;TEXT(C3102,"#,##0.0")&amp;""</f>
        <v xml:space="preserve">  공구손료 :  15,069.6 * 2 % = 301.3</v>
      </c>
      <c r="C3102" s="99">
        <f>E3102+D3102+F3102</f>
        <v>301.3</v>
      </c>
      <c r="D3102" s="99">
        <f>IF(H3102=0,0,ROUNDDOWN(J3102*H3102/100,1))</f>
        <v>0</v>
      </c>
      <c r="E3102" s="99">
        <f>IF(H3102=0,0,ROUNDDOWN(K3102*H3102/100,1))</f>
        <v>0</v>
      </c>
      <c r="F3102" s="99">
        <f>IF(H3102=0,0,ROUNDDOWN(L3102*H3102/100,1))</f>
        <v>301.3</v>
      </c>
      <c r="G3102" s="16" t="s">
        <v>2116</v>
      </c>
      <c r="H3102" s="105">
        <f>AC3102</f>
        <v>2</v>
      </c>
      <c r="I3102" s="106">
        <f>K3102+J3102+L3102</f>
        <v>15069.6</v>
      </c>
      <c r="J3102" s="37">
        <v>0</v>
      </c>
      <c r="K3102" s="37">
        <v>0</v>
      </c>
      <c r="L3102" s="39">
        <f>SUMIF(O3087:O3101,"1_01",C3087:C3101)</f>
        <v>15069.6</v>
      </c>
      <c r="M3102" s="20" t="s">
        <v>1367</v>
      </c>
      <c r="N3102" s="20" t="s">
        <v>1332</v>
      </c>
      <c r="Z3102" s="20" t="s">
        <v>1338</v>
      </c>
      <c r="AA3102" s="111">
        <v>2</v>
      </c>
      <c r="AB3102" s="20" t="s">
        <v>1326</v>
      </c>
      <c r="AC3102" s="113">
        <f>1*AA3102</f>
        <v>2</v>
      </c>
      <c r="AD3102" s="109"/>
      <c r="AE3102" s="109"/>
      <c r="AF3102" s="109"/>
      <c r="AG3102" s="109"/>
      <c r="AH3102" s="109"/>
      <c r="AI3102" s="109"/>
      <c r="AJ3102" s="109"/>
      <c r="AK3102" s="109"/>
      <c r="AL3102" s="109"/>
      <c r="AM3102" s="109"/>
      <c r="AN3102" s="109"/>
      <c r="AO3102" s="109"/>
      <c r="AP3102" s="109"/>
      <c r="AQ3102" s="109"/>
      <c r="AR3102" s="109"/>
      <c r="AS3102" s="109"/>
    </row>
    <row r="3103" spans="1:45" ht="12.6" customHeight="1" x14ac:dyDescent="0.3">
      <c r="A3103" s="78"/>
      <c r="B3103" s="78"/>
      <c r="C3103" s="78"/>
      <c r="D3103" s="78"/>
      <c r="E3103" s="78"/>
      <c r="F3103" s="78"/>
      <c r="G3103" s="16" t="s">
        <v>1317</v>
      </c>
      <c r="Z3103" s="109"/>
      <c r="AA3103" s="109"/>
      <c r="AB3103" s="109"/>
      <c r="AC3103" s="109"/>
      <c r="AD3103" s="109"/>
      <c r="AE3103" s="109"/>
      <c r="AF3103" s="109"/>
      <c r="AG3103" s="109"/>
      <c r="AH3103" s="109"/>
      <c r="AI3103" s="109"/>
      <c r="AJ3103" s="109"/>
      <c r="AK3103" s="109"/>
      <c r="AL3103" s="109"/>
      <c r="AM3103" s="109"/>
      <c r="AN3103" s="109"/>
      <c r="AO3103" s="109"/>
      <c r="AP3103" s="109"/>
      <c r="AQ3103" s="109"/>
      <c r="AR3103" s="109"/>
      <c r="AS3103" s="109"/>
    </row>
    <row r="3104" spans="1:45" ht="12.6" customHeight="1" x14ac:dyDescent="0.3">
      <c r="A3104" s="68"/>
      <c r="B3104" s="77" t="s">
        <v>1331</v>
      </c>
      <c r="C3104" s="100">
        <f>E3104+D3104+F3104</f>
        <v>301.3</v>
      </c>
      <c r="D3104" s="100">
        <f>SUMIF(N3099:N3103,M3104,D3099:D3103)</f>
        <v>0</v>
      </c>
      <c r="E3104" s="100">
        <f>SUMIF(N3099:N3103,M3104,E3099:E3103)</f>
        <v>0</v>
      </c>
      <c r="F3104" s="100">
        <f>SUMIF(N3099:N3103,M3104,F3099:F3103)</f>
        <v>301.3</v>
      </c>
      <c r="G3104" s="16" t="s">
        <v>1415</v>
      </c>
      <c r="M3104" s="20" t="s">
        <v>1332</v>
      </c>
      <c r="N3104" s="20" t="s">
        <v>1341</v>
      </c>
      <c r="Z3104" s="109"/>
      <c r="AA3104" s="109"/>
      <c r="AB3104" s="109"/>
      <c r="AC3104" s="109"/>
      <c r="AD3104" s="109"/>
      <c r="AE3104" s="109"/>
      <c r="AF3104" s="109"/>
      <c r="AG3104" s="109"/>
      <c r="AH3104" s="109"/>
      <c r="AI3104" s="109"/>
      <c r="AJ3104" s="109"/>
      <c r="AK3104" s="109"/>
      <c r="AL3104" s="109"/>
      <c r="AM3104" s="109"/>
      <c r="AN3104" s="109"/>
      <c r="AO3104" s="109"/>
      <c r="AP3104" s="109"/>
      <c r="AQ3104" s="109"/>
      <c r="AR3104" s="109"/>
      <c r="AS3104" s="109"/>
    </row>
    <row r="3105" spans="1:45" ht="12.6" customHeight="1" x14ac:dyDescent="0.3">
      <c r="A3105" s="78"/>
      <c r="B3105" s="78"/>
      <c r="C3105" s="98"/>
      <c r="D3105" s="98"/>
      <c r="E3105" s="98"/>
      <c r="F3105" s="98"/>
      <c r="G3105" s="16" t="s">
        <v>1317</v>
      </c>
      <c r="Z3105" s="109"/>
      <c r="AA3105" s="109"/>
      <c r="AB3105" s="109"/>
      <c r="AC3105" s="109"/>
      <c r="AD3105" s="109"/>
      <c r="AE3105" s="109"/>
      <c r="AF3105" s="109"/>
      <c r="AG3105" s="109"/>
      <c r="AH3105" s="109"/>
      <c r="AI3105" s="109"/>
      <c r="AJ3105" s="109"/>
      <c r="AK3105" s="109"/>
      <c r="AL3105" s="109"/>
      <c r="AM3105" s="109"/>
      <c r="AN3105" s="109"/>
      <c r="AO3105" s="109"/>
      <c r="AP3105" s="109"/>
      <c r="AQ3105" s="109"/>
      <c r="AR3105" s="109"/>
      <c r="AS3105" s="109"/>
    </row>
    <row r="3106" spans="1:45" ht="12.6" customHeight="1" x14ac:dyDescent="0.3">
      <c r="A3106" s="68"/>
      <c r="B3106" s="77" t="s">
        <v>2118</v>
      </c>
      <c r="C3106" s="78"/>
      <c r="D3106" s="78"/>
      <c r="E3106" s="78"/>
      <c r="F3106" s="78"/>
      <c r="G3106" s="16" t="s">
        <v>2117</v>
      </c>
      <c r="Z3106" s="109"/>
      <c r="AA3106" s="109"/>
      <c r="AB3106" s="109"/>
      <c r="AC3106" s="109"/>
      <c r="AD3106" s="109"/>
      <c r="AE3106" s="109"/>
      <c r="AF3106" s="109"/>
      <c r="AG3106" s="109"/>
      <c r="AH3106" s="109"/>
      <c r="AI3106" s="109"/>
      <c r="AJ3106" s="109"/>
      <c r="AK3106" s="109"/>
      <c r="AL3106" s="109"/>
      <c r="AM3106" s="109"/>
      <c r="AN3106" s="109"/>
      <c r="AO3106" s="109"/>
      <c r="AP3106" s="109"/>
      <c r="AQ3106" s="109"/>
      <c r="AR3106" s="109"/>
      <c r="AS3106" s="109"/>
    </row>
    <row r="3107" spans="1:45" ht="12.6" customHeight="1" x14ac:dyDescent="0.3">
      <c r="A3107" s="78"/>
      <c r="B3107" s="78"/>
      <c r="C3107" s="78"/>
      <c r="D3107" s="78"/>
      <c r="E3107" s="78"/>
      <c r="F3107" s="78"/>
      <c r="G3107" s="16" t="s">
        <v>1317</v>
      </c>
      <c r="Z3107" s="109"/>
      <c r="AA3107" s="109"/>
      <c r="AB3107" s="109"/>
      <c r="AC3107" s="109"/>
      <c r="AD3107" s="109"/>
      <c r="AE3107" s="109"/>
      <c r="AF3107" s="109"/>
      <c r="AG3107" s="109"/>
      <c r="AH3107" s="109"/>
      <c r="AI3107" s="109"/>
      <c r="AJ3107" s="109"/>
      <c r="AK3107" s="109"/>
      <c r="AL3107" s="109"/>
      <c r="AM3107" s="109"/>
      <c r="AN3107" s="109"/>
      <c r="AO3107" s="109"/>
      <c r="AP3107" s="109"/>
      <c r="AQ3107" s="109"/>
      <c r="AR3107" s="109"/>
      <c r="AS3107" s="109"/>
    </row>
    <row r="3108" spans="1:45" ht="12.6" customHeight="1" x14ac:dyDescent="0.3">
      <c r="A3108" s="68"/>
      <c r="B3108" s="97" t="str">
        <f>" □ 시간당 시공량 :  Q =  "&amp;Z3108&amp;" m3/일r "</f>
        <v xml:space="preserve"> □ 시간당 시공량 :  Q =  63 m3/일r </v>
      </c>
      <c r="C3108" s="78"/>
      <c r="D3108" s="78"/>
      <c r="E3108" s="78"/>
      <c r="F3108" s="78"/>
      <c r="G3108" s="16" t="s">
        <v>2119</v>
      </c>
      <c r="Z3108" s="111">
        <v>63</v>
      </c>
      <c r="AA3108" s="20" t="s">
        <v>1326</v>
      </c>
      <c r="AB3108" s="112">
        <f>Z3108</f>
        <v>63</v>
      </c>
      <c r="AC3108" s="109"/>
      <c r="AD3108" s="109"/>
      <c r="AE3108" s="109"/>
      <c r="AF3108" s="109"/>
      <c r="AG3108" s="109"/>
      <c r="AH3108" s="109"/>
      <c r="AI3108" s="109"/>
      <c r="AJ3108" s="109"/>
      <c r="AK3108" s="109"/>
      <c r="AL3108" s="109"/>
      <c r="AM3108" s="109"/>
      <c r="AN3108" s="109"/>
      <c r="AO3108" s="109"/>
      <c r="AP3108" s="109"/>
      <c r="AQ3108" s="109"/>
      <c r="AR3108" s="109"/>
      <c r="AS3108" s="109"/>
    </row>
    <row r="3109" spans="1:45" ht="12.6" customHeight="1" x14ac:dyDescent="0.3">
      <c r="A3109" s="78"/>
      <c r="B3109" s="78"/>
      <c r="C3109" s="78"/>
      <c r="D3109" s="78"/>
      <c r="E3109" s="78"/>
      <c r="F3109" s="78"/>
      <c r="G3109" s="16" t="s">
        <v>1317</v>
      </c>
      <c r="Z3109" s="109"/>
      <c r="AA3109" s="109"/>
      <c r="AB3109" s="109"/>
      <c r="AC3109" s="109"/>
      <c r="AD3109" s="109"/>
      <c r="AE3109" s="109"/>
      <c r="AF3109" s="109"/>
      <c r="AG3109" s="109"/>
      <c r="AH3109" s="109"/>
      <c r="AI3109" s="109"/>
      <c r="AJ3109" s="109"/>
      <c r="AK3109" s="109"/>
      <c r="AL3109" s="109"/>
      <c r="AM3109" s="109"/>
      <c r="AN3109" s="109"/>
      <c r="AO3109" s="109"/>
      <c r="AP3109" s="109"/>
      <c r="AQ3109" s="109"/>
      <c r="AR3109" s="109"/>
      <c r="AS3109" s="109"/>
    </row>
    <row r="3110" spans="1:45" ht="12.6" customHeight="1" x14ac:dyDescent="0.3">
      <c r="A3110" s="68" t="s">
        <v>1473</v>
      </c>
      <c r="B3110" s="97" t="str">
        <f>" 노 무 비 :  "&amp;TEXT(I3110,"#,##0"&amp;IF(I3110&lt;&gt;INT(I3110),".###",""))&amp;" * "&amp;AA3110&amp;" / Q = "&amp;TEXT(C3110,"#,##0.0")&amp;""</f>
        <v xml:space="preserve"> 노 무 비 :  55,700 * 8 / Q = 7,073.0</v>
      </c>
      <c r="C3110" s="99">
        <f>E3110+D3110+F3110</f>
        <v>7073</v>
      </c>
      <c r="D3110" s="99">
        <f>IF(H3110=0,0,ROUNDDOWN(J3110*H3110,1))</f>
        <v>7073</v>
      </c>
      <c r="E3110" s="99">
        <f>IF(H3110=0,0,ROUNDDOWN(K3110*H3110,1))</f>
        <v>0</v>
      </c>
      <c r="F3110" s="99">
        <f>IF(H3110=0,0,ROUNDDOWN(L3110*H3110,1))</f>
        <v>0</v>
      </c>
      <c r="G3110" s="16" t="s">
        <v>2120</v>
      </c>
      <c r="H3110" s="105">
        <f>AE3110</f>
        <v>0.12698412698412698</v>
      </c>
      <c r="I3110" s="106">
        <f>K3110+J3110+L3110</f>
        <v>55700</v>
      </c>
      <c r="J3110" s="39">
        <f>중기목록표!F7</f>
        <v>55700</v>
      </c>
      <c r="M3110" s="20" t="s">
        <v>1193</v>
      </c>
      <c r="N3110" s="20" t="s">
        <v>1332</v>
      </c>
      <c r="X3110" s="108" t="str">
        <f>중기목록표!B7&amp;" / "&amp;중기목록표!C7</f>
        <v xml:space="preserve">굴삭기(0.7m3) / </v>
      </c>
      <c r="Y3110" s="19" t="str">
        <f ca="1">HYPERLINK("#"&amp;중기목록표!J2&amp;"!A"&amp;ROW(중기목록표!A7),"중기    4 →")</f>
        <v>중기    4 →</v>
      </c>
      <c r="Z3110" s="20" t="s">
        <v>1338</v>
      </c>
      <c r="AA3110" s="111">
        <v>8</v>
      </c>
      <c r="AB3110" s="20" t="s">
        <v>1387</v>
      </c>
      <c r="AC3110" s="112">
        <f>AB3108</f>
        <v>63</v>
      </c>
      <c r="AD3110" s="20" t="s">
        <v>1326</v>
      </c>
      <c r="AE3110" s="113">
        <f>1*AA3110/AB3108</f>
        <v>0.12698412698412698</v>
      </c>
      <c r="AF3110" s="109"/>
      <c r="AG3110" s="109"/>
      <c r="AH3110" s="109"/>
      <c r="AI3110" s="109"/>
      <c r="AJ3110" s="109"/>
      <c r="AK3110" s="109"/>
      <c r="AL3110" s="109"/>
      <c r="AM3110" s="109"/>
      <c r="AN3110" s="109"/>
      <c r="AO3110" s="109"/>
      <c r="AP3110" s="109"/>
      <c r="AQ3110" s="109"/>
      <c r="AR3110" s="109"/>
      <c r="AS3110" s="109"/>
    </row>
    <row r="3111" spans="1:45" ht="12.6" customHeight="1" x14ac:dyDescent="0.3">
      <c r="A3111" s="78"/>
      <c r="B3111" s="78"/>
      <c r="C3111" s="78"/>
      <c r="D3111" s="78"/>
      <c r="E3111" s="78"/>
      <c r="F3111" s="78"/>
      <c r="G3111" s="16" t="s">
        <v>1317</v>
      </c>
      <c r="Z3111" s="109"/>
      <c r="AA3111" s="109"/>
      <c r="AB3111" s="109"/>
      <c r="AC3111" s="109"/>
      <c r="AD3111" s="109"/>
      <c r="AE3111" s="109"/>
      <c r="AF3111" s="109"/>
      <c r="AG3111" s="109"/>
      <c r="AH3111" s="109"/>
      <c r="AI3111" s="109"/>
      <c r="AJ3111" s="109"/>
      <c r="AK3111" s="109"/>
      <c r="AL3111" s="109"/>
      <c r="AM3111" s="109"/>
      <c r="AN3111" s="109"/>
      <c r="AO3111" s="109"/>
      <c r="AP3111" s="109"/>
      <c r="AQ3111" s="109"/>
      <c r="AR3111" s="109"/>
      <c r="AS3111" s="109"/>
    </row>
    <row r="3112" spans="1:45" ht="12.6" customHeight="1" x14ac:dyDescent="0.3">
      <c r="A3112" s="68" t="s">
        <v>1475</v>
      </c>
      <c r="B3112" s="97" t="str">
        <f>" 재 료 비 :  "&amp;TEXT(I3112,"#,##0"&amp;IF(I3112&lt;&gt;INT(I3112),".###",""))&amp;" * "&amp;AA3112&amp;" / Q = "&amp;TEXT(C3112,"#,##0.0")&amp;""</f>
        <v xml:space="preserve"> 재 료 비 :  18,001 * 8 / Q = 2,285.8</v>
      </c>
      <c r="C3112" s="99">
        <f>E3112+D3112+F3112</f>
        <v>2285.8000000000002</v>
      </c>
      <c r="D3112" s="99">
        <f>IF(H3112=0,0,ROUNDDOWN(J3112*H3112,1))</f>
        <v>0</v>
      </c>
      <c r="E3112" s="99">
        <f>IF(H3112=0,0,ROUNDDOWN(K3112*H3112,1))</f>
        <v>2285.8000000000002</v>
      </c>
      <c r="F3112" s="99">
        <f>IF(H3112=0,0,ROUNDDOWN(L3112*H3112,1))</f>
        <v>0</v>
      </c>
      <c r="G3112" s="16" t="s">
        <v>2121</v>
      </c>
      <c r="H3112" s="105">
        <f>AE3112</f>
        <v>0.12698412698412698</v>
      </c>
      <c r="I3112" s="106">
        <f>K3112+J3112+L3112</f>
        <v>18001</v>
      </c>
      <c r="K3112" s="39">
        <f>중기목록표!G7</f>
        <v>18001</v>
      </c>
      <c r="M3112" s="20" t="s">
        <v>1193</v>
      </c>
      <c r="N3112" s="20" t="s">
        <v>1332</v>
      </c>
      <c r="X3112" s="108" t="str">
        <f>중기목록표!B7&amp;" / "&amp;중기목록표!C7</f>
        <v xml:space="preserve">굴삭기(0.7m3) / </v>
      </c>
      <c r="Y3112" s="19" t="str">
        <f ca="1">HYPERLINK("#"&amp;중기목록표!J2&amp;"!A"&amp;ROW(중기목록표!A7),"중기    4 →")</f>
        <v>중기    4 →</v>
      </c>
      <c r="Z3112" s="20" t="s">
        <v>1338</v>
      </c>
      <c r="AA3112" s="111">
        <v>8</v>
      </c>
      <c r="AB3112" s="20" t="s">
        <v>1387</v>
      </c>
      <c r="AC3112" s="112">
        <f>AB3108</f>
        <v>63</v>
      </c>
      <c r="AD3112" s="20" t="s">
        <v>1326</v>
      </c>
      <c r="AE3112" s="113">
        <f>1*AA3112/AB3108</f>
        <v>0.12698412698412698</v>
      </c>
      <c r="AF3112" s="109"/>
      <c r="AG3112" s="109"/>
      <c r="AH3112" s="109"/>
      <c r="AI3112" s="109"/>
      <c r="AJ3112" s="109"/>
      <c r="AK3112" s="109"/>
      <c r="AL3112" s="109"/>
      <c r="AM3112" s="109"/>
      <c r="AN3112" s="109"/>
      <c r="AO3112" s="109"/>
      <c r="AP3112" s="109"/>
      <c r="AQ3112" s="109"/>
      <c r="AR3112" s="109"/>
      <c r="AS3112" s="109"/>
    </row>
    <row r="3113" spans="1:45" ht="12.6" customHeight="1" x14ac:dyDescent="0.3">
      <c r="A3113" s="78"/>
      <c r="B3113" s="78"/>
      <c r="C3113" s="78"/>
      <c r="D3113" s="78"/>
      <c r="E3113" s="78"/>
      <c r="F3113" s="78"/>
      <c r="G3113" s="16" t="s">
        <v>1317</v>
      </c>
      <c r="Z3113" s="109"/>
      <c r="AA3113" s="109"/>
      <c r="AB3113" s="109"/>
      <c r="AC3113" s="109"/>
      <c r="AD3113" s="109"/>
      <c r="AE3113" s="109"/>
      <c r="AF3113" s="109"/>
      <c r="AG3113" s="109"/>
      <c r="AH3113" s="109"/>
      <c r="AI3113" s="109"/>
      <c r="AJ3113" s="109"/>
      <c r="AK3113" s="109"/>
      <c r="AL3113" s="109"/>
      <c r="AM3113" s="109"/>
      <c r="AN3113" s="109"/>
      <c r="AO3113" s="109"/>
      <c r="AP3113" s="109"/>
      <c r="AQ3113" s="109"/>
      <c r="AR3113" s="109"/>
      <c r="AS3113" s="109"/>
    </row>
    <row r="3114" spans="1:45" ht="12.6" customHeight="1" x14ac:dyDescent="0.3">
      <c r="A3114" s="68" t="s">
        <v>1477</v>
      </c>
      <c r="B3114" s="97" t="str">
        <f>" 경    비 :  "&amp;TEXT(I3114,"#,##0"&amp;IF(I3114&lt;&gt;INT(I3114),".###",""))&amp;" * "&amp;AA3114&amp;" / Q = "&amp;TEXT(C3114,"#,##0.0")&amp;""</f>
        <v xml:space="preserve"> 경    비 :  23,128 * 8 / Q = 2,936.8</v>
      </c>
      <c r="C3114" s="99">
        <f>E3114+D3114+F3114</f>
        <v>2936.8</v>
      </c>
      <c r="D3114" s="99">
        <f>IF(H3114=0,0,ROUNDDOWN(J3114*H3114,1))</f>
        <v>0</v>
      </c>
      <c r="E3114" s="99">
        <f>IF(H3114=0,0,ROUNDDOWN(K3114*H3114,1))</f>
        <v>0</v>
      </c>
      <c r="F3114" s="99">
        <f>IF(H3114=0,0,ROUNDDOWN(L3114*H3114,1))</f>
        <v>2936.8</v>
      </c>
      <c r="G3114" s="16" t="s">
        <v>2122</v>
      </c>
      <c r="H3114" s="105">
        <f>AE3114</f>
        <v>0.12698412698412698</v>
      </c>
      <c r="I3114" s="106">
        <f>K3114+J3114+L3114</f>
        <v>23128</v>
      </c>
      <c r="L3114" s="39">
        <f>중기목록표!H7</f>
        <v>23128</v>
      </c>
      <c r="M3114" s="20" t="s">
        <v>1193</v>
      </c>
      <c r="N3114" s="20" t="s">
        <v>1332</v>
      </c>
      <c r="X3114" s="108" t="str">
        <f>중기목록표!B7&amp;" / "&amp;중기목록표!C7</f>
        <v xml:space="preserve">굴삭기(0.7m3) / </v>
      </c>
      <c r="Y3114" s="19" t="str">
        <f ca="1">HYPERLINK("#"&amp;중기목록표!J2&amp;"!A"&amp;ROW(중기목록표!A7),"중기    4 →")</f>
        <v>중기    4 →</v>
      </c>
      <c r="Z3114" s="20" t="s">
        <v>1338</v>
      </c>
      <c r="AA3114" s="111">
        <v>8</v>
      </c>
      <c r="AB3114" s="20" t="s">
        <v>1387</v>
      </c>
      <c r="AC3114" s="112">
        <f>AB3108</f>
        <v>63</v>
      </c>
      <c r="AD3114" s="20" t="s">
        <v>1326</v>
      </c>
      <c r="AE3114" s="113">
        <f>1*AA3114/AB3108</f>
        <v>0.12698412698412698</v>
      </c>
      <c r="AF3114" s="109"/>
      <c r="AG3114" s="109"/>
      <c r="AH3114" s="109"/>
      <c r="AI3114" s="109"/>
      <c r="AJ3114" s="109"/>
      <c r="AK3114" s="109"/>
      <c r="AL3114" s="109"/>
      <c r="AM3114" s="109"/>
      <c r="AN3114" s="109"/>
      <c r="AO3114" s="109"/>
      <c r="AP3114" s="109"/>
      <c r="AQ3114" s="109"/>
      <c r="AR3114" s="109"/>
      <c r="AS3114" s="109"/>
    </row>
    <row r="3115" spans="1:45" ht="12.6" customHeight="1" x14ac:dyDescent="0.3">
      <c r="A3115" s="78"/>
      <c r="B3115" s="78"/>
      <c r="C3115" s="78"/>
      <c r="D3115" s="78"/>
      <c r="E3115" s="78"/>
      <c r="F3115" s="78"/>
      <c r="G3115" s="16" t="s">
        <v>1317</v>
      </c>
      <c r="Z3115" s="109"/>
      <c r="AA3115" s="109"/>
      <c r="AB3115" s="109"/>
      <c r="AC3115" s="109"/>
      <c r="AD3115" s="109"/>
      <c r="AE3115" s="109"/>
      <c r="AF3115" s="109"/>
      <c r="AG3115" s="109"/>
      <c r="AH3115" s="109"/>
      <c r="AI3115" s="109"/>
      <c r="AJ3115" s="109"/>
      <c r="AK3115" s="109"/>
      <c r="AL3115" s="109"/>
      <c r="AM3115" s="109"/>
      <c r="AN3115" s="109"/>
      <c r="AO3115" s="109"/>
      <c r="AP3115" s="109"/>
      <c r="AQ3115" s="109"/>
      <c r="AR3115" s="109"/>
      <c r="AS3115" s="109"/>
    </row>
    <row r="3116" spans="1:45" ht="12.6" customHeight="1" x14ac:dyDescent="0.3">
      <c r="A3116" s="68"/>
      <c r="B3116" s="77" t="s">
        <v>1331</v>
      </c>
      <c r="C3116" s="100">
        <f>E3116+D3116+F3116</f>
        <v>12295.599999999999</v>
      </c>
      <c r="D3116" s="100">
        <f>SUMIF(N3105:N3115,M3116,D3105:D3115)</f>
        <v>7073</v>
      </c>
      <c r="E3116" s="100">
        <f>SUMIF(N3105:N3115,M3116,E3105:E3115)</f>
        <v>2285.8000000000002</v>
      </c>
      <c r="F3116" s="100">
        <f>SUMIF(N3105:N3115,M3116,F3105:F3115)</f>
        <v>2936.8</v>
      </c>
      <c r="G3116" s="16" t="s">
        <v>1415</v>
      </c>
      <c r="M3116" s="20" t="s">
        <v>1332</v>
      </c>
      <c r="N3116" s="20" t="s">
        <v>1341</v>
      </c>
      <c r="Z3116" s="109"/>
      <c r="AA3116" s="109"/>
      <c r="AB3116" s="109"/>
      <c r="AC3116" s="109"/>
      <c r="AD3116" s="109"/>
      <c r="AE3116" s="109"/>
      <c r="AF3116" s="109"/>
      <c r="AG3116" s="109"/>
      <c r="AH3116" s="109"/>
      <c r="AI3116" s="109"/>
      <c r="AJ3116" s="109"/>
      <c r="AK3116" s="109"/>
      <c r="AL3116" s="109"/>
      <c r="AM3116" s="109"/>
      <c r="AN3116" s="109"/>
      <c r="AO3116" s="109"/>
      <c r="AP3116" s="109"/>
      <c r="AQ3116" s="109"/>
      <c r="AR3116" s="109"/>
      <c r="AS3116" s="109"/>
    </row>
    <row r="3117" spans="1:45" ht="12.6" customHeight="1" x14ac:dyDescent="0.3">
      <c r="A3117" s="78"/>
      <c r="B3117" s="78"/>
      <c r="C3117" s="98"/>
      <c r="D3117" s="98"/>
      <c r="E3117" s="98"/>
      <c r="F3117" s="98"/>
      <c r="G3117" s="16" t="s">
        <v>1317</v>
      </c>
      <c r="Z3117" s="109"/>
      <c r="AA3117" s="109"/>
      <c r="AB3117" s="109"/>
      <c r="AC3117" s="109"/>
      <c r="AD3117" s="109"/>
      <c r="AE3117" s="109"/>
      <c r="AF3117" s="109"/>
      <c r="AG3117" s="109"/>
      <c r="AH3117" s="109"/>
      <c r="AI3117" s="109"/>
      <c r="AJ3117" s="109"/>
      <c r="AK3117" s="109"/>
      <c r="AL3117" s="109"/>
      <c r="AM3117" s="109"/>
      <c r="AN3117" s="109"/>
      <c r="AO3117" s="109"/>
      <c r="AP3117" s="109"/>
      <c r="AQ3117" s="109"/>
      <c r="AR3117" s="109"/>
      <c r="AS3117" s="109"/>
    </row>
    <row r="3118" spans="1:45" ht="12.6" customHeight="1" x14ac:dyDescent="0.3">
      <c r="A3118" s="68"/>
      <c r="B3118" s="77" t="s">
        <v>1340</v>
      </c>
      <c r="C3118" s="100">
        <f>E3118+D3118+F3118</f>
        <v>27666.5</v>
      </c>
      <c r="D3118" s="100">
        <f>SUMIF(N3087:N3117,M3118,D3087:D3117)</f>
        <v>22142.6</v>
      </c>
      <c r="E3118" s="100">
        <f>SUMIF(N3087:N3117,M3118,E3087:E3117)</f>
        <v>2285.8000000000002</v>
      </c>
      <c r="F3118" s="100">
        <f>SUMIF(N3087:N3117,M3118,F3087:F3117)</f>
        <v>3238.1000000000004</v>
      </c>
      <c r="G3118" s="16" t="s">
        <v>1380</v>
      </c>
      <c r="M3118" s="20" t="s">
        <v>1341</v>
      </c>
      <c r="N3118" s="20" t="s">
        <v>1128</v>
      </c>
      <c r="Z3118" s="109"/>
      <c r="AA3118" s="109"/>
      <c r="AB3118" s="109"/>
      <c r="AC3118" s="109"/>
      <c r="AD3118" s="109"/>
      <c r="AE3118" s="109"/>
      <c r="AF3118" s="109"/>
      <c r="AG3118" s="109"/>
      <c r="AH3118" s="109"/>
      <c r="AI3118" s="109"/>
      <c r="AJ3118" s="109"/>
      <c r="AK3118" s="109"/>
      <c r="AL3118" s="109"/>
      <c r="AM3118" s="109"/>
      <c r="AN3118" s="109"/>
      <c r="AO3118" s="109"/>
      <c r="AP3118" s="109"/>
      <c r="AQ3118" s="109"/>
      <c r="AR3118" s="109"/>
      <c r="AS3118" s="109"/>
    </row>
    <row r="3119" spans="1:45" ht="12.6" customHeight="1" x14ac:dyDescent="0.3">
      <c r="A3119" s="78"/>
      <c r="B3119" s="78"/>
      <c r="C3119" s="98"/>
      <c r="D3119" s="98"/>
      <c r="E3119" s="98"/>
      <c r="F3119" s="98"/>
      <c r="Z3119" s="109"/>
      <c r="AA3119" s="109"/>
      <c r="AB3119" s="109"/>
      <c r="AC3119" s="109"/>
      <c r="AD3119" s="109"/>
      <c r="AE3119" s="109"/>
      <c r="AF3119" s="109"/>
      <c r="AG3119" s="109"/>
      <c r="AH3119" s="109"/>
      <c r="AI3119" s="109"/>
      <c r="AJ3119" s="109"/>
      <c r="AK3119" s="109"/>
      <c r="AL3119" s="109"/>
      <c r="AM3119" s="109"/>
      <c r="AN3119" s="109"/>
      <c r="AO3119" s="109"/>
      <c r="AP3119" s="109"/>
      <c r="AQ3119" s="109"/>
      <c r="AR3119" s="109"/>
      <c r="AS3119" s="109"/>
    </row>
    <row r="3120" spans="1:45" ht="12.6" customHeight="1" x14ac:dyDescent="0.3">
      <c r="A3120" s="78"/>
      <c r="B3120" s="78"/>
      <c r="C3120" s="78"/>
      <c r="D3120" s="78"/>
      <c r="E3120" s="78"/>
      <c r="F3120" s="78"/>
      <c r="Z3120" s="109"/>
      <c r="AA3120" s="109"/>
      <c r="AB3120" s="109"/>
      <c r="AC3120" s="109"/>
      <c r="AD3120" s="109"/>
      <c r="AE3120" s="109"/>
      <c r="AF3120" s="109"/>
      <c r="AG3120" s="109"/>
      <c r="AH3120" s="109"/>
      <c r="AI3120" s="109"/>
      <c r="AJ3120" s="109"/>
      <c r="AK3120" s="109"/>
      <c r="AL3120" s="109"/>
      <c r="AM3120" s="109"/>
      <c r="AN3120" s="109"/>
      <c r="AO3120" s="109"/>
      <c r="AP3120" s="109"/>
      <c r="AQ3120" s="109"/>
      <c r="AR3120" s="109"/>
      <c r="AS3120" s="109"/>
    </row>
    <row r="3121" spans="1:45" ht="12.6" customHeight="1" x14ac:dyDescent="0.3">
      <c r="A3121" s="78"/>
      <c r="B3121" s="78"/>
      <c r="C3121" s="78"/>
      <c r="D3121" s="78"/>
      <c r="E3121" s="78"/>
      <c r="F3121" s="78"/>
      <c r="Z3121" s="109"/>
      <c r="AA3121" s="109"/>
      <c r="AB3121" s="109"/>
      <c r="AC3121" s="109"/>
      <c r="AD3121" s="109"/>
      <c r="AE3121" s="109"/>
      <c r="AF3121" s="109"/>
      <c r="AG3121" s="109"/>
      <c r="AH3121" s="109"/>
      <c r="AI3121" s="109"/>
      <c r="AJ3121" s="109"/>
      <c r="AK3121" s="109"/>
      <c r="AL3121" s="109"/>
      <c r="AM3121" s="109"/>
      <c r="AN3121" s="109"/>
      <c r="AO3121" s="109"/>
      <c r="AP3121" s="109"/>
      <c r="AQ3121" s="109"/>
      <c r="AR3121" s="109"/>
      <c r="AS3121" s="109"/>
    </row>
    <row r="3122" spans="1:45" ht="12.6" customHeight="1" x14ac:dyDescent="0.3">
      <c r="A3122" s="78"/>
      <c r="B3122" s="78"/>
      <c r="C3122" s="78"/>
      <c r="D3122" s="78"/>
      <c r="E3122" s="78"/>
      <c r="F3122" s="78"/>
      <c r="Z3122" s="109"/>
      <c r="AA3122" s="109"/>
      <c r="AB3122" s="109"/>
      <c r="AC3122" s="109"/>
      <c r="AD3122" s="109"/>
      <c r="AE3122" s="109"/>
      <c r="AF3122" s="109"/>
      <c r="AG3122" s="109"/>
      <c r="AH3122" s="109"/>
      <c r="AI3122" s="109"/>
      <c r="AJ3122" s="109"/>
      <c r="AK3122" s="109"/>
      <c r="AL3122" s="109"/>
      <c r="AM3122" s="109"/>
      <c r="AN3122" s="109"/>
      <c r="AO3122" s="109"/>
      <c r="AP3122" s="109"/>
      <c r="AQ3122" s="109"/>
      <c r="AR3122" s="109"/>
      <c r="AS3122" s="109"/>
    </row>
    <row r="3123" spans="1:45" ht="12.6" customHeight="1" x14ac:dyDescent="0.3">
      <c r="A3123" s="78"/>
      <c r="B3123" s="78"/>
      <c r="C3123" s="78"/>
      <c r="D3123" s="78"/>
      <c r="E3123" s="78"/>
      <c r="F3123" s="78"/>
      <c r="Z3123" s="109"/>
      <c r="AA3123" s="109"/>
      <c r="AB3123" s="109"/>
      <c r="AC3123" s="109"/>
      <c r="AD3123" s="109"/>
      <c r="AE3123" s="109"/>
      <c r="AF3123" s="109"/>
      <c r="AG3123" s="109"/>
      <c r="AH3123" s="109"/>
      <c r="AI3123" s="109"/>
      <c r="AJ3123" s="109"/>
      <c r="AK3123" s="109"/>
      <c r="AL3123" s="109"/>
      <c r="AM3123" s="109"/>
      <c r="AN3123" s="109"/>
      <c r="AO3123" s="109"/>
      <c r="AP3123" s="109"/>
      <c r="AQ3123" s="109"/>
      <c r="AR3123" s="109"/>
      <c r="AS3123" s="109"/>
    </row>
    <row r="3124" spans="1:45" ht="12.6" customHeight="1" x14ac:dyDescent="0.3">
      <c r="A3124" s="78"/>
      <c r="B3124" s="78"/>
      <c r="C3124" s="78"/>
      <c r="D3124" s="78"/>
      <c r="E3124" s="78"/>
      <c r="F3124" s="78"/>
      <c r="Z3124" s="109"/>
      <c r="AA3124" s="109"/>
      <c r="AB3124" s="109"/>
      <c r="AC3124" s="109"/>
      <c r="AD3124" s="109"/>
      <c r="AE3124" s="109"/>
      <c r="AF3124" s="109"/>
      <c r="AG3124" s="109"/>
      <c r="AH3124" s="109"/>
      <c r="AI3124" s="109"/>
      <c r="AJ3124" s="109"/>
      <c r="AK3124" s="109"/>
      <c r="AL3124" s="109"/>
      <c r="AM3124" s="109"/>
      <c r="AN3124" s="109"/>
      <c r="AO3124" s="109"/>
      <c r="AP3124" s="109"/>
      <c r="AQ3124" s="109"/>
      <c r="AR3124" s="109"/>
      <c r="AS3124" s="109"/>
    </row>
    <row r="3125" spans="1:45" ht="12.6" customHeight="1" x14ac:dyDescent="0.3">
      <c r="A3125" s="78"/>
      <c r="B3125" s="78"/>
      <c r="C3125" s="78"/>
      <c r="D3125" s="78"/>
      <c r="E3125" s="78"/>
      <c r="F3125" s="78"/>
      <c r="Z3125" s="109"/>
      <c r="AA3125" s="109"/>
      <c r="AB3125" s="109"/>
      <c r="AC3125" s="109"/>
      <c r="AD3125" s="109"/>
      <c r="AE3125" s="109"/>
      <c r="AF3125" s="109"/>
      <c r="AG3125" s="109"/>
      <c r="AH3125" s="109"/>
      <c r="AI3125" s="109"/>
      <c r="AJ3125" s="109"/>
      <c r="AK3125" s="109"/>
      <c r="AL3125" s="109"/>
      <c r="AM3125" s="109"/>
      <c r="AN3125" s="109"/>
      <c r="AO3125" s="109"/>
      <c r="AP3125" s="109"/>
      <c r="AQ3125" s="109"/>
      <c r="AR3125" s="109"/>
      <c r="AS3125" s="109"/>
    </row>
    <row r="3126" spans="1:45" ht="12.6" customHeight="1" x14ac:dyDescent="0.3">
      <c r="A3126" s="78"/>
      <c r="B3126" s="78"/>
      <c r="C3126" s="78"/>
      <c r="D3126" s="78"/>
      <c r="E3126" s="78"/>
      <c r="F3126" s="78"/>
      <c r="Z3126" s="109"/>
      <c r="AA3126" s="109"/>
      <c r="AB3126" s="109"/>
      <c r="AC3126" s="109"/>
      <c r="AD3126" s="109"/>
      <c r="AE3126" s="109"/>
      <c r="AF3126" s="109"/>
      <c r="AG3126" s="109"/>
      <c r="AH3126" s="109"/>
      <c r="AI3126" s="109"/>
      <c r="AJ3126" s="109"/>
      <c r="AK3126" s="109"/>
      <c r="AL3126" s="109"/>
      <c r="AM3126" s="109"/>
      <c r="AN3126" s="109"/>
      <c r="AO3126" s="109"/>
      <c r="AP3126" s="109"/>
      <c r="AQ3126" s="109"/>
      <c r="AR3126" s="109"/>
      <c r="AS3126" s="109"/>
    </row>
    <row r="3127" spans="1:45" ht="12.6" customHeight="1" x14ac:dyDescent="0.3">
      <c r="A3127" s="78"/>
      <c r="B3127" s="78"/>
      <c r="C3127" s="78"/>
      <c r="D3127" s="78"/>
      <c r="E3127" s="78"/>
      <c r="F3127" s="78"/>
      <c r="Z3127" s="109"/>
      <c r="AA3127" s="109"/>
      <c r="AB3127" s="109"/>
      <c r="AC3127" s="109"/>
      <c r="AD3127" s="109"/>
      <c r="AE3127" s="109"/>
      <c r="AF3127" s="109"/>
      <c r="AG3127" s="109"/>
      <c r="AH3127" s="109"/>
      <c r="AI3127" s="109"/>
      <c r="AJ3127" s="109"/>
      <c r="AK3127" s="109"/>
      <c r="AL3127" s="109"/>
      <c r="AM3127" s="109"/>
      <c r="AN3127" s="109"/>
      <c r="AO3127" s="109"/>
      <c r="AP3127" s="109"/>
      <c r="AQ3127" s="109"/>
      <c r="AR3127" s="109"/>
      <c r="AS3127" s="109"/>
    </row>
    <row r="3128" spans="1:45" ht="12.6" customHeight="1" x14ac:dyDescent="0.3">
      <c r="A3128" s="78"/>
      <c r="B3128" s="78"/>
      <c r="C3128" s="78"/>
      <c r="D3128" s="78"/>
      <c r="E3128" s="78"/>
      <c r="F3128" s="78"/>
      <c r="Z3128" s="109"/>
      <c r="AA3128" s="109"/>
      <c r="AB3128" s="109"/>
      <c r="AC3128" s="109"/>
      <c r="AD3128" s="109"/>
      <c r="AE3128" s="109"/>
      <c r="AF3128" s="109"/>
      <c r="AG3128" s="109"/>
      <c r="AH3128" s="109"/>
      <c r="AI3128" s="109"/>
      <c r="AJ3128" s="109"/>
      <c r="AK3128" s="109"/>
      <c r="AL3128" s="109"/>
      <c r="AM3128" s="109"/>
      <c r="AN3128" s="109"/>
      <c r="AO3128" s="109"/>
      <c r="AP3128" s="109"/>
      <c r="AQ3128" s="109"/>
      <c r="AR3128" s="109"/>
      <c r="AS3128" s="109"/>
    </row>
    <row r="3129" spans="1:45" ht="12.6" customHeight="1" x14ac:dyDescent="0.3">
      <c r="A3129" s="78"/>
      <c r="B3129" s="78"/>
      <c r="C3129" s="78"/>
      <c r="D3129" s="78"/>
      <c r="E3129" s="78"/>
      <c r="F3129" s="78"/>
      <c r="Z3129" s="109"/>
      <c r="AA3129" s="109"/>
      <c r="AB3129" s="109"/>
      <c r="AC3129" s="109"/>
      <c r="AD3129" s="109"/>
      <c r="AE3129" s="109"/>
      <c r="AF3129" s="109"/>
      <c r="AG3129" s="109"/>
      <c r="AH3129" s="109"/>
      <c r="AI3129" s="109"/>
      <c r="AJ3129" s="109"/>
      <c r="AK3129" s="109"/>
      <c r="AL3129" s="109"/>
      <c r="AM3129" s="109"/>
      <c r="AN3129" s="109"/>
      <c r="AO3129" s="109"/>
      <c r="AP3129" s="109"/>
      <c r="AQ3129" s="109"/>
      <c r="AR3129" s="109"/>
      <c r="AS3129" s="109"/>
    </row>
    <row r="3130" spans="1:45" ht="12.6" customHeight="1" x14ac:dyDescent="0.3">
      <c r="A3130" s="78"/>
      <c r="B3130" s="78"/>
      <c r="C3130" s="78"/>
      <c r="D3130" s="78"/>
      <c r="E3130" s="78"/>
      <c r="F3130" s="78"/>
      <c r="Z3130" s="109"/>
      <c r="AA3130" s="109"/>
      <c r="AB3130" s="109"/>
      <c r="AC3130" s="109"/>
      <c r="AD3130" s="109"/>
      <c r="AE3130" s="109"/>
      <c r="AF3130" s="109"/>
      <c r="AG3130" s="109"/>
      <c r="AH3130" s="109"/>
      <c r="AI3130" s="109"/>
      <c r="AJ3130" s="109"/>
      <c r="AK3130" s="109"/>
      <c r="AL3130" s="109"/>
      <c r="AM3130" s="109"/>
      <c r="AN3130" s="109"/>
      <c r="AO3130" s="109"/>
      <c r="AP3130" s="109"/>
      <c r="AQ3130" s="109"/>
      <c r="AR3130" s="109"/>
      <c r="AS3130" s="109"/>
    </row>
    <row r="3131" spans="1:45" ht="12.6" customHeight="1" x14ac:dyDescent="0.3">
      <c r="A3131" s="78"/>
      <c r="B3131" s="78"/>
      <c r="C3131" s="78"/>
      <c r="D3131" s="78"/>
      <c r="E3131" s="78"/>
      <c r="F3131" s="78"/>
      <c r="Z3131" s="109"/>
      <c r="AA3131" s="109"/>
      <c r="AB3131" s="109"/>
      <c r="AC3131" s="109"/>
      <c r="AD3131" s="109"/>
      <c r="AE3131" s="109"/>
      <c r="AF3131" s="109"/>
      <c r="AG3131" s="109"/>
      <c r="AH3131" s="109"/>
      <c r="AI3131" s="109"/>
      <c r="AJ3131" s="109"/>
      <c r="AK3131" s="109"/>
      <c r="AL3131" s="109"/>
      <c r="AM3131" s="109"/>
      <c r="AN3131" s="109"/>
      <c r="AO3131" s="109"/>
      <c r="AP3131" s="109"/>
      <c r="AQ3131" s="109"/>
      <c r="AR3131" s="109"/>
      <c r="AS3131" s="109"/>
    </row>
    <row r="3132" spans="1:45" ht="12.6" customHeight="1" x14ac:dyDescent="0.3">
      <c r="A3132" s="78"/>
      <c r="B3132" s="78"/>
      <c r="C3132" s="78"/>
      <c r="D3132" s="78"/>
      <c r="E3132" s="78"/>
      <c r="F3132" s="78"/>
      <c r="Z3132" s="109"/>
      <c r="AA3132" s="109"/>
      <c r="AB3132" s="109"/>
      <c r="AC3132" s="109"/>
      <c r="AD3132" s="109"/>
      <c r="AE3132" s="109"/>
      <c r="AF3132" s="109"/>
      <c r="AG3132" s="109"/>
      <c r="AH3132" s="109"/>
      <c r="AI3132" s="109"/>
      <c r="AJ3132" s="109"/>
      <c r="AK3132" s="109"/>
      <c r="AL3132" s="109"/>
      <c r="AM3132" s="109"/>
      <c r="AN3132" s="109"/>
      <c r="AO3132" s="109"/>
      <c r="AP3132" s="109"/>
      <c r="AQ3132" s="109"/>
      <c r="AR3132" s="109"/>
      <c r="AS3132" s="109"/>
    </row>
    <row r="3133" spans="1:45" ht="12.6" customHeight="1" x14ac:dyDescent="0.3">
      <c r="A3133" s="78"/>
      <c r="B3133" s="78"/>
      <c r="C3133" s="78"/>
      <c r="D3133" s="78"/>
      <c r="E3133" s="78"/>
      <c r="F3133" s="78"/>
      <c r="Z3133" s="109"/>
      <c r="AA3133" s="109"/>
      <c r="AB3133" s="109"/>
      <c r="AC3133" s="109"/>
      <c r="AD3133" s="109"/>
      <c r="AE3133" s="109"/>
      <c r="AF3133" s="109"/>
      <c r="AG3133" s="109"/>
      <c r="AH3133" s="109"/>
      <c r="AI3133" s="109"/>
      <c r="AJ3133" s="109"/>
      <c r="AK3133" s="109"/>
      <c r="AL3133" s="109"/>
      <c r="AM3133" s="109"/>
      <c r="AN3133" s="109"/>
      <c r="AO3133" s="109"/>
      <c r="AP3133" s="109"/>
      <c r="AQ3133" s="109"/>
      <c r="AR3133" s="109"/>
      <c r="AS3133" s="109"/>
    </row>
    <row r="3134" spans="1:45" ht="12.6" customHeight="1" x14ac:dyDescent="0.3">
      <c r="A3134" s="78"/>
      <c r="B3134" s="78"/>
      <c r="C3134" s="78"/>
      <c r="D3134" s="78"/>
      <c r="E3134" s="78"/>
      <c r="F3134" s="78"/>
      <c r="Z3134" s="109"/>
      <c r="AA3134" s="109"/>
      <c r="AB3134" s="109"/>
      <c r="AC3134" s="109"/>
      <c r="AD3134" s="109"/>
      <c r="AE3134" s="109"/>
      <c r="AF3134" s="109"/>
      <c r="AG3134" s="109"/>
      <c r="AH3134" s="109"/>
      <c r="AI3134" s="109"/>
      <c r="AJ3134" s="109"/>
      <c r="AK3134" s="109"/>
      <c r="AL3134" s="109"/>
      <c r="AM3134" s="109"/>
      <c r="AN3134" s="109"/>
      <c r="AO3134" s="109"/>
      <c r="AP3134" s="109"/>
      <c r="AQ3134" s="109"/>
      <c r="AR3134" s="109"/>
      <c r="AS3134" s="109"/>
    </row>
    <row r="3135" spans="1:45" ht="12.6" customHeight="1" x14ac:dyDescent="0.3">
      <c r="A3135" s="78"/>
      <c r="B3135" s="78"/>
      <c r="C3135" s="78"/>
      <c r="D3135" s="78"/>
      <c r="E3135" s="78"/>
      <c r="F3135" s="78"/>
      <c r="Z3135" s="109"/>
      <c r="AA3135" s="109"/>
      <c r="AB3135" s="109"/>
      <c r="AC3135" s="109"/>
      <c r="AD3135" s="109"/>
      <c r="AE3135" s="109"/>
      <c r="AF3135" s="109"/>
      <c r="AG3135" s="109"/>
      <c r="AH3135" s="109"/>
      <c r="AI3135" s="109"/>
      <c r="AJ3135" s="109"/>
      <c r="AK3135" s="109"/>
      <c r="AL3135" s="109"/>
      <c r="AM3135" s="109"/>
      <c r="AN3135" s="109"/>
      <c r="AO3135" s="109"/>
      <c r="AP3135" s="109"/>
      <c r="AQ3135" s="109"/>
      <c r="AR3135" s="109"/>
      <c r="AS3135" s="109"/>
    </row>
    <row r="3136" spans="1:45" ht="12.6" customHeight="1" x14ac:dyDescent="0.3">
      <c r="A3136" s="78"/>
      <c r="B3136" s="78"/>
      <c r="C3136" s="78"/>
      <c r="D3136" s="78"/>
      <c r="E3136" s="78"/>
      <c r="F3136" s="78"/>
      <c r="Z3136" s="109"/>
      <c r="AA3136" s="109"/>
      <c r="AB3136" s="109"/>
      <c r="AC3136" s="109"/>
      <c r="AD3136" s="109"/>
      <c r="AE3136" s="109"/>
      <c r="AF3136" s="109"/>
      <c r="AG3136" s="109"/>
      <c r="AH3136" s="109"/>
      <c r="AI3136" s="109"/>
      <c r="AJ3136" s="109"/>
      <c r="AK3136" s="109"/>
      <c r="AL3136" s="109"/>
      <c r="AM3136" s="109"/>
      <c r="AN3136" s="109"/>
      <c r="AO3136" s="109"/>
      <c r="AP3136" s="109"/>
      <c r="AQ3136" s="109"/>
      <c r="AR3136" s="109"/>
      <c r="AS3136" s="109"/>
    </row>
    <row r="3137" spans="1:45" ht="12.6" customHeight="1" x14ac:dyDescent="0.3">
      <c r="A3137" s="78"/>
      <c r="B3137" s="78"/>
      <c r="C3137" s="78"/>
      <c r="D3137" s="78"/>
      <c r="E3137" s="78"/>
      <c r="F3137" s="78"/>
      <c r="Z3137" s="109"/>
      <c r="AA3137" s="109"/>
      <c r="AB3137" s="109"/>
      <c r="AC3137" s="109"/>
      <c r="AD3137" s="109"/>
      <c r="AE3137" s="109"/>
      <c r="AF3137" s="109"/>
      <c r="AG3137" s="109"/>
      <c r="AH3137" s="109"/>
      <c r="AI3137" s="109"/>
      <c r="AJ3137" s="109"/>
      <c r="AK3137" s="109"/>
      <c r="AL3137" s="109"/>
      <c r="AM3137" s="109"/>
      <c r="AN3137" s="109"/>
      <c r="AO3137" s="109"/>
      <c r="AP3137" s="109"/>
      <c r="AQ3137" s="109"/>
      <c r="AR3137" s="109"/>
      <c r="AS3137" s="109"/>
    </row>
    <row r="3138" spans="1:45" ht="12.6" customHeight="1" x14ac:dyDescent="0.3">
      <c r="A3138" s="78"/>
      <c r="B3138" s="78"/>
      <c r="C3138" s="78"/>
      <c r="D3138" s="78"/>
      <c r="E3138" s="78"/>
      <c r="F3138" s="78"/>
      <c r="Z3138" s="109"/>
      <c r="AA3138" s="109"/>
      <c r="AB3138" s="109"/>
      <c r="AC3138" s="109"/>
      <c r="AD3138" s="109"/>
      <c r="AE3138" s="109"/>
      <c r="AF3138" s="109"/>
      <c r="AG3138" s="109"/>
      <c r="AH3138" s="109"/>
      <c r="AI3138" s="109"/>
      <c r="AJ3138" s="109"/>
      <c r="AK3138" s="109"/>
      <c r="AL3138" s="109"/>
      <c r="AM3138" s="109"/>
      <c r="AN3138" s="109"/>
      <c r="AO3138" s="109"/>
      <c r="AP3138" s="109"/>
      <c r="AQ3138" s="109"/>
      <c r="AR3138" s="109"/>
      <c r="AS3138" s="109"/>
    </row>
    <row r="3139" spans="1:45" ht="12.6" customHeight="1" x14ac:dyDescent="0.3">
      <c r="A3139" s="78"/>
      <c r="B3139" s="78"/>
      <c r="C3139" s="78"/>
      <c r="D3139" s="78"/>
      <c r="E3139" s="78"/>
      <c r="F3139" s="78"/>
      <c r="Z3139" s="109"/>
      <c r="AA3139" s="109"/>
      <c r="AB3139" s="109"/>
      <c r="AC3139" s="109"/>
      <c r="AD3139" s="109"/>
      <c r="AE3139" s="109"/>
      <c r="AF3139" s="109"/>
      <c r="AG3139" s="109"/>
      <c r="AH3139" s="109"/>
      <c r="AI3139" s="109"/>
      <c r="AJ3139" s="109"/>
      <c r="AK3139" s="109"/>
      <c r="AL3139" s="109"/>
      <c r="AM3139" s="109"/>
      <c r="AN3139" s="109"/>
      <c r="AO3139" s="109"/>
      <c r="AP3139" s="109"/>
      <c r="AQ3139" s="109"/>
      <c r="AR3139" s="109"/>
      <c r="AS3139" s="109"/>
    </row>
    <row r="3140" spans="1:45" ht="12.6" customHeight="1" x14ac:dyDescent="0.3">
      <c r="A3140" s="78"/>
      <c r="B3140" s="78"/>
      <c r="C3140" s="78"/>
      <c r="D3140" s="78"/>
      <c r="E3140" s="78"/>
      <c r="F3140" s="78"/>
      <c r="Z3140" s="109"/>
      <c r="AA3140" s="109"/>
      <c r="AB3140" s="109"/>
      <c r="AC3140" s="109"/>
      <c r="AD3140" s="109"/>
      <c r="AE3140" s="109"/>
      <c r="AF3140" s="109"/>
      <c r="AG3140" s="109"/>
      <c r="AH3140" s="109"/>
      <c r="AI3140" s="109"/>
      <c r="AJ3140" s="109"/>
      <c r="AK3140" s="109"/>
      <c r="AL3140" s="109"/>
      <c r="AM3140" s="109"/>
      <c r="AN3140" s="109"/>
      <c r="AO3140" s="109"/>
      <c r="AP3140" s="109"/>
      <c r="AQ3140" s="109"/>
      <c r="AR3140" s="109"/>
      <c r="AS3140" s="109"/>
    </row>
    <row r="3141" spans="1:45" ht="12.6" customHeight="1" x14ac:dyDescent="0.3">
      <c r="A3141" s="78"/>
      <c r="B3141" s="78"/>
      <c r="C3141" s="78"/>
      <c r="D3141" s="78"/>
      <c r="E3141" s="78"/>
      <c r="F3141" s="78"/>
      <c r="Z3141" s="109"/>
      <c r="AA3141" s="109"/>
      <c r="AB3141" s="109"/>
      <c r="AC3141" s="109"/>
      <c r="AD3141" s="109"/>
      <c r="AE3141" s="109"/>
      <c r="AF3141" s="109"/>
      <c r="AG3141" s="109"/>
      <c r="AH3141" s="109"/>
      <c r="AI3141" s="109"/>
      <c r="AJ3141" s="109"/>
      <c r="AK3141" s="109"/>
      <c r="AL3141" s="109"/>
      <c r="AM3141" s="109"/>
      <c r="AN3141" s="109"/>
      <c r="AO3141" s="109"/>
      <c r="AP3141" s="109"/>
      <c r="AQ3141" s="109"/>
      <c r="AR3141" s="109"/>
      <c r="AS3141" s="109"/>
    </row>
    <row r="3142" spans="1:45" ht="12.6" customHeight="1" x14ac:dyDescent="0.3">
      <c r="A3142" s="78"/>
      <c r="B3142" s="78"/>
      <c r="C3142" s="78"/>
      <c r="D3142" s="78"/>
      <c r="E3142" s="78"/>
      <c r="F3142" s="78"/>
      <c r="Z3142" s="109"/>
      <c r="AA3142" s="109"/>
      <c r="AB3142" s="109"/>
      <c r="AC3142" s="109"/>
      <c r="AD3142" s="109"/>
      <c r="AE3142" s="109"/>
      <c r="AF3142" s="109"/>
      <c r="AG3142" s="109"/>
      <c r="AH3142" s="109"/>
      <c r="AI3142" s="109"/>
      <c r="AJ3142" s="109"/>
      <c r="AK3142" s="109"/>
      <c r="AL3142" s="109"/>
      <c r="AM3142" s="109"/>
      <c r="AN3142" s="109"/>
      <c r="AO3142" s="109"/>
      <c r="AP3142" s="109"/>
      <c r="AQ3142" s="109"/>
      <c r="AR3142" s="109"/>
      <c r="AS3142" s="109"/>
    </row>
    <row r="3143" spans="1:45" ht="12.6" customHeight="1" x14ac:dyDescent="0.3">
      <c r="A3143" s="78"/>
      <c r="B3143" s="78"/>
      <c r="C3143" s="78"/>
      <c r="D3143" s="78"/>
      <c r="E3143" s="78"/>
      <c r="F3143" s="78"/>
      <c r="Z3143" s="109"/>
      <c r="AA3143" s="109"/>
      <c r="AB3143" s="109"/>
      <c r="AC3143" s="109"/>
      <c r="AD3143" s="109"/>
      <c r="AE3143" s="109"/>
      <c r="AF3143" s="109"/>
      <c r="AG3143" s="109"/>
      <c r="AH3143" s="109"/>
      <c r="AI3143" s="109"/>
      <c r="AJ3143" s="109"/>
      <c r="AK3143" s="109"/>
      <c r="AL3143" s="109"/>
      <c r="AM3143" s="109"/>
      <c r="AN3143" s="109"/>
      <c r="AO3143" s="109"/>
      <c r="AP3143" s="109"/>
      <c r="AQ3143" s="109"/>
      <c r="AR3143" s="109"/>
      <c r="AS3143" s="109"/>
    </row>
    <row r="3144" spans="1:45" ht="12.6" customHeight="1" x14ac:dyDescent="0.3">
      <c r="A3144" s="78"/>
      <c r="B3144" s="78"/>
      <c r="C3144" s="78"/>
      <c r="D3144" s="78"/>
      <c r="E3144" s="78"/>
      <c r="F3144" s="78"/>
      <c r="Z3144" s="109"/>
      <c r="AA3144" s="109"/>
      <c r="AB3144" s="109"/>
      <c r="AC3144" s="109"/>
      <c r="AD3144" s="109"/>
      <c r="AE3144" s="109"/>
      <c r="AF3144" s="109"/>
      <c r="AG3144" s="109"/>
      <c r="AH3144" s="109"/>
      <c r="AI3144" s="109"/>
      <c r="AJ3144" s="109"/>
      <c r="AK3144" s="109"/>
      <c r="AL3144" s="109"/>
      <c r="AM3144" s="109"/>
      <c r="AN3144" s="109"/>
      <c r="AO3144" s="109"/>
      <c r="AP3144" s="109"/>
      <c r="AQ3144" s="109"/>
      <c r="AR3144" s="109"/>
      <c r="AS3144" s="109"/>
    </row>
    <row r="3145" spans="1:45" ht="12.6" customHeight="1" x14ac:dyDescent="0.3">
      <c r="A3145" s="78"/>
      <c r="B3145" s="78"/>
      <c r="C3145" s="78"/>
      <c r="D3145" s="78"/>
      <c r="E3145" s="78"/>
      <c r="F3145" s="78"/>
      <c r="Z3145" s="109"/>
      <c r="AA3145" s="109"/>
      <c r="AB3145" s="109"/>
      <c r="AC3145" s="109"/>
      <c r="AD3145" s="109"/>
      <c r="AE3145" s="109"/>
      <c r="AF3145" s="109"/>
      <c r="AG3145" s="109"/>
      <c r="AH3145" s="109"/>
      <c r="AI3145" s="109"/>
      <c r="AJ3145" s="109"/>
      <c r="AK3145" s="109"/>
      <c r="AL3145" s="109"/>
      <c r="AM3145" s="109"/>
      <c r="AN3145" s="109"/>
      <c r="AO3145" s="109"/>
      <c r="AP3145" s="109"/>
      <c r="AQ3145" s="109"/>
      <c r="AR3145" s="109"/>
      <c r="AS3145" s="109"/>
    </row>
    <row r="3146" spans="1:45" ht="12.6" customHeight="1" x14ac:dyDescent="0.3">
      <c r="A3146" s="78"/>
      <c r="B3146" s="78"/>
      <c r="C3146" s="78"/>
      <c r="D3146" s="78"/>
      <c r="E3146" s="78"/>
      <c r="F3146" s="78"/>
      <c r="Z3146" s="109"/>
      <c r="AA3146" s="109"/>
      <c r="AB3146" s="109"/>
      <c r="AC3146" s="109"/>
      <c r="AD3146" s="109"/>
      <c r="AE3146" s="109"/>
      <c r="AF3146" s="109"/>
      <c r="AG3146" s="109"/>
      <c r="AH3146" s="109"/>
      <c r="AI3146" s="109"/>
      <c r="AJ3146" s="109"/>
      <c r="AK3146" s="109"/>
      <c r="AL3146" s="109"/>
      <c r="AM3146" s="109"/>
      <c r="AN3146" s="109"/>
      <c r="AO3146" s="109"/>
      <c r="AP3146" s="109"/>
      <c r="AQ3146" s="109"/>
      <c r="AR3146" s="109"/>
      <c r="AS3146" s="109"/>
    </row>
    <row r="3147" spans="1:45" ht="12.6" customHeight="1" x14ac:dyDescent="0.3">
      <c r="A3147" s="78"/>
      <c r="B3147" s="78"/>
      <c r="C3147" s="78"/>
      <c r="D3147" s="78"/>
      <c r="E3147" s="78"/>
      <c r="F3147" s="78"/>
      <c r="Z3147" s="109"/>
      <c r="AA3147" s="109"/>
      <c r="AB3147" s="109"/>
      <c r="AC3147" s="109"/>
      <c r="AD3147" s="109"/>
      <c r="AE3147" s="109"/>
      <c r="AF3147" s="109"/>
      <c r="AG3147" s="109"/>
      <c r="AH3147" s="109"/>
      <c r="AI3147" s="109"/>
      <c r="AJ3147" s="109"/>
      <c r="AK3147" s="109"/>
      <c r="AL3147" s="109"/>
      <c r="AM3147" s="109"/>
      <c r="AN3147" s="109"/>
      <c r="AO3147" s="109"/>
      <c r="AP3147" s="109"/>
      <c r="AQ3147" s="109"/>
      <c r="AR3147" s="109"/>
      <c r="AS3147" s="109"/>
    </row>
    <row r="3148" spans="1:45" ht="12.6" customHeight="1" x14ac:dyDescent="0.3">
      <c r="A3148" s="78"/>
      <c r="B3148" s="78"/>
      <c r="C3148" s="78"/>
      <c r="D3148" s="78"/>
      <c r="E3148" s="78"/>
      <c r="F3148" s="78"/>
      <c r="Z3148" s="109"/>
      <c r="AA3148" s="109"/>
      <c r="AB3148" s="109"/>
      <c r="AC3148" s="109"/>
      <c r="AD3148" s="109"/>
      <c r="AE3148" s="109"/>
      <c r="AF3148" s="109"/>
      <c r="AG3148" s="109"/>
      <c r="AH3148" s="109"/>
      <c r="AI3148" s="109"/>
      <c r="AJ3148" s="109"/>
      <c r="AK3148" s="109"/>
      <c r="AL3148" s="109"/>
      <c r="AM3148" s="109"/>
      <c r="AN3148" s="109"/>
      <c r="AO3148" s="109"/>
      <c r="AP3148" s="109"/>
      <c r="AQ3148" s="109"/>
      <c r="AR3148" s="109"/>
      <c r="AS3148" s="109"/>
    </row>
    <row r="3149" spans="1:45" ht="12.6" customHeight="1" x14ac:dyDescent="0.3">
      <c r="A3149" s="78"/>
      <c r="B3149" s="78"/>
      <c r="C3149" s="78"/>
      <c r="D3149" s="78"/>
      <c r="E3149" s="78"/>
      <c r="F3149" s="78"/>
      <c r="Z3149" s="109"/>
      <c r="AA3149" s="109"/>
      <c r="AB3149" s="109"/>
      <c r="AC3149" s="109"/>
      <c r="AD3149" s="109"/>
      <c r="AE3149" s="109"/>
      <c r="AF3149" s="109"/>
      <c r="AG3149" s="109"/>
      <c r="AH3149" s="109"/>
      <c r="AI3149" s="109"/>
      <c r="AJ3149" s="109"/>
      <c r="AK3149" s="109"/>
      <c r="AL3149" s="109"/>
      <c r="AM3149" s="109"/>
      <c r="AN3149" s="109"/>
      <c r="AO3149" s="109"/>
      <c r="AP3149" s="109"/>
      <c r="AQ3149" s="109"/>
      <c r="AR3149" s="109"/>
      <c r="AS3149" s="109"/>
    </row>
    <row r="3150" spans="1:45" ht="12.6" customHeight="1" x14ac:dyDescent="0.3">
      <c r="A3150" s="78"/>
      <c r="B3150" s="78"/>
      <c r="C3150" s="78"/>
      <c r="D3150" s="78"/>
      <c r="E3150" s="78"/>
      <c r="F3150" s="78"/>
      <c r="Z3150" s="109"/>
      <c r="AA3150" s="109"/>
      <c r="AB3150" s="109"/>
      <c r="AC3150" s="109"/>
      <c r="AD3150" s="109"/>
      <c r="AE3150" s="109"/>
      <c r="AF3150" s="109"/>
      <c r="AG3150" s="109"/>
      <c r="AH3150" s="109"/>
      <c r="AI3150" s="109"/>
      <c r="AJ3150" s="109"/>
      <c r="AK3150" s="109"/>
      <c r="AL3150" s="109"/>
      <c r="AM3150" s="109"/>
      <c r="AN3150" s="109"/>
      <c r="AO3150" s="109"/>
      <c r="AP3150" s="109"/>
      <c r="AQ3150" s="109"/>
      <c r="AR3150" s="109"/>
      <c r="AS3150" s="109"/>
    </row>
    <row r="3151" spans="1:45" ht="12.6" customHeight="1" x14ac:dyDescent="0.3">
      <c r="A3151" s="78"/>
      <c r="B3151" s="78"/>
      <c r="C3151" s="78"/>
      <c r="D3151" s="78"/>
      <c r="E3151" s="78"/>
      <c r="F3151" s="78"/>
      <c r="Z3151" s="109"/>
      <c r="AA3151" s="109"/>
      <c r="AB3151" s="109"/>
      <c r="AC3151" s="109"/>
      <c r="AD3151" s="109"/>
      <c r="AE3151" s="109"/>
      <c r="AF3151" s="109"/>
      <c r="AG3151" s="109"/>
      <c r="AH3151" s="109"/>
      <c r="AI3151" s="109"/>
      <c r="AJ3151" s="109"/>
      <c r="AK3151" s="109"/>
      <c r="AL3151" s="109"/>
      <c r="AM3151" s="109"/>
      <c r="AN3151" s="109"/>
      <c r="AO3151" s="109"/>
      <c r="AP3151" s="109"/>
      <c r="AQ3151" s="109"/>
      <c r="AR3151" s="109"/>
      <c r="AS3151" s="109"/>
    </row>
    <row r="3152" spans="1:45" ht="12.6" customHeight="1" x14ac:dyDescent="0.3">
      <c r="A3152" s="78"/>
      <c r="B3152" s="78"/>
      <c r="C3152" s="78"/>
      <c r="D3152" s="78"/>
      <c r="E3152" s="78"/>
      <c r="F3152" s="78"/>
      <c r="Z3152" s="109"/>
      <c r="AA3152" s="109"/>
      <c r="AB3152" s="109"/>
      <c r="AC3152" s="109"/>
      <c r="AD3152" s="109"/>
      <c r="AE3152" s="109"/>
      <c r="AF3152" s="109"/>
      <c r="AG3152" s="109"/>
      <c r="AH3152" s="109"/>
      <c r="AI3152" s="109"/>
      <c r="AJ3152" s="109"/>
      <c r="AK3152" s="109"/>
      <c r="AL3152" s="109"/>
      <c r="AM3152" s="109"/>
      <c r="AN3152" s="109"/>
      <c r="AO3152" s="109"/>
      <c r="AP3152" s="109"/>
      <c r="AQ3152" s="109"/>
      <c r="AR3152" s="109"/>
      <c r="AS3152" s="109"/>
    </row>
    <row r="3153" spans="1:45" ht="12.6" customHeight="1" x14ac:dyDescent="0.3">
      <c r="A3153" s="58"/>
      <c r="B3153" s="58"/>
      <c r="C3153" s="58"/>
      <c r="D3153" s="58"/>
      <c r="E3153" s="58"/>
      <c r="F3153" s="58"/>
      <c r="Z3153" s="109"/>
      <c r="AA3153" s="109"/>
      <c r="AB3153" s="109"/>
      <c r="AC3153" s="109"/>
      <c r="AD3153" s="109"/>
      <c r="AE3153" s="109"/>
      <c r="AF3153" s="109"/>
      <c r="AG3153" s="109"/>
      <c r="AH3153" s="109"/>
      <c r="AI3153" s="109"/>
      <c r="AJ3153" s="109"/>
      <c r="AK3153" s="109"/>
      <c r="AL3153" s="109"/>
      <c r="AM3153" s="109"/>
      <c r="AN3153" s="109"/>
      <c r="AO3153" s="109"/>
      <c r="AP3153" s="109"/>
      <c r="AQ3153" s="109"/>
      <c r="AR3153" s="109"/>
      <c r="AS3153" s="109"/>
    </row>
    <row r="3154" spans="1:45" ht="12.6" customHeight="1" x14ac:dyDescent="0.3">
      <c r="A3154" s="159" t="s">
        <v>1401</v>
      </c>
      <c r="B3154" s="152"/>
      <c r="C3154" s="55">
        <f>E3154+D3154+F3154</f>
        <v>27665</v>
      </c>
      <c r="D3154" s="54">
        <f>ROUNDDOWN(SUMIF(N3087:N3118,M3154,D3087:D3118),0)</f>
        <v>22142</v>
      </c>
      <c r="E3154" s="63">
        <f>ROUNDDOWN(SUMIF(N3087:N3118,M3154,E3087:E3118),0)</f>
        <v>2285</v>
      </c>
      <c r="F3154" s="55">
        <f>ROUNDDOWN(SUMIF(N3087:N3118,M3154,F3087:F3118),0)</f>
        <v>3238</v>
      </c>
      <c r="M3154" s="20" t="s">
        <v>1128</v>
      </c>
      <c r="Z3154" s="109"/>
      <c r="AA3154" s="109"/>
      <c r="AB3154" s="109"/>
      <c r="AC3154" s="109"/>
      <c r="AD3154" s="109"/>
      <c r="AE3154" s="109"/>
      <c r="AF3154" s="109"/>
      <c r="AG3154" s="109"/>
      <c r="AH3154" s="109"/>
      <c r="AI3154" s="109"/>
      <c r="AJ3154" s="109"/>
      <c r="AK3154" s="109"/>
      <c r="AL3154" s="109"/>
      <c r="AM3154" s="109"/>
      <c r="AN3154" s="109"/>
      <c r="AO3154" s="109"/>
      <c r="AP3154" s="109"/>
      <c r="AQ3154" s="109"/>
      <c r="AR3154" s="109"/>
      <c r="AS3154" s="109"/>
    </row>
    <row r="3155" spans="1:45" ht="12.6" customHeight="1" x14ac:dyDescent="0.3">
      <c r="A3155" s="95" t="s">
        <v>337</v>
      </c>
      <c r="B3155" s="96" t="s">
        <v>337</v>
      </c>
      <c r="C3155" s="158">
        <f>C3294</f>
        <v>3908</v>
      </c>
      <c r="D3155" s="158">
        <f>D3294</f>
        <v>2501</v>
      </c>
      <c r="E3155" s="158">
        <f>E3294</f>
        <v>587</v>
      </c>
      <c r="F3155" s="158">
        <f>F3294</f>
        <v>820</v>
      </c>
      <c r="G3155" s="36" t="str">
        <f>HYPERLINK("#G"&amp;ROW(G3275),"_x0005_`BDCOD|D02263_x0007_`POSS|"&amp;ROW(G3157)&amp;"_x0007_`POSE|"&amp;ROW(G3275)&amp;"_x0007_`")</f>
        <v>_x0005_`BDCOD|D02263_x0007_`POSS|3157_x0007_`POSE|3275_x0007_`</v>
      </c>
      <c r="Z3155" s="109"/>
      <c r="AA3155" s="109"/>
      <c r="AB3155" s="109"/>
      <c r="AC3155" s="109"/>
      <c r="AD3155" s="109"/>
      <c r="AE3155" s="109"/>
      <c r="AF3155" s="109"/>
      <c r="AG3155" s="109"/>
      <c r="AH3155" s="109"/>
      <c r="AI3155" s="109"/>
      <c r="AJ3155" s="109"/>
      <c r="AK3155" s="109"/>
      <c r="AL3155" s="109"/>
      <c r="AM3155" s="109"/>
      <c r="AN3155" s="109"/>
      <c r="AO3155" s="109"/>
      <c r="AP3155" s="109"/>
      <c r="AQ3155" s="109"/>
      <c r="AR3155" s="109"/>
      <c r="AS3155" s="109"/>
    </row>
    <row r="3156" spans="1:45" ht="12.6" customHeight="1" x14ac:dyDescent="0.3">
      <c r="A3156" s="84"/>
      <c r="B3156" s="96" t="s">
        <v>336</v>
      </c>
      <c r="C3156" s="141"/>
      <c r="D3156" s="141"/>
      <c r="E3156" s="141"/>
      <c r="F3156" s="141"/>
      <c r="M3156" s="20" t="s">
        <v>335</v>
      </c>
      <c r="Z3156" s="109"/>
      <c r="AA3156" s="109"/>
      <c r="AB3156" s="109"/>
      <c r="AC3156" s="109"/>
      <c r="AD3156" s="109"/>
      <c r="AE3156" s="109"/>
      <c r="AF3156" s="109"/>
      <c r="AG3156" s="109"/>
      <c r="AH3156" s="109"/>
      <c r="AI3156" s="109"/>
      <c r="AJ3156" s="109"/>
      <c r="AK3156" s="109"/>
      <c r="AL3156" s="109"/>
      <c r="AM3156" s="109"/>
      <c r="AN3156" s="109"/>
      <c r="AO3156" s="109"/>
      <c r="AP3156" s="109"/>
      <c r="AQ3156" s="109"/>
      <c r="AR3156" s="109"/>
      <c r="AS3156" s="109"/>
    </row>
    <row r="3157" spans="1:45" ht="12.6" customHeight="1" x14ac:dyDescent="0.3">
      <c r="A3157" s="78"/>
      <c r="B3157" s="78"/>
      <c r="C3157" s="98"/>
      <c r="D3157" s="98"/>
      <c r="E3157" s="98"/>
      <c r="F3157" s="98"/>
      <c r="G3157" s="16" t="s">
        <v>1317</v>
      </c>
      <c r="Z3157" s="109"/>
      <c r="AA3157" s="109"/>
      <c r="AB3157" s="109"/>
      <c r="AC3157" s="109"/>
      <c r="AD3157" s="109"/>
      <c r="AE3157" s="109"/>
      <c r="AF3157" s="109"/>
      <c r="AG3157" s="109"/>
      <c r="AH3157" s="109"/>
      <c r="AI3157" s="109"/>
      <c r="AJ3157" s="109"/>
      <c r="AK3157" s="109"/>
      <c r="AL3157" s="109"/>
      <c r="AM3157" s="109"/>
      <c r="AN3157" s="109"/>
      <c r="AO3157" s="109"/>
      <c r="AP3157" s="109"/>
      <c r="AQ3157" s="109"/>
      <c r="AR3157" s="109"/>
      <c r="AS3157" s="109"/>
    </row>
    <row r="3158" spans="1:45" ht="12.6" customHeight="1" x14ac:dyDescent="0.3">
      <c r="A3158" s="68"/>
      <c r="B3158" s="77" t="s">
        <v>2124</v>
      </c>
      <c r="C3158" s="78"/>
      <c r="D3158" s="78"/>
      <c r="E3158" s="78"/>
      <c r="F3158" s="78"/>
      <c r="G3158" s="16" t="s">
        <v>2123</v>
      </c>
      <c r="Z3158" s="109"/>
      <c r="AA3158" s="109"/>
      <c r="AB3158" s="109"/>
      <c r="AC3158" s="109"/>
      <c r="AD3158" s="109"/>
      <c r="AE3158" s="109"/>
      <c r="AF3158" s="109"/>
      <c r="AG3158" s="109"/>
      <c r="AH3158" s="109"/>
      <c r="AI3158" s="109"/>
      <c r="AJ3158" s="109"/>
      <c r="AK3158" s="109"/>
      <c r="AL3158" s="109"/>
      <c r="AM3158" s="109"/>
      <c r="AN3158" s="109"/>
      <c r="AO3158" s="109"/>
      <c r="AP3158" s="109"/>
      <c r="AQ3158" s="109"/>
      <c r="AR3158" s="109"/>
      <c r="AS3158" s="109"/>
    </row>
    <row r="3159" spans="1:45" ht="12.6" customHeight="1" x14ac:dyDescent="0.3">
      <c r="A3159" s="78"/>
      <c r="B3159" s="78"/>
      <c r="C3159" s="78"/>
      <c r="D3159" s="78"/>
      <c r="E3159" s="78"/>
      <c r="F3159" s="78"/>
      <c r="G3159" s="16" t="s">
        <v>1317</v>
      </c>
      <c r="Z3159" s="109"/>
      <c r="AA3159" s="109"/>
      <c r="AB3159" s="109"/>
      <c r="AC3159" s="109"/>
      <c r="AD3159" s="109"/>
      <c r="AE3159" s="109"/>
      <c r="AF3159" s="109"/>
      <c r="AG3159" s="109"/>
      <c r="AH3159" s="109"/>
      <c r="AI3159" s="109"/>
      <c r="AJ3159" s="109"/>
      <c r="AK3159" s="109"/>
      <c r="AL3159" s="109"/>
      <c r="AM3159" s="109"/>
      <c r="AN3159" s="109"/>
      <c r="AO3159" s="109"/>
      <c r="AP3159" s="109"/>
      <c r="AQ3159" s="109"/>
      <c r="AR3159" s="109"/>
      <c r="AS3159" s="109"/>
    </row>
    <row r="3160" spans="1:45" ht="12.6" customHeight="1" x14ac:dyDescent="0.3">
      <c r="A3160" s="78"/>
      <c r="B3160" s="78"/>
      <c r="C3160" s="78"/>
      <c r="D3160" s="78"/>
      <c r="E3160" s="78"/>
      <c r="F3160" s="78"/>
      <c r="G3160" s="16" t="s">
        <v>1317</v>
      </c>
      <c r="Z3160" s="109"/>
      <c r="AA3160" s="109"/>
      <c r="AB3160" s="109"/>
      <c r="AC3160" s="109"/>
      <c r="AD3160" s="109"/>
      <c r="AE3160" s="109"/>
      <c r="AF3160" s="109"/>
      <c r="AG3160" s="109"/>
      <c r="AH3160" s="109"/>
      <c r="AI3160" s="109"/>
      <c r="AJ3160" s="109"/>
      <c r="AK3160" s="109"/>
      <c r="AL3160" s="109"/>
      <c r="AM3160" s="109"/>
      <c r="AN3160" s="109"/>
      <c r="AO3160" s="109"/>
      <c r="AP3160" s="109"/>
      <c r="AQ3160" s="109"/>
      <c r="AR3160" s="109"/>
      <c r="AS3160" s="109"/>
    </row>
    <row r="3161" spans="1:45" ht="12.6" customHeight="1" x14ac:dyDescent="0.3">
      <c r="A3161" s="68"/>
      <c r="B3161" s="97" t="str">
        <f>" 운반거리:   L = "&amp;Z3161&amp;"  km "</f>
        <v xml:space="preserve"> 운반거리:   L = 0.118  km </v>
      </c>
      <c r="C3161" s="78"/>
      <c r="D3161" s="78"/>
      <c r="E3161" s="78"/>
      <c r="F3161" s="78"/>
      <c r="G3161" s="16" t="s">
        <v>2125</v>
      </c>
      <c r="Z3161" s="110">
        <v>0.11799999999999999</v>
      </c>
      <c r="AA3161" s="20" t="s">
        <v>1326</v>
      </c>
      <c r="AB3161" s="112">
        <f>Z3161</f>
        <v>0.11799999999999999</v>
      </c>
      <c r="AC3161" s="109"/>
      <c r="AD3161" s="109"/>
      <c r="AE3161" s="109"/>
      <c r="AF3161" s="109"/>
      <c r="AG3161" s="109"/>
      <c r="AH3161" s="109"/>
      <c r="AI3161" s="109"/>
      <c r="AJ3161" s="109"/>
      <c r="AK3161" s="109"/>
      <c r="AL3161" s="109"/>
      <c r="AM3161" s="109"/>
      <c r="AN3161" s="109"/>
      <c r="AO3161" s="109"/>
      <c r="AP3161" s="109"/>
      <c r="AQ3161" s="109"/>
      <c r="AR3161" s="109"/>
      <c r="AS3161" s="109"/>
    </row>
    <row r="3162" spans="1:45" ht="12.6" customHeight="1" x14ac:dyDescent="0.3">
      <c r="A3162" s="78"/>
      <c r="B3162" s="78"/>
      <c r="C3162" s="78"/>
      <c r="D3162" s="78"/>
      <c r="E3162" s="78"/>
      <c r="F3162" s="78"/>
      <c r="G3162" s="16" t="s">
        <v>1317</v>
      </c>
      <c r="Z3162" s="109"/>
      <c r="AA3162" s="109"/>
      <c r="AB3162" s="109"/>
      <c r="AC3162" s="109"/>
      <c r="AD3162" s="109"/>
      <c r="AE3162" s="109"/>
      <c r="AF3162" s="109"/>
      <c r="AG3162" s="109"/>
      <c r="AH3162" s="109"/>
      <c r="AI3162" s="109"/>
      <c r="AJ3162" s="109"/>
      <c r="AK3162" s="109"/>
      <c r="AL3162" s="109"/>
      <c r="AM3162" s="109"/>
      <c r="AN3162" s="109"/>
      <c r="AO3162" s="109"/>
      <c r="AP3162" s="109"/>
      <c r="AQ3162" s="109"/>
      <c r="AR3162" s="109"/>
      <c r="AS3162" s="109"/>
    </row>
    <row r="3163" spans="1:45" ht="12.6" customHeight="1" x14ac:dyDescent="0.3">
      <c r="A3163" s="78"/>
      <c r="B3163" s="78"/>
      <c r="C3163" s="78"/>
      <c r="D3163" s="78"/>
      <c r="E3163" s="78"/>
      <c r="F3163" s="78"/>
      <c r="G3163" s="16" t="s">
        <v>1317</v>
      </c>
      <c r="Z3163" s="109"/>
      <c r="AA3163" s="109"/>
      <c r="AB3163" s="109"/>
      <c r="AC3163" s="109"/>
      <c r="AD3163" s="109"/>
      <c r="AE3163" s="109"/>
      <c r="AF3163" s="109"/>
      <c r="AG3163" s="109"/>
      <c r="AH3163" s="109"/>
      <c r="AI3163" s="109"/>
      <c r="AJ3163" s="109"/>
      <c r="AK3163" s="109"/>
      <c r="AL3163" s="109"/>
      <c r="AM3163" s="109"/>
      <c r="AN3163" s="109"/>
      <c r="AO3163" s="109"/>
      <c r="AP3163" s="109"/>
      <c r="AQ3163" s="109"/>
      <c r="AR3163" s="109"/>
      <c r="AS3163" s="109"/>
    </row>
    <row r="3164" spans="1:45" ht="12.6" customHeight="1" x14ac:dyDescent="0.3">
      <c r="A3164" s="68"/>
      <c r="B3164" s="77" t="s">
        <v>1910</v>
      </c>
      <c r="C3164" s="78"/>
      <c r="D3164" s="78"/>
      <c r="E3164" s="78"/>
      <c r="F3164" s="78"/>
      <c r="G3164" s="16" t="s">
        <v>1909</v>
      </c>
      <c r="Z3164" s="109"/>
      <c r="AA3164" s="109"/>
      <c r="AB3164" s="109"/>
      <c r="AC3164" s="109"/>
      <c r="AD3164" s="109"/>
      <c r="AE3164" s="109"/>
      <c r="AF3164" s="109"/>
      <c r="AG3164" s="109"/>
      <c r="AH3164" s="109"/>
      <c r="AI3164" s="109"/>
      <c r="AJ3164" s="109"/>
      <c r="AK3164" s="109"/>
      <c r="AL3164" s="109"/>
      <c r="AM3164" s="109"/>
      <c r="AN3164" s="109"/>
      <c r="AO3164" s="109"/>
      <c r="AP3164" s="109"/>
      <c r="AQ3164" s="109"/>
      <c r="AR3164" s="109"/>
      <c r="AS3164" s="109"/>
    </row>
    <row r="3165" spans="1:45" ht="12.6" customHeight="1" x14ac:dyDescent="0.3">
      <c r="A3165" s="78"/>
      <c r="B3165" s="78"/>
      <c r="C3165" s="78"/>
      <c r="D3165" s="78"/>
      <c r="E3165" s="78"/>
      <c r="F3165" s="78"/>
      <c r="G3165" s="16" t="s">
        <v>1317</v>
      </c>
      <c r="Z3165" s="109"/>
      <c r="AA3165" s="109"/>
      <c r="AB3165" s="109"/>
      <c r="AC3165" s="109"/>
      <c r="AD3165" s="109"/>
      <c r="AE3165" s="109"/>
      <c r="AF3165" s="109"/>
      <c r="AG3165" s="109"/>
      <c r="AH3165" s="109"/>
      <c r="AI3165" s="109"/>
      <c r="AJ3165" s="109"/>
      <c r="AK3165" s="109"/>
      <c r="AL3165" s="109"/>
      <c r="AM3165" s="109"/>
      <c r="AN3165" s="109"/>
      <c r="AO3165" s="109"/>
      <c r="AP3165" s="109"/>
      <c r="AQ3165" s="109"/>
      <c r="AR3165" s="109"/>
      <c r="AS3165" s="109"/>
    </row>
    <row r="3166" spans="1:45" ht="12.6" customHeight="1" x14ac:dyDescent="0.3">
      <c r="A3166" s="68"/>
      <c r="B3166" s="97" t="str">
        <f>"q  (버킷용량 (m3)) = "&amp;Z3166&amp;""</f>
        <v>q  (버킷용량 (m3)) = 0.7</v>
      </c>
      <c r="C3166" s="78"/>
      <c r="D3166" s="78"/>
      <c r="E3166" s="78"/>
      <c r="F3166" s="78"/>
      <c r="G3166" s="16" t="s">
        <v>2126</v>
      </c>
      <c r="Z3166" s="110">
        <v>0.7</v>
      </c>
      <c r="AA3166" s="20" t="s">
        <v>1326</v>
      </c>
      <c r="AB3166" s="112">
        <f>Z3166</f>
        <v>0.7</v>
      </c>
      <c r="AC3166" s="109"/>
      <c r="AD3166" s="109"/>
      <c r="AE3166" s="109"/>
      <c r="AF3166" s="109"/>
      <c r="AG3166" s="109"/>
      <c r="AH3166" s="109"/>
      <c r="AI3166" s="109"/>
      <c r="AJ3166" s="109"/>
      <c r="AK3166" s="109"/>
      <c r="AL3166" s="109"/>
      <c r="AM3166" s="109"/>
      <c r="AN3166" s="109"/>
      <c r="AO3166" s="109"/>
      <c r="AP3166" s="109"/>
      <c r="AQ3166" s="109"/>
      <c r="AR3166" s="109"/>
      <c r="AS3166" s="109"/>
    </row>
    <row r="3167" spans="1:45" ht="12.6" customHeight="1" x14ac:dyDescent="0.3">
      <c r="A3167" s="78"/>
      <c r="B3167" s="78"/>
      <c r="C3167" s="78"/>
      <c r="D3167" s="78"/>
      <c r="E3167" s="78"/>
      <c r="F3167" s="78"/>
      <c r="G3167" s="16" t="s">
        <v>1317</v>
      </c>
      <c r="Z3167" s="109"/>
      <c r="AA3167" s="109"/>
      <c r="AB3167" s="109"/>
      <c r="AC3167" s="109"/>
      <c r="AD3167" s="109"/>
      <c r="AE3167" s="109"/>
      <c r="AF3167" s="109"/>
      <c r="AG3167" s="109"/>
      <c r="AH3167" s="109"/>
      <c r="AI3167" s="109"/>
      <c r="AJ3167" s="109"/>
      <c r="AK3167" s="109"/>
      <c r="AL3167" s="109"/>
      <c r="AM3167" s="109"/>
      <c r="AN3167" s="109"/>
      <c r="AO3167" s="109"/>
      <c r="AP3167" s="109"/>
      <c r="AQ3167" s="109"/>
      <c r="AR3167" s="109"/>
      <c r="AS3167" s="109"/>
    </row>
    <row r="3168" spans="1:45" ht="12.6" customHeight="1" x14ac:dyDescent="0.3">
      <c r="A3168" s="68"/>
      <c r="B3168" s="97" t="str">
        <f>"k  (버킷계수)  = "&amp;Z3168&amp;""</f>
        <v>k  (버킷계수)  = 0.7</v>
      </c>
      <c r="C3168" s="78"/>
      <c r="D3168" s="78"/>
      <c r="E3168" s="78"/>
      <c r="F3168" s="78"/>
      <c r="G3168" s="16" t="s">
        <v>2127</v>
      </c>
      <c r="Z3168" s="110">
        <v>0.7</v>
      </c>
      <c r="AA3168" s="20" t="s">
        <v>1326</v>
      </c>
      <c r="AB3168" s="112">
        <f>Z3168</f>
        <v>0.7</v>
      </c>
      <c r="AC3168" s="109"/>
      <c r="AD3168" s="109"/>
      <c r="AE3168" s="109"/>
      <c r="AF3168" s="109"/>
      <c r="AG3168" s="109"/>
      <c r="AH3168" s="109"/>
      <c r="AI3168" s="109"/>
      <c r="AJ3168" s="109"/>
      <c r="AK3168" s="109"/>
      <c r="AL3168" s="109"/>
      <c r="AM3168" s="109"/>
      <c r="AN3168" s="109"/>
      <c r="AO3168" s="109"/>
      <c r="AP3168" s="109"/>
      <c r="AQ3168" s="109"/>
      <c r="AR3168" s="109"/>
      <c r="AS3168" s="109"/>
    </row>
    <row r="3169" spans="1:45" ht="12.6" customHeight="1" x14ac:dyDescent="0.3">
      <c r="A3169" s="78"/>
      <c r="B3169" s="78"/>
      <c r="C3169" s="78"/>
      <c r="D3169" s="78"/>
      <c r="E3169" s="78"/>
      <c r="F3169" s="78"/>
      <c r="G3169" s="16" t="s">
        <v>1317</v>
      </c>
      <c r="Z3169" s="109"/>
      <c r="AA3169" s="109"/>
      <c r="AB3169" s="109"/>
      <c r="AC3169" s="109"/>
      <c r="AD3169" s="109"/>
      <c r="AE3169" s="109"/>
      <c r="AF3169" s="109"/>
      <c r="AG3169" s="109"/>
      <c r="AH3169" s="109"/>
      <c r="AI3169" s="109"/>
      <c r="AJ3169" s="109"/>
      <c r="AK3169" s="109"/>
      <c r="AL3169" s="109"/>
      <c r="AM3169" s="109"/>
      <c r="AN3169" s="109"/>
      <c r="AO3169" s="109"/>
      <c r="AP3169" s="109"/>
      <c r="AQ3169" s="109"/>
      <c r="AR3169" s="109"/>
      <c r="AS3169" s="109"/>
    </row>
    <row r="3170" spans="1:45" ht="12.6" customHeight="1" x14ac:dyDescent="0.3">
      <c r="A3170" s="68"/>
      <c r="B3170" s="97" t="str">
        <f>"f  (체적 환산계수)  = "&amp;Z3170&amp;"/"&amp;AB3170&amp;" = "&amp;AD3170&amp;""</f>
        <v>f  (체적 환산계수)  = 1/1.25 = 0.80</v>
      </c>
      <c r="C3170" s="78"/>
      <c r="D3170" s="78"/>
      <c r="E3170" s="78"/>
      <c r="F3170" s="78"/>
      <c r="G3170" s="16" t="s">
        <v>2128</v>
      </c>
      <c r="Z3170" s="111">
        <v>1</v>
      </c>
      <c r="AA3170" s="20" t="s">
        <v>1387</v>
      </c>
      <c r="AB3170" s="110">
        <v>1.25</v>
      </c>
      <c r="AC3170" s="20" t="s">
        <v>1326</v>
      </c>
      <c r="AD3170" s="112" t="str">
        <f>TEXT(ROUND(Z3170/AB3170,2),"0.00")</f>
        <v>0.80</v>
      </c>
      <c r="AE3170" s="109"/>
      <c r="AF3170" s="109"/>
      <c r="AG3170" s="109"/>
      <c r="AH3170" s="109"/>
      <c r="AI3170" s="109"/>
      <c r="AJ3170" s="109"/>
      <c r="AK3170" s="109"/>
      <c r="AL3170" s="109"/>
      <c r="AM3170" s="109"/>
      <c r="AN3170" s="109"/>
      <c r="AO3170" s="109"/>
      <c r="AP3170" s="109"/>
      <c r="AQ3170" s="109"/>
      <c r="AR3170" s="109"/>
      <c r="AS3170" s="109"/>
    </row>
    <row r="3171" spans="1:45" ht="12.6" customHeight="1" x14ac:dyDescent="0.3">
      <c r="A3171" s="78"/>
      <c r="B3171" s="78"/>
      <c r="C3171" s="78"/>
      <c r="D3171" s="78"/>
      <c r="E3171" s="78"/>
      <c r="F3171" s="78"/>
      <c r="G3171" s="16" t="s">
        <v>1317</v>
      </c>
      <c r="Z3171" s="109"/>
      <c r="AA3171" s="109"/>
      <c r="AB3171" s="109"/>
      <c r="AC3171" s="109"/>
      <c r="AD3171" s="109"/>
      <c r="AE3171" s="109"/>
      <c r="AF3171" s="109"/>
      <c r="AG3171" s="109"/>
      <c r="AH3171" s="109"/>
      <c r="AI3171" s="109"/>
      <c r="AJ3171" s="109"/>
      <c r="AK3171" s="109"/>
      <c r="AL3171" s="109"/>
      <c r="AM3171" s="109"/>
      <c r="AN3171" s="109"/>
      <c r="AO3171" s="109"/>
      <c r="AP3171" s="109"/>
      <c r="AQ3171" s="109"/>
      <c r="AR3171" s="109"/>
      <c r="AS3171" s="109"/>
    </row>
    <row r="3172" spans="1:45" ht="12.6" customHeight="1" x14ac:dyDescent="0.3">
      <c r="A3172" s="68"/>
      <c r="B3172" s="97" t="str">
        <f>"E  (작업 효율)  = "&amp;Z3172&amp;""</f>
        <v>E  (작업 효율)  = 0.75</v>
      </c>
      <c r="C3172" s="78"/>
      <c r="D3172" s="78"/>
      <c r="E3172" s="78"/>
      <c r="F3172" s="78"/>
      <c r="G3172" s="16" t="s">
        <v>2129</v>
      </c>
      <c r="Z3172" s="110">
        <v>0.75</v>
      </c>
      <c r="AA3172" s="20" t="s">
        <v>1326</v>
      </c>
      <c r="AB3172" s="112">
        <f>Z3172</f>
        <v>0.75</v>
      </c>
      <c r="AC3172" s="109"/>
      <c r="AD3172" s="109"/>
      <c r="AE3172" s="109"/>
      <c r="AF3172" s="109"/>
      <c r="AG3172" s="109"/>
      <c r="AH3172" s="109"/>
      <c r="AI3172" s="109"/>
      <c r="AJ3172" s="109"/>
      <c r="AK3172" s="109"/>
      <c r="AL3172" s="109"/>
      <c r="AM3172" s="109"/>
      <c r="AN3172" s="109"/>
      <c r="AO3172" s="109"/>
      <c r="AP3172" s="109"/>
      <c r="AQ3172" s="109"/>
      <c r="AR3172" s="109"/>
      <c r="AS3172" s="109"/>
    </row>
    <row r="3173" spans="1:45" ht="12.6" customHeight="1" x14ac:dyDescent="0.3">
      <c r="A3173" s="78"/>
      <c r="B3173" s="78"/>
      <c r="C3173" s="78"/>
      <c r="D3173" s="78"/>
      <c r="E3173" s="78"/>
      <c r="F3173" s="78"/>
      <c r="G3173" s="16" t="s">
        <v>1317</v>
      </c>
      <c r="Z3173" s="109"/>
      <c r="AA3173" s="109"/>
      <c r="AB3173" s="109"/>
      <c r="AC3173" s="109"/>
      <c r="AD3173" s="109"/>
      <c r="AE3173" s="109"/>
      <c r="AF3173" s="109"/>
      <c r="AG3173" s="109"/>
      <c r="AH3173" s="109"/>
      <c r="AI3173" s="109"/>
      <c r="AJ3173" s="109"/>
      <c r="AK3173" s="109"/>
      <c r="AL3173" s="109"/>
      <c r="AM3173" s="109"/>
      <c r="AN3173" s="109"/>
      <c r="AO3173" s="109"/>
      <c r="AP3173" s="109"/>
      <c r="AQ3173" s="109"/>
      <c r="AR3173" s="109"/>
      <c r="AS3173" s="109"/>
    </row>
    <row r="3174" spans="1:45" ht="12.6" customHeight="1" x14ac:dyDescent="0.3">
      <c r="A3174" s="68"/>
      <c r="B3174" s="97" t="str">
        <f>"Cm  (1회 사이클 시간(초))  = "&amp;Z3174&amp;"  sec(135) "</f>
        <v xml:space="preserve">Cm  (1회 사이클 시간(초))  = 20  sec(135) </v>
      </c>
      <c r="C3174" s="78"/>
      <c r="D3174" s="78"/>
      <c r="E3174" s="78"/>
      <c r="F3174" s="78"/>
      <c r="G3174" s="16" t="s">
        <v>2130</v>
      </c>
      <c r="Z3174" s="111">
        <v>20</v>
      </c>
      <c r="AA3174" s="20" t="s">
        <v>1326</v>
      </c>
      <c r="AB3174" s="112">
        <f>Z3174</f>
        <v>20</v>
      </c>
      <c r="AC3174" s="109"/>
      <c r="AD3174" s="109"/>
      <c r="AE3174" s="109"/>
      <c r="AF3174" s="109"/>
      <c r="AG3174" s="109"/>
      <c r="AH3174" s="109"/>
      <c r="AI3174" s="109"/>
      <c r="AJ3174" s="109"/>
      <c r="AK3174" s="109"/>
      <c r="AL3174" s="109"/>
      <c r="AM3174" s="109"/>
      <c r="AN3174" s="109"/>
      <c r="AO3174" s="109"/>
      <c r="AP3174" s="109"/>
      <c r="AQ3174" s="109"/>
      <c r="AR3174" s="109"/>
      <c r="AS3174" s="109"/>
    </row>
    <row r="3175" spans="1:45" ht="12.6" customHeight="1" x14ac:dyDescent="0.3">
      <c r="A3175" s="78"/>
      <c r="B3175" s="78"/>
      <c r="C3175" s="78"/>
      <c r="D3175" s="78"/>
      <c r="E3175" s="78"/>
      <c r="F3175" s="78"/>
      <c r="G3175" s="16" t="s">
        <v>1317</v>
      </c>
      <c r="Z3175" s="109"/>
      <c r="AA3175" s="109"/>
      <c r="AB3175" s="109"/>
      <c r="AC3175" s="109"/>
      <c r="AD3175" s="109"/>
      <c r="AE3175" s="109"/>
      <c r="AF3175" s="109"/>
      <c r="AG3175" s="109"/>
      <c r="AH3175" s="109"/>
      <c r="AI3175" s="109"/>
      <c r="AJ3175" s="109"/>
      <c r="AK3175" s="109"/>
      <c r="AL3175" s="109"/>
      <c r="AM3175" s="109"/>
      <c r="AN3175" s="109"/>
      <c r="AO3175" s="109"/>
      <c r="AP3175" s="109"/>
      <c r="AQ3175" s="109"/>
      <c r="AR3175" s="109"/>
      <c r="AS3175" s="109"/>
    </row>
    <row r="3176" spans="1:45" ht="12.6" customHeight="1" x14ac:dyDescent="0.3">
      <c r="A3176" s="68"/>
      <c r="B3176" s="97" t="str">
        <f>"Q  (시간당 작업량(m3/hr))  = "&amp;Z3176&amp;"*q*k*E*f/Cm = "&amp;AL3176&amp;" m3/hr "</f>
        <v xml:space="preserve">Q  (시간당 작업량(m3/hr))  = 3600*q*k*E*f/Cm = 52.92 m3/hr </v>
      </c>
      <c r="C3176" s="78"/>
      <c r="D3176" s="78"/>
      <c r="E3176" s="78"/>
      <c r="F3176" s="78"/>
      <c r="G3176" s="16" t="s">
        <v>2131</v>
      </c>
      <c r="Z3176" s="111">
        <v>3600</v>
      </c>
      <c r="AA3176" s="20" t="s">
        <v>1390</v>
      </c>
      <c r="AB3176" s="112">
        <f>AB3166</f>
        <v>0.7</v>
      </c>
      <c r="AC3176" s="20" t="s">
        <v>1390</v>
      </c>
      <c r="AD3176" s="112">
        <f>AB3168</f>
        <v>0.7</v>
      </c>
      <c r="AE3176" s="20" t="s">
        <v>1390</v>
      </c>
      <c r="AF3176" s="112">
        <f>AB3172</f>
        <v>0.75</v>
      </c>
      <c r="AG3176" s="20" t="s">
        <v>1390</v>
      </c>
      <c r="AH3176" s="112" t="str">
        <f>AD3170</f>
        <v>0.80</v>
      </c>
      <c r="AI3176" s="20" t="s">
        <v>1387</v>
      </c>
      <c r="AJ3176" s="112">
        <f>AB3174</f>
        <v>20</v>
      </c>
      <c r="AK3176" s="20" t="s">
        <v>1326</v>
      </c>
      <c r="AL3176" s="112" t="str">
        <f>TEXT(ROUND(Z3176*AB3166*AB3168*AB3172*AD3170/AB3174,2),"0.00")</f>
        <v>52.92</v>
      </c>
      <c r="AM3176" s="109"/>
      <c r="AN3176" s="109"/>
      <c r="AO3176" s="109"/>
      <c r="AP3176" s="109"/>
      <c r="AQ3176" s="109"/>
      <c r="AR3176" s="109"/>
      <c r="AS3176" s="109"/>
    </row>
    <row r="3177" spans="1:45" ht="12.6" customHeight="1" x14ac:dyDescent="0.3">
      <c r="A3177" s="78"/>
      <c r="B3177" s="78"/>
      <c r="C3177" s="78"/>
      <c r="D3177" s="78"/>
      <c r="E3177" s="78"/>
      <c r="F3177" s="78"/>
      <c r="G3177" s="16" t="s">
        <v>1317</v>
      </c>
      <c r="Z3177" s="109"/>
      <c r="AA3177" s="109"/>
      <c r="AB3177" s="109"/>
      <c r="AC3177" s="109"/>
      <c r="AD3177" s="109"/>
      <c r="AE3177" s="109"/>
      <c r="AF3177" s="109"/>
      <c r="AG3177" s="109"/>
      <c r="AH3177" s="109"/>
      <c r="AI3177" s="109"/>
      <c r="AJ3177" s="109"/>
      <c r="AK3177" s="109"/>
      <c r="AL3177" s="109"/>
      <c r="AM3177" s="109"/>
      <c r="AN3177" s="109"/>
      <c r="AO3177" s="109"/>
      <c r="AP3177" s="109"/>
      <c r="AQ3177" s="109"/>
      <c r="AR3177" s="109"/>
      <c r="AS3177" s="109"/>
    </row>
    <row r="3178" spans="1:45" ht="12.6" customHeight="1" x14ac:dyDescent="0.3">
      <c r="A3178" s="68" t="s">
        <v>1473</v>
      </c>
      <c r="B3178" s="97" t="str">
        <f>" 노 무 비  :   "&amp;TEXT(I3178,"#,##0"&amp;IF(I3178&lt;&gt;INT(I3178),".###",""))&amp;" / Q  = "&amp;TEXT(C3178,"#,##0.0")&amp;""</f>
        <v xml:space="preserve"> 노 무 비  :   55,700 / Q  = 1,052.5</v>
      </c>
      <c r="C3178" s="99">
        <f>E3178+D3178+F3178</f>
        <v>1052.5</v>
      </c>
      <c r="D3178" s="99">
        <f>IF(H3178=0,0,ROUNDDOWN(J3178*H3178,1))</f>
        <v>1052.5</v>
      </c>
      <c r="E3178" s="99">
        <f>IF(H3178=0,0,ROUNDDOWN(K3178*H3178,1))</f>
        <v>0</v>
      </c>
      <c r="F3178" s="99">
        <f>IF(H3178=0,0,ROUNDDOWN(L3178*H3178,1))</f>
        <v>0</v>
      </c>
      <c r="G3178" s="16" t="s">
        <v>1758</v>
      </c>
      <c r="H3178" s="105">
        <f>AC3178</f>
        <v>1.889644746787604E-2</v>
      </c>
      <c r="I3178" s="106">
        <f>K3178+J3178+L3178</f>
        <v>55700</v>
      </c>
      <c r="J3178" s="39">
        <f>중기목록표!F7</f>
        <v>55700</v>
      </c>
      <c r="M3178" s="20" t="s">
        <v>1193</v>
      </c>
      <c r="N3178" s="20" t="s">
        <v>1332</v>
      </c>
      <c r="X3178" s="108" t="str">
        <f>중기목록표!B7&amp;" / "&amp;중기목록표!C7</f>
        <v xml:space="preserve">굴삭기(0.7m3) / </v>
      </c>
      <c r="Y3178" s="19" t="str">
        <f ca="1">HYPERLINK("#"&amp;중기목록표!J2&amp;"!A"&amp;ROW(중기목록표!A7),"중기    4 →")</f>
        <v>중기    4 →</v>
      </c>
      <c r="Z3178" s="20" t="s">
        <v>1393</v>
      </c>
      <c r="AA3178" s="112" t="str">
        <f>AL3176</f>
        <v>52.92</v>
      </c>
      <c r="AB3178" s="20" t="s">
        <v>1326</v>
      </c>
      <c r="AC3178" s="113">
        <f>1/AL3176</f>
        <v>1.889644746787604E-2</v>
      </c>
      <c r="AD3178" s="109"/>
      <c r="AE3178" s="109"/>
      <c r="AF3178" s="109"/>
      <c r="AG3178" s="109"/>
      <c r="AH3178" s="109"/>
      <c r="AI3178" s="109"/>
      <c r="AJ3178" s="109"/>
      <c r="AK3178" s="109"/>
      <c r="AL3178" s="109"/>
      <c r="AM3178" s="109"/>
      <c r="AN3178" s="109"/>
      <c r="AO3178" s="109"/>
      <c r="AP3178" s="109"/>
      <c r="AQ3178" s="109"/>
      <c r="AR3178" s="109"/>
      <c r="AS3178" s="109"/>
    </row>
    <row r="3179" spans="1:45" ht="12.6" customHeight="1" x14ac:dyDescent="0.3">
      <c r="A3179" s="78"/>
      <c r="B3179" s="78"/>
      <c r="C3179" s="78"/>
      <c r="D3179" s="78"/>
      <c r="E3179" s="78"/>
      <c r="F3179" s="78"/>
      <c r="G3179" s="16" t="s">
        <v>1317</v>
      </c>
      <c r="Z3179" s="109"/>
      <c r="AA3179" s="109"/>
      <c r="AB3179" s="109"/>
      <c r="AC3179" s="109"/>
      <c r="AD3179" s="109"/>
      <c r="AE3179" s="109"/>
      <c r="AF3179" s="109"/>
      <c r="AG3179" s="109"/>
      <c r="AH3179" s="109"/>
      <c r="AI3179" s="109"/>
      <c r="AJ3179" s="109"/>
      <c r="AK3179" s="109"/>
      <c r="AL3179" s="109"/>
      <c r="AM3179" s="109"/>
      <c r="AN3179" s="109"/>
      <c r="AO3179" s="109"/>
      <c r="AP3179" s="109"/>
      <c r="AQ3179" s="109"/>
      <c r="AR3179" s="109"/>
      <c r="AS3179" s="109"/>
    </row>
    <row r="3180" spans="1:45" ht="12.6" customHeight="1" x14ac:dyDescent="0.3">
      <c r="A3180" s="68" t="s">
        <v>1475</v>
      </c>
      <c r="B3180" s="97" t="str">
        <f>" 재 료 비  :   "&amp;TEXT(I3180,"#,##0"&amp;IF(I3180&lt;&gt;INT(I3180),".###",""))&amp;" / Q  = "&amp;TEXT(C3180,"#,##0.0")&amp;""</f>
        <v xml:space="preserve"> 재 료 비  :   18,001 / Q  = 340.1</v>
      </c>
      <c r="C3180" s="99">
        <f>E3180+D3180+F3180</f>
        <v>340.1</v>
      </c>
      <c r="D3180" s="99">
        <f>IF(H3180=0,0,ROUNDDOWN(J3180*H3180,1))</f>
        <v>0</v>
      </c>
      <c r="E3180" s="99">
        <f>IF(H3180=0,0,ROUNDDOWN(K3180*H3180,1))</f>
        <v>340.1</v>
      </c>
      <c r="F3180" s="99">
        <f>IF(H3180=0,0,ROUNDDOWN(L3180*H3180,1))</f>
        <v>0</v>
      </c>
      <c r="G3180" s="16" t="s">
        <v>1759</v>
      </c>
      <c r="H3180" s="105">
        <f>AC3180</f>
        <v>1.889644746787604E-2</v>
      </c>
      <c r="I3180" s="106">
        <f>K3180+J3180+L3180</f>
        <v>18001</v>
      </c>
      <c r="K3180" s="39">
        <f>중기목록표!G7</f>
        <v>18001</v>
      </c>
      <c r="M3180" s="20" t="s">
        <v>1193</v>
      </c>
      <c r="N3180" s="20" t="s">
        <v>1332</v>
      </c>
      <c r="X3180" s="108" t="str">
        <f>중기목록표!B7&amp;" / "&amp;중기목록표!C7</f>
        <v xml:space="preserve">굴삭기(0.7m3) / </v>
      </c>
      <c r="Y3180" s="19" t="str">
        <f ca="1">HYPERLINK("#"&amp;중기목록표!J2&amp;"!A"&amp;ROW(중기목록표!A7),"중기    4 →")</f>
        <v>중기    4 →</v>
      </c>
      <c r="Z3180" s="20" t="s">
        <v>1393</v>
      </c>
      <c r="AA3180" s="112" t="str">
        <f>AL3176</f>
        <v>52.92</v>
      </c>
      <c r="AB3180" s="20" t="s">
        <v>1326</v>
      </c>
      <c r="AC3180" s="113">
        <f>1/AL3176</f>
        <v>1.889644746787604E-2</v>
      </c>
      <c r="AD3180" s="109"/>
      <c r="AE3180" s="109"/>
      <c r="AF3180" s="109"/>
      <c r="AG3180" s="109"/>
      <c r="AH3180" s="109"/>
      <c r="AI3180" s="109"/>
      <c r="AJ3180" s="109"/>
      <c r="AK3180" s="109"/>
      <c r="AL3180" s="109"/>
      <c r="AM3180" s="109"/>
      <c r="AN3180" s="109"/>
      <c r="AO3180" s="109"/>
      <c r="AP3180" s="109"/>
      <c r="AQ3180" s="109"/>
      <c r="AR3180" s="109"/>
      <c r="AS3180" s="109"/>
    </row>
    <row r="3181" spans="1:45" ht="12.6" customHeight="1" x14ac:dyDescent="0.3">
      <c r="A3181" s="78"/>
      <c r="B3181" s="78"/>
      <c r="C3181" s="78"/>
      <c r="D3181" s="78"/>
      <c r="E3181" s="78"/>
      <c r="F3181" s="78"/>
      <c r="G3181" s="16" t="s">
        <v>1317</v>
      </c>
      <c r="Z3181" s="109"/>
      <c r="AA3181" s="109"/>
      <c r="AB3181" s="109"/>
      <c r="AC3181" s="109"/>
      <c r="AD3181" s="109"/>
      <c r="AE3181" s="109"/>
      <c r="AF3181" s="109"/>
      <c r="AG3181" s="109"/>
      <c r="AH3181" s="109"/>
      <c r="AI3181" s="109"/>
      <c r="AJ3181" s="109"/>
      <c r="AK3181" s="109"/>
      <c r="AL3181" s="109"/>
      <c r="AM3181" s="109"/>
      <c r="AN3181" s="109"/>
      <c r="AO3181" s="109"/>
      <c r="AP3181" s="109"/>
      <c r="AQ3181" s="109"/>
      <c r="AR3181" s="109"/>
      <c r="AS3181" s="109"/>
    </row>
    <row r="3182" spans="1:45" ht="12.6" customHeight="1" x14ac:dyDescent="0.3">
      <c r="A3182" s="68" t="s">
        <v>1477</v>
      </c>
      <c r="B3182" s="97" t="str">
        <f>" 경    비  :   "&amp;TEXT(I3182,"#,##0"&amp;IF(I3182&lt;&gt;INT(I3182),".###",""))&amp;" / Q  = "&amp;TEXT(C3182,"#,##0.0")&amp;""</f>
        <v xml:space="preserve"> 경    비  :   23,128 / Q  = 437.0</v>
      </c>
      <c r="C3182" s="99">
        <f>E3182+D3182+F3182</f>
        <v>437</v>
      </c>
      <c r="D3182" s="99">
        <f>IF(H3182=0,0,ROUNDDOWN(J3182*H3182,1))</f>
        <v>0</v>
      </c>
      <c r="E3182" s="99">
        <f>IF(H3182=0,0,ROUNDDOWN(K3182*H3182,1))</f>
        <v>0</v>
      </c>
      <c r="F3182" s="99">
        <f>IF(H3182=0,0,ROUNDDOWN(L3182*H3182,1))</f>
        <v>437</v>
      </c>
      <c r="G3182" s="16" t="s">
        <v>1760</v>
      </c>
      <c r="H3182" s="105">
        <f>AC3182</f>
        <v>1.889644746787604E-2</v>
      </c>
      <c r="I3182" s="106">
        <f>K3182+J3182+L3182</f>
        <v>23128</v>
      </c>
      <c r="L3182" s="39">
        <f>중기목록표!H7</f>
        <v>23128</v>
      </c>
      <c r="M3182" s="20" t="s">
        <v>1193</v>
      </c>
      <c r="N3182" s="20" t="s">
        <v>1332</v>
      </c>
      <c r="X3182" s="108" t="str">
        <f>중기목록표!B7&amp;" / "&amp;중기목록표!C7</f>
        <v xml:space="preserve">굴삭기(0.7m3) / </v>
      </c>
      <c r="Y3182" s="19" t="str">
        <f ca="1">HYPERLINK("#"&amp;중기목록표!J2&amp;"!A"&amp;ROW(중기목록표!A7),"중기    4 →")</f>
        <v>중기    4 →</v>
      </c>
      <c r="Z3182" s="20" t="s">
        <v>1393</v>
      </c>
      <c r="AA3182" s="112" t="str">
        <f>AL3176</f>
        <v>52.92</v>
      </c>
      <c r="AB3182" s="20" t="s">
        <v>1326</v>
      </c>
      <c r="AC3182" s="113">
        <f>1/AL3176</f>
        <v>1.889644746787604E-2</v>
      </c>
      <c r="AD3182" s="109"/>
      <c r="AE3182" s="109"/>
      <c r="AF3182" s="109"/>
      <c r="AG3182" s="109"/>
      <c r="AH3182" s="109"/>
      <c r="AI3182" s="109"/>
      <c r="AJ3182" s="109"/>
      <c r="AK3182" s="109"/>
      <c r="AL3182" s="109"/>
      <c r="AM3182" s="109"/>
      <c r="AN3182" s="109"/>
      <c r="AO3182" s="109"/>
      <c r="AP3182" s="109"/>
      <c r="AQ3182" s="109"/>
      <c r="AR3182" s="109"/>
      <c r="AS3182" s="109"/>
    </row>
    <row r="3183" spans="1:45" ht="12.6" customHeight="1" x14ac:dyDescent="0.3">
      <c r="A3183" s="78"/>
      <c r="B3183" s="78"/>
      <c r="C3183" s="78"/>
      <c r="D3183" s="78"/>
      <c r="E3183" s="78"/>
      <c r="F3183" s="78"/>
      <c r="G3183" s="16" t="s">
        <v>1317</v>
      </c>
      <c r="Z3183" s="109"/>
      <c r="AA3183" s="109"/>
      <c r="AB3183" s="109"/>
      <c r="AC3183" s="109"/>
      <c r="AD3183" s="109"/>
      <c r="AE3183" s="109"/>
      <c r="AF3183" s="109"/>
      <c r="AG3183" s="109"/>
      <c r="AH3183" s="109"/>
      <c r="AI3183" s="109"/>
      <c r="AJ3183" s="109"/>
      <c r="AK3183" s="109"/>
      <c r="AL3183" s="109"/>
      <c r="AM3183" s="109"/>
      <c r="AN3183" s="109"/>
      <c r="AO3183" s="109"/>
      <c r="AP3183" s="109"/>
      <c r="AQ3183" s="109"/>
      <c r="AR3183" s="109"/>
      <c r="AS3183" s="109"/>
    </row>
    <row r="3184" spans="1:45" ht="12.6" customHeight="1" x14ac:dyDescent="0.3">
      <c r="A3184" s="68"/>
      <c r="B3184" s="77" t="s">
        <v>1331</v>
      </c>
      <c r="C3184" s="100">
        <f>E3184+D3184+F3184</f>
        <v>1829.6</v>
      </c>
      <c r="D3184" s="100">
        <f>SUMIF(N3157:N3183,M3184,D3157:D3183)</f>
        <v>1052.5</v>
      </c>
      <c r="E3184" s="100">
        <f>SUMIF(N3157:N3183,M3184,E3157:E3183)</f>
        <v>340.1</v>
      </c>
      <c r="F3184" s="100">
        <f>SUMIF(N3157:N3183,M3184,F3157:F3183)</f>
        <v>437</v>
      </c>
      <c r="G3184" s="16" t="s">
        <v>1415</v>
      </c>
      <c r="M3184" s="20" t="s">
        <v>1332</v>
      </c>
      <c r="N3184" s="20" t="s">
        <v>1341</v>
      </c>
      <c r="Z3184" s="109"/>
      <c r="AA3184" s="109"/>
      <c r="AB3184" s="109"/>
      <c r="AC3184" s="109"/>
      <c r="AD3184" s="109"/>
      <c r="AE3184" s="109"/>
      <c r="AF3184" s="109"/>
      <c r="AG3184" s="109"/>
      <c r="AH3184" s="109"/>
      <c r="AI3184" s="109"/>
      <c r="AJ3184" s="109"/>
      <c r="AK3184" s="109"/>
      <c r="AL3184" s="109"/>
      <c r="AM3184" s="109"/>
      <c r="AN3184" s="109"/>
      <c r="AO3184" s="109"/>
      <c r="AP3184" s="109"/>
      <c r="AQ3184" s="109"/>
      <c r="AR3184" s="109"/>
      <c r="AS3184" s="109"/>
    </row>
    <row r="3185" spans="1:45" ht="12.6" customHeight="1" x14ac:dyDescent="0.3">
      <c r="A3185" s="78"/>
      <c r="B3185" s="78"/>
      <c r="C3185" s="98"/>
      <c r="D3185" s="98"/>
      <c r="E3185" s="98"/>
      <c r="F3185" s="98"/>
      <c r="G3185" s="16" t="s">
        <v>1317</v>
      </c>
      <c r="Z3185" s="109"/>
      <c r="AA3185" s="109"/>
      <c r="AB3185" s="109"/>
      <c r="AC3185" s="109"/>
      <c r="AD3185" s="109"/>
      <c r="AE3185" s="109"/>
      <c r="AF3185" s="109"/>
      <c r="AG3185" s="109"/>
      <c r="AH3185" s="109"/>
      <c r="AI3185" s="109"/>
      <c r="AJ3185" s="109"/>
      <c r="AK3185" s="109"/>
      <c r="AL3185" s="109"/>
      <c r="AM3185" s="109"/>
      <c r="AN3185" s="109"/>
      <c r="AO3185" s="109"/>
      <c r="AP3185" s="109"/>
      <c r="AQ3185" s="109"/>
      <c r="AR3185" s="109"/>
      <c r="AS3185" s="109"/>
    </row>
    <row r="3186" spans="1:45" ht="12.6" customHeight="1" x14ac:dyDescent="0.3">
      <c r="A3186" s="78"/>
      <c r="B3186" s="78"/>
      <c r="C3186" s="78"/>
      <c r="D3186" s="78"/>
      <c r="E3186" s="78"/>
      <c r="F3186" s="78"/>
      <c r="G3186" s="16" t="s">
        <v>1317</v>
      </c>
      <c r="Z3186" s="109"/>
      <c r="AA3186" s="109"/>
      <c r="AB3186" s="109"/>
      <c r="AC3186" s="109"/>
      <c r="AD3186" s="109"/>
      <c r="AE3186" s="109"/>
      <c r="AF3186" s="109"/>
      <c r="AG3186" s="109"/>
      <c r="AH3186" s="109"/>
      <c r="AI3186" s="109"/>
      <c r="AJ3186" s="109"/>
      <c r="AK3186" s="109"/>
      <c r="AL3186" s="109"/>
      <c r="AM3186" s="109"/>
      <c r="AN3186" s="109"/>
      <c r="AO3186" s="109"/>
      <c r="AP3186" s="109"/>
      <c r="AQ3186" s="109"/>
      <c r="AR3186" s="109"/>
      <c r="AS3186" s="109"/>
    </row>
    <row r="3187" spans="1:45" ht="12.6" customHeight="1" x14ac:dyDescent="0.3">
      <c r="A3187" s="68"/>
      <c r="B3187" s="77" t="s">
        <v>2133</v>
      </c>
      <c r="C3187" s="78"/>
      <c r="D3187" s="78"/>
      <c r="E3187" s="78"/>
      <c r="F3187" s="78"/>
      <c r="G3187" s="16" t="s">
        <v>2132</v>
      </c>
      <c r="Z3187" s="109"/>
      <c r="AA3187" s="109"/>
      <c r="AB3187" s="109"/>
      <c r="AC3187" s="109"/>
      <c r="AD3187" s="109"/>
      <c r="AE3187" s="109"/>
      <c r="AF3187" s="109"/>
      <c r="AG3187" s="109"/>
      <c r="AH3187" s="109"/>
      <c r="AI3187" s="109"/>
      <c r="AJ3187" s="109"/>
      <c r="AK3187" s="109"/>
      <c r="AL3187" s="109"/>
      <c r="AM3187" s="109"/>
      <c r="AN3187" s="109"/>
      <c r="AO3187" s="109"/>
      <c r="AP3187" s="109"/>
      <c r="AQ3187" s="109"/>
      <c r="AR3187" s="109"/>
      <c r="AS3187" s="109"/>
    </row>
    <row r="3188" spans="1:45" ht="12.6" customHeight="1" x14ac:dyDescent="0.3">
      <c r="A3188" s="78"/>
      <c r="B3188" s="78"/>
      <c r="C3188" s="78"/>
      <c r="D3188" s="78"/>
      <c r="E3188" s="78"/>
      <c r="F3188" s="78"/>
      <c r="G3188" s="16" t="s">
        <v>1317</v>
      </c>
      <c r="Z3188" s="109"/>
      <c r="AA3188" s="109"/>
      <c r="AB3188" s="109"/>
      <c r="AC3188" s="109"/>
      <c r="AD3188" s="109"/>
      <c r="AE3188" s="109"/>
      <c r="AF3188" s="109"/>
      <c r="AG3188" s="109"/>
      <c r="AH3188" s="109"/>
      <c r="AI3188" s="109"/>
      <c r="AJ3188" s="109"/>
      <c r="AK3188" s="109"/>
      <c r="AL3188" s="109"/>
      <c r="AM3188" s="109"/>
      <c r="AN3188" s="109"/>
      <c r="AO3188" s="109"/>
      <c r="AP3188" s="109"/>
      <c r="AQ3188" s="109"/>
      <c r="AR3188" s="109"/>
      <c r="AS3188" s="109"/>
    </row>
    <row r="3189" spans="1:45" ht="12.6" customHeight="1" x14ac:dyDescent="0.3">
      <c r="A3189" s="68"/>
      <c r="B3189" s="77" t="s">
        <v>2135</v>
      </c>
      <c r="C3189" s="78"/>
      <c r="D3189" s="78"/>
      <c r="E3189" s="78"/>
      <c r="F3189" s="78"/>
      <c r="G3189" s="16" t="s">
        <v>2134</v>
      </c>
      <c r="Z3189" s="109"/>
      <c r="AA3189" s="109"/>
      <c r="AB3189" s="109"/>
      <c r="AC3189" s="109"/>
      <c r="AD3189" s="109"/>
      <c r="AE3189" s="109"/>
      <c r="AF3189" s="109"/>
      <c r="AG3189" s="109"/>
      <c r="AH3189" s="109"/>
      <c r="AI3189" s="109"/>
      <c r="AJ3189" s="109"/>
      <c r="AK3189" s="109"/>
      <c r="AL3189" s="109"/>
      <c r="AM3189" s="109"/>
      <c r="AN3189" s="109"/>
      <c r="AO3189" s="109"/>
      <c r="AP3189" s="109"/>
      <c r="AQ3189" s="109"/>
      <c r="AR3189" s="109"/>
      <c r="AS3189" s="109"/>
    </row>
    <row r="3190" spans="1:45" ht="12.6" customHeight="1" x14ac:dyDescent="0.3">
      <c r="A3190" s="78"/>
      <c r="B3190" s="78"/>
      <c r="C3190" s="78"/>
      <c r="D3190" s="78"/>
      <c r="E3190" s="78"/>
      <c r="F3190" s="78"/>
      <c r="G3190" s="16" t="s">
        <v>1317</v>
      </c>
      <c r="Z3190" s="109"/>
      <c r="AA3190" s="109"/>
      <c r="AB3190" s="109"/>
      <c r="AC3190" s="109"/>
      <c r="AD3190" s="109"/>
      <c r="AE3190" s="109"/>
      <c r="AF3190" s="109"/>
      <c r="AG3190" s="109"/>
      <c r="AH3190" s="109"/>
      <c r="AI3190" s="109"/>
      <c r="AJ3190" s="109"/>
      <c r="AK3190" s="109"/>
      <c r="AL3190" s="109"/>
      <c r="AM3190" s="109"/>
      <c r="AN3190" s="109"/>
      <c r="AO3190" s="109"/>
      <c r="AP3190" s="109"/>
      <c r="AQ3190" s="109"/>
      <c r="AR3190" s="109"/>
      <c r="AS3190" s="109"/>
    </row>
    <row r="3191" spans="1:45" ht="12.6" customHeight="1" x14ac:dyDescent="0.3">
      <c r="A3191" s="68"/>
      <c r="B3191" s="77" t="s">
        <v>1917</v>
      </c>
      <c r="C3191" s="78"/>
      <c r="D3191" s="78"/>
      <c r="E3191" s="78"/>
      <c r="F3191" s="78"/>
      <c r="G3191" s="16" t="s">
        <v>1916</v>
      </c>
      <c r="Z3191" s="109"/>
      <c r="AA3191" s="109"/>
      <c r="AB3191" s="109"/>
      <c r="AC3191" s="109"/>
      <c r="AD3191" s="109"/>
      <c r="AE3191" s="109"/>
      <c r="AF3191" s="109"/>
      <c r="AG3191" s="109"/>
      <c r="AH3191" s="109"/>
      <c r="AI3191" s="109"/>
      <c r="AJ3191" s="109"/>
      <c r="AK3191" s="109"/>
      <c r="AL3191" s="109"/>
      <c r="AM3191" s="109"/>
      <c r="AN3191" s="109"/>
      <c r="AO3191" s="109"/>
      <c r="AP3191" s="109"/>
      <c r="AQ3191" s="109"/>
      <c r="AR3191" s="109"/>
      <c r="AS3191" s="109"/>
    </row>
    <row r="3192" spans="1:45" ht="12.6" customHeight="1" x14ac:dyDescent="0.3">
      <c r="A3192" s="78"/>
      <c r="B3192" s="78"/>
      <c r="C3192" s="78"/>
      <c r="D3192" s="78"/>
      <c r="E3192" s="78"/>
      <c r="F3192" s="78"/>
      <c r="G3192" s="16" t="s">
        <v>1317</v>
      </c>
      <c r="Z3192" s="109"/>
      <c r="AA3192" s="109"/>
      <c r="AB3192" s="109"/>
      <c r="AC3192" s="109"/>
      <c r="AD3192" s="109"/>
      <c r="AE3192" s="109"/>
      <c r="AF3192" s="109"/>
      <c r="AG3192" s="109"/>
      <c r="AH3192" s="109"/>
      <c r="AI3192" s="109"/>
      <c r="AJ3192" s="109"/>
      <c r="AK3192" s="109"/>
      <c r="AL3192" s="109"/>
      <c r="AM3192" s="109"/>
      <c r="AN3192" s="109"/>
      <c r="AO3192" s="109"/>
      <c r="AP3192" s="109"/>
      <c r="AQ3192" s="109"/>
      <c r="AR3192" s="109"/>
      <c r="AS3192" s="109"/>
    </row>
    <row r="3193" spans="1:45" ht="12.6" customHeight="1" x14ac:dyDescent="0.3">
      <c r="A3193" s="68"/>
      <c r="B3193" s="97" t="str">
        <f>" k  (버킷계수)  = "&amp;Z3193&amp;""</f>
        <v xml:space="preserve"> k  (버킷계수)  = 0.7</v>
      </c>
      <c r="C3193" s="78"/>
      <c r="D3193" s="78"/>
      <c r="E3193" s="78"/>
      <c r="F3193" s="78"/>
      <c r="G3193" s="16" t="s">
        <v>2136</v>
      </c>
      <c r="Z3193" s="110">
        <v>0.7</v>
      </c>
      <c r="AA3193" s="20" t="s">
        <v>1326</v>
      </c>
      <c r="AB3193" s="112">
        <f>Z3193</f>
        <v>0.7</v>
      </c>
      <c r="AC3193" s="109"/>
      <c r="AD3193" s="109"/>
      <c r="AE3193" s="109"/>
      <c r="AF3193" s="109"/>
      <c r="AG3193" s="109"/>
      <c r="AH3193" s="109"/>
      <c r="AI3193" s="109"/>
      <c r="AJ3193" s="109"/>
      <c r="AK3193" s="109"/>
      <c r="AL3193" s="109"/>
      <c r="AM3193" s="109"/>
      <c r="AN3193" s="109"/>
      <c r="AO3193" s="109"/>
      <c r="AP3193" s="109"/>
      <c r="AQ3193" s="109"/>
      <c r="AR3193" s="109"/>
      <c r="AS3193" s="109"/>
    </row>
    <row r="3194" spans="1:45" ht="12.6" customHeight="1" x14ac:dyDescent="0.3">
      <c r="A3194" s="78"/>
      <c r="B3194" s="78"/>
      <c r="C3194" s="78"/>
      <c r="D3194" s="78"/>
      <c r="E3194" s="78"/>
      <c r="F3194" s="78"/>
      <c r="G3194" s="16" t="s">
        <v>1317</v>
      </c>
      <c r="Z3194" s="109"/>
      <c r="AA3194" s="109"/>
      <c r="AB3194" s="109"/>
      <c r="AC3194" s="109"/>
      <c r="AD3194" s="109"/>
      <c r="AE3194" s="109"/>
      <c r="AF3194" s="109"/>
      <c r="AG3194" s="109"/>
      <c r="AH3194" s="109"/>
      <c r="AI3194" s="109"/>
      <c r="AJ3194" s="109"/>
      <c r="AK3194" s="109"/>
      <c r="AL3194" s="109"/>
      <c r="AM3194" s="109"/>
      <c r="AN3194" s="109"/>
      <c r="AO3194" s="109"/>
      <c r="AP3194" s="109"/>
      <c r="AQ3194" s="109"/>
      <c r="AR3194" s="109"/>
      <c r="AS3194" s="109"/>
    </row>
    <row r="3195" spans="1:45" ht="12.6" customHeight="1" x14ac:dyDescent="0.3">
      <c r="A3195" s="68"/>
      <c r="B3195" s="97" t="str">
        <f>" E  (작업 효율)  = "&amp;Z3195&amp;""</f>
        <v xml:space="preserve"> E  (작업 효율)  = 0.9</v>
      </c>
      <c r="C3195" s="78"/>
      <c r="D3195" s="78"/>
      <c r="E3195" s="78"/>
      <c r="F3195" s="78"/>
      <c r="G3195" s="16" t="s">
        <v>2137</v>
      </c>
      <c r="Z3195" s="110">
        <v>0.9</v>
      </c>
      <c r="AA3195" s="20" t="s">
        <v>1326</v>
      </c>
      <c r="AB3195" s="112">
        <f>Z3195</f>
        <v>0.9</v>
      </c>
      <c r="AC3195" s="109"/>
      <c r="AD3195" s="109"/>
      <c r="AE3195" s="109"/>
      <c r="AF3195" s="109"/>
      <c r="AG3195" s="109"/>
      <c r="AH3195" s="109"/>
      <c r="AI3195" s="109"/>
      <c r="AJ3195" s="109"/>
      <c r="AK3195" s="109"/>
      <c r="AL3195" s="109"/>
      <c r="AM3195" s="109"/>
      <c r="AN3195" s="109"/>
      <c r="AO3195" s="109"/>
      <c r="AP3195" s="109"/>
      <c r="AQ3195" s="109"/>
      <c r="AR3195" s="109"/>
      <c r="AS3195" s="109"/>
    </row>
    <row r="3196" spans="1:45" ht="12.6" customHeight="1" x14ac:dyDescent="0.3">
      <c r="A3196" s="78"/>
      <c r="B3196" s="78"/>
      <c r="C3196" s="78"/>
      <c r="D3196" s="78"/>
      <c r="E3196" s="78"/>
      <c r="F3196" s="78"/>
      <c r="G3196" s="16" t="s">
        <v>1317</v>
      </c>
      <c r="Z3196" s="109"/>
      <c r="AA3196" s="109"/>
      <c r="AB3196" s="109"/>
      <c r="AC3196" s="109"/>
      <c r="AD3196" s="109"/>
      <c r="AE3196" s="109"/>
      <c r="AF3196" s="109"/>
      <c r="AG3196" s="109"/>
      <c r="AH3196" s="109"/>
      <c r="AI3196" s="109"/>
      <c r="AJ3196" s="109"/>
      <c r="AK3196" s="109"/>
      <c r="AL3196" s="109"/>
      <c r="AM3196" s="109"/>
      <c r="AN3196" s="109"/>
      <c r="AO3196" s="109"/>
      <c r="AP3196" s="109"/>
      <c r="AQ3196" s="109"/>
      <c r="AR3196" s="109"/>
      <c r="AS3196" s="109"/>
    </row>
    <row r="3197" spans="1:45" ht="12.6" customHeight="1" x14ac:dyDescent="0.3">
      <c r="A3197" s="68"/>
      <c r="B3197" s="97" t="str">
        <f>" F  (체적 환산계수)  = "&amp;Z3197&amp;""</f>
        <v xml:space="preserve"> F  (체적 환산계수)  = 1</v>
      </c>
      <c r="C3197" s="78"/>
      <c r="D3197" s="78"/>
      <c r="E3197" s="78"/>
      <c r="F3197" s="78"/>
      <c r="G3197" s="16" t="s">
        <v>2138</v>
      </c>
      <c r="Z3197" s="111">
        <v>1</v>
      </c>
      <c r="AA3197" s="20" t="s">
        <v>1326</v>
      </c>
      <c r="AB3197" s="112">
        <f>Z3197</f>
        <v>1</v>
      </c>
      <c r="AC3197" s="109"/>
      <c r="AD3197" s="109"/>
      <c r="AE3197" s="109"/>
      <c r="AF3197" s="109"/>
      <c r="AG3197" s="109"/>
      <c r="AH3197" s="109"/>
      <c r="AI3197" s="109"/>
      <c r="AJ3197" s="109"/>
      <c r="AK3197" s="109"/>
      <c r="AL3197" s="109"/>
      <c r="AM3197" s="109"/>
      <c r="AN3197" s="109"/>
      <c r="AO3197" s="109"/>
      <c r="AP3197" s="109"/>
      <c r="AQ3197" s="109"/>
      <c r="AR3197" s="109"/>
      <c r="AS3197" s="109"/>
    </row>
    <row r="3198" spans="1:45" ht="12.6" customHeight="1" x14ac:dyDescent="0.3">
      <c r="A3198" s="78"/>
      <c r="B3198" s="78"/>
      <c r="C3198" s="78"/>
      <c r="D3198" s="78"/>
      <c r="E3198" s="78"/>
      <c r="F3198" s="78"/>
      <c r="G3198" s="16" t="s">
        <v>1317</v>
      </c>
      <c r="Z3198" s="109"/>
      <c r="AA3198" s="109"/>
      <c r="AB3198" s="109"/>
      <c r="AC3198" s="109"/>
      <c r="AD3198" s="109"/>
      <c r="AE3198" s="109"/>
      <c r="AF3198" s="109"/>
      <c r="AG3198" s="109"/>
      <c r="AH3198" s="109"/>
      <c r="AI3198" s="109"/>
      <c r="AJ3198" s="109"/>
      <c r="AK3198" s="109"/>
      <c r="AL3198" s="109"/>
      <c r="AM3198" s="109"/>
      <c r="AN3198" s="109"/>
      <c r="AO3198" s="109"/>
      <c r="AP3198" s="109"/>
      <c r="AQ3198" s="109"/>
      <c r="AR3198" s="109"/>
      <c r="AS3198" s="109"/>
    </row>
    <row r="3199" spans="1:45" ht="12.6" customHeight="1" x14ac:dyDescent="0.3">
      <c r="A3199" s="68"/>
      <c r="B3199" s="97" t="str">
        <f>" q1  (덤프트럭1회적재량)  = ("&amp;AA3199&amp;"/"&amp;AC3199&amp;") * "&amp;AE3199&amp;" = "&amp;AG3199&amp;""</f>
        <v xml:space="preserve"> q1  (덤프트럭1회적재량)  = (15/1.7) * 1.25 = 11.03</v>
      </c>
      <c r="C3199" s="78"/>
      <c r="D3199" s="78"/>
      <c r="E3199" s="78"/>
      <c r="F3199" s="78"/>
      <c r="G3199" s="16" t="s">
        <v>2139</v>
      </c>
      <c r="Z3199" s="20" t="s">
        <v>1526</v>
      </c>
      <c r="AA3199" s="111">
        <v>15</v>
      </c>
      <c r="AB3199" s="20" t="s">
        <v>1387</v>
      </c>
      <c r="AC3199" s="110">
        <v>1.7</v>
      </c>
      <c r="AD3199" s="20" t="s">
        <v>1527</v>
      </c>
      <c r="AE3199" s="110">
        <v>1.25</v>
      </c>
      <c r="AF3199" s="20" t="s">
        <v>1326</v>
      </c>
      <c r="AG3199" s="112" t="str">
        <f>TEXT(ROUND((AA3199/AC3199)*AE3199,2),"0.00")</f>
        <v>11.03</v>
      </c>
      <c r="AH3199" s="109"/>
      <c r="AI3199" s="109"/>
      <c r="AJ3199" s="109"/>
      <c r="AK3199" s="109"/>
      <c r="AL3199" s="109"/>
      <c r="AM3199" s="109"/>
      <c r="AN3199" s="109"/>
      <c r="AO3199" s="109"/>
      <c r="AP3199" s="109"/>
      <c r="AQ3199" s="109"/>
      <c r="AR3199" s="109"/>
      <c r="AS3199" s="109"/>
    </row>
    <row r="3200" spans="1:45" ht="12.6" customHeight="1" x14ac:dyDescent="0.3">
      <c r="A3200" s="78"/>
      <c r="B3200" s="78"/>
      <c r="C3200" s="78"/>
      <c r="D3200" s="78"/>
      <c r="E3200" s="78"/>
      <c r="F3200" s="78"/>
      <c r="G3200" s="16" t="s">
        <v>1317</v>
      </c>
      <c r="Z3200" s="109"/>
      <c r="AA3200" s="109"/>
      <c r="AB3200" s="109"/>
      <c r="AC3200" s="109"/>
      <c r="AD3200" s="109"/>
      <c r="AE3200" s="109"/>
      <c r="AF3200" s="109"/>
      <c r="AG3200" s="109"/>
      <c r="AH3200" s="109"/>
      <c r="AI3200" s="109"/>
      <c r="AJ3200" s="109"/>
      <c r="AK3200" s="109"/>
      <c r="AL3200" s="109"/>
      <c r="AM3200" s="109"/>
      <c r="AN3200" s="109"/>
      <c r="AO3200" s="109"/>
      <c r="AP3200" s="109"/>
      <c r="AQ3200" s="109"/>
      <c r="AR3200" s="109"/>
      <c r="AS3200" s="109"/>
    </row>
    <row r="3201" spans="1:45" ht="12.6" customHeight="1" x14ac:dyDescent="0.3">
      <c r="A3201" s="68"/>
      <c r="B3201" s="97" t="str">
        <f>" n  (시간당운반횟수)  = q1 / ("&amp;AB3201&amp;" * k) = "&amp;AG3201&amp;"  회 "</f>
        <v xml:space="preserve"> n  (시간당운반횟수)  = q1 / (0.7 * k) = 22.51  회 </v>
      </c>
      <c r="C3201" s="78"/>
      <c r="D3201" s="78"/>
      <c r="E3201" s="78"/>
      <c r="F3201" s="78"/>
      <c r="G3201" s="16" t="s">
        <v>2140</v>
      </c>
      <c r="Z3201" s="112" t="str">
        <f>AG3199</f>
        <v>11.03</v>
      </c>
      <c r="AA3201" s="20" t="s">
        <v>1531</v>
      </c>
      <c r="AB3201" s="110">
        <v>0.7</v>
      </c>
      <c r="AC3201" s="20" t="s">
        <v>1390</v>
      </c>
      <c r="AD3201" s="112">
        <f>AB3193</f>
        <v>0.7</v>
      </c>
      <c r="AE3201" s="20" t="s">
        <v>1532</v>
      </c>
      <c r="AF3201" s="20" t="s">
        <v>1326</v>
      </c>
      <c r="AG3201" s="112" t="str">
        <f>TEXT(ROUND(AG3199/(AB3201*AB3193),2),"0.00")</f>
        <v>22.51</v>
      </c>
      <c r="AH3201" s="109"/>
      <c r="AI3201" s="109"/>
      <c r="AJ3201" s="109"/>
      <c r="AK3201" s="109"/>
      <c r="AL3201" s="109"/>
      <c r="AM3201" s="109"/>
      <c r="AN3201" s="109"/>
      <c r="AO3201" s="109"/>
      <c r="AP3201" s="109"/>
      <c r="AQ3201" s="109"/>
      <c r="AR3201" s="109"/>
      <c r="AS3201" s="109"/>
    </row>
    <row r="3202" spans="1:45" ht="12.6" customHeight="1" x14ac:dyDescent="0.3">
      <c r="A3202" s="78"/>
      <c r="B3202" s="78"/>
      <c r="C3202" s="78"/>
      <c r="D3202" s="78"/>
      <c r="E3202" s="78"/>
      <c r="F3202" s="78"/>
      <c r="G3202" s="16" t="s">
        <v>1317</v>
      </c>
      <c r="Z3202" s="109"/>
      <c r="AA3202" s="109"/>
      <c r="AB3202" s="109"/>
      <c r="AC3202" s="109"/>
      <c r="AD3202" s="109"/>
      <c r="AE3202" s="109"/>
      <c r="AF3202" s="109"/>
      <c r="AG3202" s="109"/>
      <c r="AH3202" s="109"/>
      <c r="AI3202" s="109"/>
      <c r="AJ3202" s="109"/>
      <c r="AK3202" s="109"/>
      <c r="AL3202" s="109"/>
      <c r="AM3202" s="109"/>
      <c r="AN3202" s="109"/>
      <c r="AO3202" s="109"/>
      <c r="AP3202" s="109"/>
      <c r="AQ3202" s="109"/>
      <c r="AR3202" s="109"/>
      <c r="AS3202" s="109"/>
    </row>
    <row r="3203" spans="1:45" ht="12.6" customHeight="1" x14ac:dyDescent="0.3">
      <c r="A3203" s="68"/>
      <c r="B3203" s="97" t="str">
        <f>" t1  (적재시간)  = "&amp;Z3203&amp;" * n / ("&amp;AD3203&amp;" * "&amp;AF3203&amp;") = "&amp;AI3203&amp;" 분 "</f>
        <v xml:space="preserve"> t1  (적재시간)  = 18 * n / (60 * 0.6) = 11.26 분 </v>
      </c>
      <c r="C3203" s="78"/>
      <c r="D3203" s="78"/>
      <c r="E3203" s="78"/>
      <c r="F3203" s="78"/>
      <c r="G3203" s="16" t="s">
        <v>2141</v>
      </c>
      <c r="Z3203" s="111">
        <v>18</v>
      </c>
      <c r="AA3203" s="20" t="s">
        <v>1390</v>
      </c>
      <c r="AB3203" s="112" t="str">
        <f>AG3201</f>
        <v>22.51</v>
      </c>
      <c r="AC3203" s="20" t="s">
        <v>1531</v>
      </c>
      <c r="AD3203" s="111">
        <v>60</v>
      </c>
      <c r="AE3203" s="20" t="s">
        <v>1390</v>
      </c>
      <c r="AF3203" s="110">
        <v>0.6</v>
      </c>
      <c r="AG3203" s="20" t="s">
        <v>1532</v>
      </c>
      <c r="AH3203" s="20" t="s">
        <v>1326</v>
      </c>
      <c r="AI3203" s="112" t="str">
        <f>TEXT(ROUND(Z3203*AG3201/(AD3203*AF3203),2),"0.00")</f>
        <v>11.26</v>
      </c>
      <c r="AJ3203" s="109"/>
      <c r="AK3203" s="109"/>
      <c r="AL3203" s="109"/>
      <c r="AM3203" s="109"/>
      <c r="AN3203" s="109"/>
      <c r="AO3203" s="109"/>
      <c r="AP3203" s="109"/>
      <c r="AQ3203" s="109"/>
      <c r="AR3203" s="109"/>
      <c r="AS3203" s="109"/>
    </row>
    <row r="3204" spans="1:45" ht="12.6" customHeight="1" x14ac:dyDescent="0.3">
      <c r="A3204" s="78"/>
      <c r="B3204" s="78"/>
      <c r="C3204" s="78"/>
      <c r="D3204" s="78"/>
      <c r="E3204" s="78"/>
      <c r="F3204" s="78"/>
      <c r="G3204" s="16" t="s">
        <v>1317</v>
      </c>
      <c r="Z3204" s="109"/>
      <c r="AA3204" s="109"/>
      <c r="AB3204" s="109"/>
      <c r="AC3204" s="109"/>
      <c r="AD3204" s="109"/>
      <c r="AE3204" s="109"/>
      <c r="AF3204" s="109"/>
      <c r="AG3204" s="109"/>
      <c r="AH3204" s="109"/>
      <c r="AI3204" s="109"/>
      <c r="AJ3204" s="109"/>
      <c r="AK3204" s="109"/>
      <c r="AL3204" s="109"/>
      <c r="AM3204" s="109"/>
      <c r="AN3204" s="109"/>
      <c r="AO3204" s="109"/>
      <c r="AP3204" s="109"/>
      <c r="AQ3204" s="109"/>
      <c r="AR3204" s="109"/>
      <c r="AS3204" s="109"/>
    </row>
    <row r="3205" spans="1:45" ht="12.6" customHeight="1" x14ac:dyDescent="0.3">
      <c r="A3205" s="68"/>
      <c r="B3205" s="97" t="str">
        <f>" t2  (왕복시간)  = (L/"&amp;AC3205&amp;"+L/"&amp;AG3205&amp;")* "&amp;AI3205&amp;" = "&amp;AK3205&amp;" 분 "</f>
        <v xml:space="preserve"> t2  (왕복시간)  = (L/10+L/15)* 60 = 1.18 분 </v>
      </c>
      <c r="C3205" s="78"/>
      <c r="D3205" s="78"/>
      <c r="E3205" s="78"/>
      <c r="F3205" s="78"/>
      <c r="G3205" s="16" t="s">
        <v>2142</v>
      </c>
      <c r="Z3205" s="20" t="s">
        <v>1526</v>
      </c>
      <c r="AA3205" s="112">
        <f>AB3161</f>
        <v>0.11799999999999999</v>
      </c>
      <c r="AB3205" s="20" t="s">
        <v>1387</v>
      </c>
      <c r="AC3205" s="111">
        <v>10</v>
      </c>
      <c r="AD3205" s="20" t="s">
        <v>1535</v>
      </c>
      <c r="AE3205" s="112">
        <f>AB3161</f>
        <v>0.11799999999999999</v>
      </c>
      <c r="AF3205" s="20" t="s">
        <v>1387</v>
      </c>
      <c r="AG3205" s="111">
        <v>15</v>
      </c>
      <c r="AH3205" s="20" t="s">
        <v>1527</v>
      </c>
      <c r="AI3205" s="111">
        <v>60</v>
      </c>
      <c r="AJ3205" s="20" t="s">
        <v>1326</v>
      </c>
      <c r="AK3205" s="112" t="str">
        <f>TEXT(ROUND((AB3161/AC3205+AB3161/AG3205)*AI3205,2),"0.00")</f>
        <v>1.18</v>
      </c>
      <c r="AL3205" s="109"/>
      <c r="AM3205" s="109"/>
      <c r="AN3205" s="109"/>
      <c r="AO3205" s="109"/>
      <c r="AP3205" s="109"/>
      <c r="AQ3205" s="109"/>
      <c r="AR3205" s="109"/>
      <c r="AS3205" s="109"/>
    </row>
    <row r="3206" spans="1:45" ht="12.6" customHeight="1" x14ac:dyDescent="0.3">
      <c r="A3206" s="78"/>
      <c r="B3206" s="78"/>
      <c r="C3206" s="78"/>
      <c r="D3206" s="78"/>
      <c r="E3206" s="78"/>
      <c r="F3206" s="78"/>
      <c r="G3206" s="16" t="s">
        <v>1317</v>
      </c>
      <c r="Z3206" s="109"/>
      <c r="AA3206" s="109"/>
      <c r="AB3206" s="109"/>
      <c r="AC3206" s="109"/>
      <c r="AD3206" s="109"/>
      <c r="AE3206" s="109"/>
      <c r="AF3206" s="109"/>
      <c r="AG3206" s="109"/>
      <c r="AH3206" s="109"/>
      <c r="AI3206" s="109"/>
      <c r="AJ3206" s="109"/>
      <c r="AK3206" s="109"/>
      <c r="AL3206" s="109"/>
      <c r="AM3206" s="109"/>
      <c r="AN3206" s="109"/>
      <c r="AO3206" s="109"/>
      <c r="AP3206" s="109"/>
      <c r="AQ3206" s="109"/>
      <c r="AR3206" s="109"/>
      <c r="AS3206" s="109"/>
    </row>
    <row r="3207" spans="1:45" ht="12.6" customHeight="1" x14ac:dyDescent="0.3">
      <c r="A3207" s="68"/>
      <c r="B3207" s="97" t="str">
        <f>" t3  (적하시간)  = "&amp;Z3207&amp;" , t4 (대기시간)  = "&amp;AD3207&amp;""</f>
        <v xml:space="preserve"> t3  (적하시간)  = 1.1 , t4 (대기시간)  = 0.7</v>
      </c>
      <c r="C3207" s="78"/>
      <c r="D3207" s="78"/>
      <c r="E3207" s="78"/>
      <c r="F3207" s="78"/>
      <c r="G3207" s="16" t="s">
        <v>2143</v>
      </c>
      <c r="Z3207" s="110">
        <v>1.1000000000000001</v>
      </c>
      <c r="AA3207" s="20" t="s">
        <v>1326</v>
      </c>
      <c r="AB3207" s="112">
        <f>Z3207</f>
        <v>1.1000000000000001</v>
      </c>
      <c r="AC3207" s="20" t="s">
        <v>1385</v>
      </c>
      <c r="AD3207" s="110">
        <v>0.7</v>
      </c>
      <c r="AE3207" s="20" t="s">
        <v>1326</v>
      </c>
      <c r="AF3207" s="112">
        <f>AD3207</f>
        <v>0.7</v>
      </c>
      <c r="AG3207" s="20" t="s">
        <v>1385</v>
      </c>
      <c r="AH3207" s="109"/>
      <c r="AI3207" s="109"/>
      <c r="AJ3207" s="109"/>
      <c r="AK3207" s="109"/>
      <c r="AL3207" s="109"/>
      <c r="AM3207" s="109"/>
      <c r="AN3207" s="109"/>
      <c r="AO3207" s="109"/>
      <c r="AP3207" s="109"/>
      <c r="AQ3207" s="109"/>
      <c r="AR3207" s="109"/>
      <c r="AS3207" s="109"/>
    </row>
    <row r="3208" spans="1:45" ht="12.6" customHeight="1" x14ac:dyDescent="0.3">
      <c r="A3208" s="78"/>
      <c r="B3208" s="78"/>
      <c r="C3208" s="78"/>
      <c r="D3208" s="78"/>
      <c r="E3208" s="78"/>
      <c r="F3208" s="78"/>
      <c r="G3208" s="16" t="s">
        <v>1317</v>
      </c>
      <c r="Z3208" s="109"/>
      <c r="AA3208" s="109"/>
      <c r="AB3208" s="109"/>
      <c r="AC3208" s="109"/>
      <c r="AD3208" s="109"/>
      <c r="AE3208" s="109"/>
      <c r="AF3208" s="109"/>
      <c r="AG3208" s="109"/>
      <c r="AH3208" s="109"/>
      <c r="AI3208" s="109"/>
      <c r="AJ3208" s="109"/>
      <c r="AK3208" s="109"/>
      <c r="AL3208" s="109"/>
      <c r="AM3208" s="109"/>
      <c r="AN3208" s="109"/>
      <c r="AO3208" s="109"/>
      <c r="AP3208" s="109"/>
      <c r="AQ3208" s="109"/>
      <c r="AR3208" s="109"/>
      <c r="AS3208" s="109"/>
    </row>
    <row r="3209" spans="1:45" ht="12.6" customHeight="1" x14ac:dyDescent="0.3">
      <c r="A3209" s="68"/>
      <c r="B3209" s="97" t="str">
        <f>" Cm  (1회 사이클 시간(초))  = t1 + t2 + t3 + t4  = "&amp;AH3209&amp;""</f>
        <v xml:space="preserve"> Cm  (1회 사이클 시간(초))  = t1 + t2 + t3 + t4  = 14.24</v>
      </c>
      <c r="C3209" s="78"/>
      <c r="D3209" s="78"/>
      <c r="E3209" s="78"/>
      <c r="F3209" s="78"/>
      <c r="G3209" s="16" t="s">
        <v>2144</v>
      </c>
      <c r="Z3209" s="112" t="str">
        <f>AI3203</f>
        <v>11.26</v>
      </c>
      <c r="AA3209" s="20" t="s">
        <v>1535</v>
      </c>
      <c r="AB3209" s="112" t="str">
        <f>AK3205</f>
        <v>1.18</v>
      </c>
      <c r="AC3209" s="20" t="s">
        <v>1535</v>
      </c>
      <c r="AD3209" s="112">
        <f>AB3207</f>
        <v>1.1000000000000001</v>
      </c>
      <c r="AE3209" s="20" t="s">
        <v>1535</v>
      </c>
      <c r="AF3209" s="112">
        <f>AF3207</f>
        <v>0.7</v>
      </c>
      <c r="AG3209" s="20" t="s">
        <v>1326</v>
      </c>
      <c r="AH3209" s="112" t="str">
        <f>TEXT(ROUND(AI3203+AK3205+AB3207+AF3207,2),"0.00")</f>
        <v>14.24</v>
      </c>
      <c r="AI3209" s="109"/>
      <c r="AJ3209" s="109"/>
      <c r="AK3209" s="109"/>
      <c r="AL3209" s="109"/>
      <c r="AM3209" s="109"/>
      <c r="AN3209" s="109"/>
      <c r="AO3209" s="109"/>
      <c r="AP3209" s="109"/>
      <c r="AQ3209" s="109"/>
      <c r="AR3209" s="109"/>
      <c r="AS3209" s="109"/>
    </row>
    <row r="3210" spans="1:45" ht="12.6" customHeight="1" x14ac:dyDescent="0.3">
      <c r="A3210" s="78"/>
      <c r="B3210" s="78"/>
      <c r="C3210" s="78"/>
      <c r="D3210" s="78"/>
      <c r="E3210" s="78"/>
      <c r="F3210" s="78"/>
      <c r="G3210" s="16" t="s">
        <v>1317</v>
      </c>
      <c r="Z3210" s="109"/>
      <c r="AA3210" s="109"/>
      <c r="AB3210" s="109"/>
      <c r="AC3210" s="109"/>
      <c r="AD3210" s="109"/>
      <c r="AE3210" s="109"/>
      <c r="AF3210" s="109"/>
      <c r="AG3210" s="109"/>
      <c r="AH3210" s="109"/>
      <c r="AI3210" s="109"/>
      <c r="AJ3210" s="109"/>
      <c r="AK3210" s="109"/>
      <c r="AL3210" s="109"/>
      <c r="AM3210" s="109"/>
      <c r="AN3210" s="109"/>
      <c r="AO3210" s="109"/>
      <c r="AP3210" s="109"/>
      <c r="AQ3210" s="109"/>
      <c r="AR3210" s="109"/>
      <c r="AS3210" s="109"/>
    </row>
    <row r="3211" spans="1:45" ht="12.6" customHeight="1" x14ac:dyDescent="0.3">
      <c r="A3211" s="68"/>
      <c r="B3211" s="97" t="str">
        <f>" Q1  (시간당 작업량(m3/hr))  = "&amp;Z3211&amp;" * q1 * F * E / Cm = "&amp;AJ3211&amp;" m3/hr "</f>
        <v xml:space="preserve"> Q1  (시간당 작업량(m3/hr))  = 60 * q1 * F * E / Cm = 41.83 m3/hr </v>
      </c>
      <c r="C3211" s="78"/>
      <c r="D3211" s="78"/>
      <c r="E3211" s="78"/>
      <c r="F3211" s="78"/>
      <c r="G3211" s="16" t="s">
        <v>2145</v>
      </c>
      <c r="Z3211" s="111">
        <v>60</v>
      </c>
      <c r="AA3211" s="20" t="s">
        <v>1390</v>
      </c>
      <c r="AB3211" s="112" t="str">
        <f>AG3199</f>
        <v>11.03</v>
      </c>
      <c r="AC3211" s="20" t="s">
        <v>1390</v>
      </c>
      <c r="AD3211" s="112">
        <f>AB3197</f>
        <v>1</v>
      </c>
      <c r="AE3211" s="20" t="s">
        <v>1390</v>
      </c>
      <c r="AF3211" s="112">
        <f>AB3195</f>
        <v>0.9</v>
      </c>
      <c r="AG3211" s="20" t="s">
        <v>1387</v>
      </c>
      <c r="AH3211" s="112" t="str">
        <f>AH3209</f>
        <v>14.24</v>
      </c>
      <c r="AI3211" s="20" t="s">
        <v>1326</v>
      </c>
      <c r="AJ3211" s="112" t="str">
        <f>TEXT(ROUND(Z3211*AG3199*AB3197*AB3195/AH3209,2),"0.00")</f>
        <v>41.83</v>
      </c>
      <c r="AK3211" s="109"/>
      <c r="AL3211" s="109"/>
      <c r="AM3211" s="109"/>
      <c r="AN3211" s="109"/>
      <c r="AO3211" s="109"/>
      <c r="AP3211" s="109"/>
      <c r="AQ3211" s="109"/>
      <c r="AR3211" s="109"/>
      <c r="AS3211" s="109"/>
    </row>
    <row r="3212" spans="1:45" ht="12.6" customHeight="1" x14ac:dyDescent="0.3">
      <c r="A3212" s="78"/>
      <c r="B3212" s="78"/>
      <c r="C3212" s="78"/>
      <c r="D3212" s="78"/>
      <c r="E3212" s="78"/>
      <c r="F3212" s="78"/>
      <c r="G3212" s="16" t="s">
        <v>1317</v>
      </c>
      <c r="Z3212" s="109"/>
      <c r="AA3212" s="109"/>
      <c r="AB3212" s="109"/>
      <c r="AC3212" s="109"/>
      <c r="AD3212" s="109"/>
      <c r="AE3212" s="109"/>
      <c r="AF3212" s="109"/>
      <c r="AG3212" s="109"/>
      <c r="AH3212" s="109"/>
      <c r="AI3212" s="109"/>
      <c r="AJ3212" s="109"/>
      <c r="AK3212" s="109"/>
      <c r="AL3212" s="109"/>
      <c r="AM3212" s="109"/>
      <c r="AN3212" s="109"/>
      <c r="AO3212" s="109"/>
      <c r="AP3212" s="109"/>
      <c r="AQ3212" s="109"/>
      <c r="AR3212" s="109"/>
      <c r="AS3212" s="109"/>
    </row>
    <row r="3213" spans="1:45" ht="12.6" customHeight="1" x14ac:dyDescent="0.3">
      <c r="A3213" s="68" t="s">
        <v>1812</v>
      </c>
      <c r="B3213" s="97" t="str">
        <f>" 노 무 비  :   "&amp;TEXT(I3213,"#,##0"&amp;IF(I3213&lt;&gt;INT(I3213),".###",""))&amp;" / Q1  = "&amp;TEXT(C3213,"#,##0.0")&amp;""</f>
        <v xml:space="preserve"> 노 무 비  :   55,700 / Q1  = 1,331.5</v>
      </c>
      <c r="C3213" s="99">
        <f>E3213+D3213+F3213</f>
        <v>1331.5</v>
      </c>
      <c r="D3213" s="99">
        <f>IF(H3213=0,0,ROUNDDOWN(J3213*H3213,1))</f>
        <v>1331.5</v>
      </c>
      <c r="E3213" s="99">
        <f>IF(H3213=0,0,ROUNDDOWN(K3213*H3213,1))</f>
        <v>0</v>
      </c>
      <c r="F3213" s="99">
        <f>IF(H3213=0,0,ROUNDDOWN(L3213*H3213,1))</f>
        <v>0</v>
      </c>
      <c r="G3213" s="16" t="s">
        <v>1929</v>
      </c>
      <c r="H3213" s="105">
        <f>AC3213</f>
        <v>2.3906287353573991E-2</v>
      </c>
      <c r="I3213" s="106">
        <f>K3213+J3213+L3213</f>
        <v>55700</v>
      </c>
      <c r="J3213" s="39">
        <f>중기목록표!F11</f>
        <v>55700</v>
      </c>
      <c r="M3213" s="20" t="s">
        <v>1813</v>
      </c>
      <c r="N3213" s="20" t="s">
        <v>1721</v>
      </c>
      <c r="X3213" s="108" t="str">
        <f>중기목록표!B11&amp;" / "&amp;중기목록표!C11</f>
        <v xml:space="preserve">덤프트럭15ton(토사) / </v>
      </c>
      <c r="Y3213" s="19" t="str">
        <f ca="1">HYPERLINK("#"&amp;중기목록표!J2&amp;"!A"&amp;ROW(중기목록표!A11),"중기    8 →")</f>
        <v>중기    8 →</v>
      </c>
      <c r="Z3213" s="20" t="s">
        <v>1393</v>
      </c>
      <c r="AA3213" s="112" t="str">
        <f>AJ3211</f>
        <v>41.83</v>
      </c>
      <c r="AB3213" s="20" t="s">
        <v>1326</v>
      </c>
      <c r="AC3213" s="113">
        <f>1/AJ3211</f>
        <v>2.3906287353573991E-2</v>
      </c>
      <c r="AD3213" s="109"/>
      <c r="AE3213" s="109"/>
      <c r="AF3213" s="109"/>
      <c r="AG3213" s="109"/>
      <c r="AH3213" s="109"/>
      <c r="AI3213" s="109"/>
      <c r="AJ3213" s="109"/>
      <c r="AK3213" s="109"/>
      <c r="AL3213" s="109"/>
      <c r="AM3213" s="109"/>
      <c r="AN3213" s="109"/>
      <c r="AO3213" s="109"/>
      <c r="AP3213" s="109"/>
      <c r="AQ3213" s="109"/>
      <c r="AR3213" s="109"/>
      <c r="AS3213" s="109"/>
    </row>
    <row r="3214" spans="1:45" ht="12.6" customHeight="1" x14ac:dyDescent="0.3">
      <c r="A3214" s="78"/>
      <c r="B3214" s="78"/>
      <c r="C3214" s="78"/>
      <c r="D3214" s="78"/>
      <c r="E3214" s="78"/>
      <c r="F3214" s="78"/>
      <c r="G3214" s="16" t="s">
        <v>1317</v>
      </c>
      <c r="Z3214" s="109"/>
      <c r="AA3214" s="109"/>
      <c r="AB3214" s="109"/>
      <c r="AC3214" s="109"/>
      <c r="AD3214" s="109"/>
      <c r="AE3214" s="109"/>
      <c r="AF3214" s="109"/>
      <c r="AG3214" s="109"/>
      <c r="AH3214" s="109"/>
      <c r="AI3214" s="109"/>
      <c r="AJ3214" s="109"/>
      <c r="AK3214" s="109"/>
      <c r="AL3214" s="109"/>
      <c r="AM3214" s="109"/>
      <c r="AN3214" s="109"/>
      <c r="AO3214" s="109"/>
      <c r="AP3214" s="109"/>
      <c r="AQ3214" s="109"/>
      <c r="AR3214" s="109"/>
      <c r="AS3214" s="109"/>
    </row>
    <row r="3215" spans="1:45" ht="12.6" customHeight="1" x14ac:dyDescent="0.3">
      <c r="A3215" s="68" t="s">
        <v>1815</v>
      </c>
      <c r="B3215" s="97" t="str">
        <f>" 재 료 비  :   "&amp;TEXT(I3215,"#,##0"&amp;IF(I3215&lt;&gt;INT(I3215),".###",""))&amp;" / Q1 *(Cm-t1)/Cm = "&amp;TEXT(C3215,"#,##0.0")&amp;""</f>
        <v xml:space="preserve"> 재 료 비  :   27,910 / Q1 *(Cm-t1)/Cm = 139.6</v>
      </c>
      <c r="C3215" s="99">
        <f>E3215+D3215+F3215</f>
        <v>139.6</v>
      </c>
      <c r="D3215" s="99">
        <f>IF(H3215=0,0,ROUNDDOWN(J3215*H3215,1))</f>
        <v>0</v>
      </c>
      <c r="E3215" s="99">
        <f>IF(H3215=0,0,ROUNDDOWN(K3215*H3215,1))</f>
        <v>139.6</v>
      </c>
      <c r="F3215" s="99">
        <f>IF(H3215=0,0,ROUNDDOWN(L3215*H3215,1))</f>
        <v>0</v>
      </c>
      <c r="G3215" s="16" t="s">
        <v>2146</v>
      </c>
      <c r="H3215" s="105">
        <f>AI3215</f>
        <v>5.0028606961833224E-3</v>
      </c>
      <c r="I3215" s="106">
        <f>K3215+J3215+L3215</f>
        <v>27910</v>
      </c>
      <c r="K3215" s="39">
        <f>중기목록표!G11</f>
        <v>27910</v>
      </c>
      <c r="M3215" s="20" t="s">
        <v>1813</v>
      </c>
      <c r="N3215" s="20" t="s">
        <v>1721</v>
      </c>
      <c r="X3215" s="108" t="str">
        <f>중기목록표!B11&amp;" / "&amp;중기목록표!C11</f>
        <v xml:space="preserve">덤프트럭15ton(토사) / </v>
      </c>
      <c r="Y3215" s="19" t="str">
        <f ca="1">HYPERLINK("#"&amp;중기목록표!J2&amp;"!A"&amp;ROW(중기목록표!A11),"중기    8 →")</f>
        <v>중기    8 →</v>
      </c>
      <c r="Z3215" s="20" t="s">
        <v>1393</v>
      </c>
      <c r="AA3215" s="112" t="str">
        <f>AJ3211</f>
        <v>41.83</v>
      </c>
      <c r="AB3215" s="20" t="s">
        <v>2147</v>
      </c>
      <c r="AC3215" s="112" t="str">
        <f>AH3209</f>
        <v>14.24</v>
      </c>
      <c r="AD3215" s="20" t="s">
        <v>1407</v>
      </c>
      <c r="AE3215" s="112" t="str">
        <f>AI3203</f>
        <v>11.26</v>
      </c>
      <c r="AF3215" s="20" t="s">
        <v>1727</v>
      </c>
      <c r="AG3215" s="112" t="str">
        <f>AH3209</f>
        <v>14.24</v>
      </c>
      <c r="AH3215" s="20" t="s">
        <v>1326</v>
      </c>
      <c r="AI3215" s="113">
        <f>1/AJ3211*(AH3209-AI3203)/AH3209</f>
        <v>5.0028606961833224E-3</v>
      </c>
      <c r="AJ3215" s="109"/>
      <c r="AK3215" s="109"/>
      <c r="AL3215" s="109"/>
      <c r="AM3215" s="109"/>
      <c r="AN3215" s="109"/>
      <c r="AO3215" s="109"/>
      <c r="AP3215" s="109"/>
      <c r="AQ3215" s="109"/>
      <c r="AR3215" s="109"/>
      <c r="AS3215" s="109"/>
    </row>
    <row r="3216" spans="1:45" ht="12.6" customHeight="1" x14ac:dyDescent="0.3">
      <c r="A3216" s="78"/>
      <c r="B3216" s="78"/>
      <c r="C3216" s="78"/>
      <c r="D3216" s="78"/>
      <c r="E3216" s="78"/>
      <c r="F3216" s="78"/>
      <c r="G3216" s="16" t="s">
        <v>1317</v>
      </c>
      <c r="Z3216" s="109"/>
      <c r="AA3216" s="109"/>
      <c r="AB3216" s="109"/>
      <c r="AC3216" s="109"/>
      <c r="AD3216" s="109"/>
      <c r="AE3216" s="109"/>
      <c r="AF3216" s="109"/>
      <c r="AG3216" s="109"/>
      <c r="AH3216" s="109"/>
      <c r="AI3216" s="109"/>
      <c r="AJ3216" s="109"/>
      <c r="AK3216" s="109"/>
      <c r="AL3216" s="109"/>
      <c r="AM3216" s="109"/>
      <c r="AN3216" s="109"/>
      <c r="AO3216" s="109"/>
      <c r="AP3216" s="109"/>
      <c r="AQ3216" s="109"/>
      <c r="AR3216" s="109"/>
      <c r="AS3216" s="109"/>
    </row>
    <row r="3217" spans="1:45" ht="12.6" customHeight="1" x14ac:dyDescent="0.3">
      <c r="A3217" s="68" t="s">
        <v>1817</v>
      </c>
      <c r="B3217" s="97" t="str">
        <f>" 경    비  :   "&amp;TEXT(I3217,"#,##0"&amp;IF(I3217&lt;&gt;INT(I3217),".###",""))&amp;" / Q1  = "&amp;TEXT(C3217,"#,##0.0")&amp;""</f>
        <v xml:space="preserve"> 경    비  :   19,631 / Q1  = 469.3</v>
      </c>
      <c r="C3217" s="99">
        <f>E3217+D3217+F3217</f>
        <v>469.3</v>
      </c>
      <c r="D3217" s="99">
        <f>IF(H3217=0,0,ROUNDDOWN(J3217*H3217,1))</f>
        <v>0</v>
      </c>
      <c r="E3217" s="99">
        <f>IF(H3217=0,0,ROUNDDOWN(K3217*H3217,1))</f>
        <v>0</v>
      </c>
      <c r="F3217" s="99">
        <f>IF(H3217=0,0,ROUNDDOWN(L3217*H3217,1))</f>
        <v>469.3</v>
      </c>
      <c r="G3217" s="16" t="s">
        <v>1931</v>
      </c>
      <c r="H3217" s="105">
        <f>AC3217</f>
        <v>2.3906287353573991E-2</v>
      </c>
      <c r="I3217" s="106">
        <f>K3217+J3217+L3217</f>
        <v>19631</v>
      </c>
      <c r="L3217" s="39">
        <f>중기목록표!H11</f>
        <v>19631</v>
      </c>
      <c r="M3217" s="20" t="s">
        <v>1813</v>
      </c>
      <c r="N3217" s="20" t="s">
        <v>1721</v>
      </c>
      <c r="X3217" s="108" t="str">
        <f>중기목록표!B11&amp;" / "&amp;중기목록표!C11</f>
        <v xml:space="preserve">덤프트럭15ton(토사) / </v>
      </c>
      <c r="Y3217" s="19" t="str">
        <f ca="1">HYPERLINK("#"&amp;중기목록표!J2&amp;"!A"&amp;ROW(중기목록표!A11),"중기    8 →")</f>
        <v>중기    8 →</v>
      </c>
      <c r="Z3217" s="20" t="s">
        <v>1393</v>
      </c>
      <c r="AA3217" s="112" t="str">
        <f>AJ3211</f>
        <v>41.83</v>
      </c>
      <c r="AB3217" s="20" t="s">
        <v>1326</v>
      </c>
      <c r="AC3217" s="113">
        <f>1/AJ3211</f>
        <v>2.3906287353573991E-2</v>
      </c>
      <c r="AD3217" s="109"/>
      <c r="AE3217" s="109"/>
      <c r="AF3217" s="109"/>
      <c r="AG3217" s="109"/>
      <c r="AH3217" s="109"/>
      <c r="AI3217" s="109"/>
      <c r="AJ3217" s="109"/>
      <c r="AK3217" s="109"/>
      <c r="AL3217" s="109"/>
      <c r="AM3217" s="109"/>
      <c r="AN3217" s="109"/>
      <c r="AO3217" s="109"/>
      <c r="AP3217" s="109"/>
      <c r="AQ3217" s="109"/>
      <c r="AR3217" s="109"/>
      <c r="AS3217" s="109"/>
    </row>
    <row r="3218" spans="1:45" ht="12.6" customHeight="1" x14ac:dyDescent="0.3">
      <c r="A3218" s="78"/>
      <c r="B3218" s="78"/>
      <c r="C3218" s="78"/>
      <c r="D3218" s="78"/>
      <c r="E3218" s="78"/>
      <c r="F3218" s="78"/>
      <c r="G3218" s="16" t="s">
        <v>1317</v>
      </c>
      <c r="Z3218" s="109"/>
      <c r="AA3218" s="109"/>
      <c r="AB3218" s="109"/>
      <c r="AC3218" s="109"/>
      <c r="AD3218" s="109"/>
      <c r="AE3218" s="109"/>
      <c r="AF3218" s="109"/>
      <c r="AG3218" s="109"/>
      <c r="AH3218" s="109"/>
      <c r="AI3218" s="109"/>
      <c r="AJ3218" s="109"/>
      <c r="AK3218" s="109"/>
      <c r="AL3218" s="109"/>
      <c r="AM3218" s="109"/>
      <c r="AN3218" s="109"/>
      <c r="AO3218" s="109"/>
      <c r="AP3218" s="109"/>
      <c r="AQ3218" s="109"/>
      <c r="AR3218" s="109"/>
      <c r="AS3218" s="109"/>
    </row>
    <row r="3219" spans="1:45" ht="12.6" customHeight="1" x14ac:dyDescent="0.3">
      <c r="A3219" s="68"/>
      <c r="B3219" s="77" t="s">
        <v>1720</v>
      </c>
      <c r="C3219" s="103">
        <f>E3219+D3219+F3219</f>
        <v>1940.3999999999999</v>
      </c>
      <c r="D3219" s="103">
        <f>SUMIF(N3185:N3218,M3219,D3185:D3218)</f>
        <v>1331.5</v>
      </c>
      <c r="E3219" s="103">
        <f>SUMIF(N3185:N3218,M3219,E3185:E3218)</f>
        <v>139.6</v>
      </c>
      <c r="F3219" s="103">
        <f>SUMIF(N3185:N3218,M3219,F3185:F3218)</f>
        <v>469.3</v>
      </c>
      <c r="G3219" s="16" t="s">
        <v>1961</v>
      </c>
      <c r="M3219" s="20" t="s">
        <v>1721</v>
      </c>
      <c r="Z3219" s="109"/>
      <c r="AA3219" s="109"/>
      <c r="AB3219" s="109"/>
      <c r="AC3219" s="109"/>
      <c r="AD3219" s="109"/>
      <c r="AE3219" s="109"/>
      <c r="AF3219" s="109"/>
      <c r="AG3219" s="109"/>
      <c r="AH3219" s="109"/>
      <c r="AI3219" s="109"/>
      <c r="AJ3219" s="109"/>
      <c r="AK3219" s="109"/>
      <c r="AL3219" s="109"/>
      <c r="AM3219" s="109"/>
      <c r="AN3219" s="109"/>
      <c r="AO3219" s="109"/>
      <c r="AP3219" s="109"/>
      <c r="AQ3219" s="109"/>
      <c r="AR3219" s="109"/>
      <c r="AS3219" s="109"/>
    </row>
    <row r="3220" spans="1:45" ht="12.6" customHeight="1" x14ac:dyDescent="0.3">
      <c r="A3220" s="78"/>
      <c r="B3220" s="78"/>
      <c r="C3220" s="104"/>
      <c r="D3220" s="104"/>
      <c r="E3220" s="104"/>
      <c r="F3220" s="104"/>
      <c r="G3220" s="16" t="s">
        <v>1433</v>
      </c>
      <c r="Z3220" s="109"/>
      <c r="AA3220" s="109"/>
      <c r="AB3220" s="109"/>
      <c r="AC3220" s="109"/>
      <c r="AD3220" s="109"/>
      <c r="AE3220" s="109"/>
      <c r="AF3220" s="109"/>
      <c r="AG3220" s="109"/>
      <c r="AH3220" s="109"/>
      <c r="AI3220" s="109"/>
      <c r="AJ3220" s="109"/>
      <c r="AK3220" s="109"/>
      <c r="AL3220" s="109"/>
      <c r="AM3220" s="109"/>
      <c r="AN3220" s="109"/>
      <c r="AO3220" s="109"/>
      <c r="AP3220" s="109"/>
      <c r="AQ3220" s="109"/>
      <c r="AR3220" s="109"/>
      <c r="AS3220" s="109"/>
    </row>
    <row r="3221" spans="1:45" ht="12.6" customHeight="1" x14ac:dyDescent="0.3">
      <c r="A3221" s="78"/>
      <c r="B3221" s="78"/>
      <c r="C3221" s="78"/>
      <c r="D3221" s="78"/>
      <c r="E3221" s="78"/>
      <c r="F3221" s="78"/>
      <c r="G3221" s="16" t="s">
        <v>1317</v>
      </c>
      <c r="Z3221" s="109"/>
      <c r="AA3221" s="109"/>
      <c r="AB3221" s="109"/>
      <c r="AC3221" s="109"/>
      <c r="AD3221" s="109"/>
      <c r="AE3221" s="109"/>
      <c r="AF3221" s="109"/>
      <c r="AG3221" s="109"/>
      <c r="AH3221" s="109"/>
      <c r="AI3221" s="109"/>
      <c r="AJ3221" s="109"/>
      <c r="AK3221" s="109"/>
      <c r="AL3221" s="109"/>
      <c r="AM3221" s="109"/>
      <c r="AN3221" s="109"/>
      <c r="AO3221" s="109"/>
      <c r="AP3221" s="109"/>
      <c r="AQ3221" s="109"/>
      <c r="AR3221" s="109"/>
      <c r="AS3221" s="109"/>
    </row>
    <row r="3222" spans="1:45" ht="12.6" customHeight="1" x14ac:dyDescent="0.3">
      <c r="A3222" s="68"/>
      <c r="B3222" s="77" t="s">
        <v>2149</v>
      </c>
      <c r="C3222" s="78"/>
      <c r="D3222" s="78"/>
      <c r="E3222" s="78"/>
      <c r="F3222" s="78"/>
      <c r="G3222" s="16" t="s">
        <v>2148</v>
      </c>
      <c r="Z3222" s="109"/>
      <c r="AA3222" s="109"/>
      <c r="AB3222" s="109"/>
      <c r="AC3222" s="109"/>
      <c r="AD3222" s="109"/>
      <c r="AE3222" s="109"/>
      <c r="AF3222" s="109"/>
      <c r="AG3222" s="109"/>
      <c r="AH3222" s="109"/>
      <c r="AI3222" s="109"/>
      <c r="AJ3222" s="109"/>
      <c r="AK3222" s="109"/>
      <c r="AL3222" s="109"/>
      <c r="AM3222" s="109"/>
      <c r="AN3222" s="109"/>
      <c r="AO3222" s="109"/>
      <c r="AP3222" s="109"/>
      <c r="AQ3222" s="109"/>
      <c r="AR3222" s="109"/>
      <c r="AS3222" s="109"/>
    </row>
    <row r="3223" spans="1:45" ht="12.6" customHeight="1" x14ac:dyDescent="0.3">
      <c r="A3223" s="78"/>
      <c r="B3223" s="78"/>
      <c r="C3223" s="78"/>
      <c r="D3223" s="78"/>
      <c r="E3223" s="78"/>
      <c r="F3223" s="78"/>
      <c r="G3223" s="16" t="s">
        <v>1317</v>
      </c>
      <c r="Z3223" s="109"/>
      <c r="AA3223" s="109"/>
      <c r="AB3223" s="109"/>
      <c r="AC3223" s="109"/>
      <c r="AD3223" s="109"/>
      <c r="AE3223" s="109"/>
      <c r="AF3223" s="109"/>
      <c r="AG3223" s="109"/>
      <c r="AH3223" s="109"/>
      <c r="AI3223" s="109"/>
      <c r="AJ3223" s="109"/>
      <c r="AK3223" s="109"/>
      <c r="AL3223" s="109"/>
      <c r="AM3223" s="109"/>
      <c r="AN3223" s="109"/>
      <c r="AO3223" s="109"/>
      <c r="AP3223" s="109"/>
      <c r="AQ3223" s="109"/>
      <c r="AR3223" s="109"/>
      <c r="AS3223" s="109"/>
    </row>
    <row r="3224" spans="1:45" ht="12.6" customHeight="1" x14ac:dyDescent="0.3">
      <c r="A3224" s="68"/>
      <c r="B3224" s="97" t="str">
        <f>" k  (버킷계수)  = "&amp;Z3224&amp;""</f>
        <v xml:space="preserve"> k  (버킷계수)  = 0.7</v>
      </c>
      <c r="C3224" s="78"/>
      <c r="D3224" s="78"/>
      <c r="E3224" s="78"/>
      <c r="F3224" s="78"/>
      <c r="G3224" s="16" t="s">
        <v>2136</v>
      </c>
      <c r="Z3224" s="110">
        <v>0.7</v>
      </c>
      <c r="AA3224" s="20" t="s">
        <v>1326</v>
      </c>
      <c r="AB3224" s="112">
        <f>Z3224</f>
        <v>0.7</v>
      </c>
      <c r="AC3224" s="109"/>
      <c r="AD3224" s="109"/>
      <c r="AE3224" s="109"/>
      <c r="AF3224" s="109"/>
      <c r="AG3224" s="109"/>
      <c r="AH3224" s="109"/>
      <c r="AI3224" s="109"/>
      <c r="AJ3224" s="109"/>
      <c r="AK3224" s="109"/>
      <c r="AL3224" s="109"/>
      <c r="AM3224" s="109"/>
      <c r="AN3224" s="109"/>
      <c r="AO3224" s="109"/>
      <c r="AP3224" s="109"/>
      <c r="AQ3224" s="109"/>
      <c r="AR3224" s="109"/>
      <c r="AS3224" s="109"/>
    </row>
    <row r="3225" spans="1:45" ht="12.6" customHeight="1" x14ac:dyDescent="0.3">
      <c r="A3225" s="78"/>
      <c r="B3225" s="78"/>
      <c r="C3225" s="78"/>
      <c r="D3225" s="78"/>
      <c r="E3225" s="78"/>
      <c r="F3225" s="78"/>
      <c r="G3225" s="16" t="s">
        <v>1317</v>
      </c>
      <c r="Z3225" s="109"/>
      <c r="AA3225" s="109"/>
      <c r="AB3225" s="109"/>
      <c r="AC3225" s="109"/>
      <c r="AD3225" s="109"/>
      <c r="AE3225" s="109"/>
      <c r="AF3225" s="109"/>
      <c r="AG3225" s="109"/>
      <c r="AH3225" s="109"/>
      <c r="AI3225" s="109"/>
      <c r="AJ3225" s="109"/>
      <c r="AK3225" s="109"/>
      <c r="AL3225" s="109"/>
      <c r="AM3225" s="109"/>
      <c r="AN3225" s="109"/>
      <c r="AO3225" s="109"/>
      <c r="AP3225" s="109"/>
      <c r="AQ3225" s="109"/>
      <c r="AR3225" s="109"/>
      <c r="AS3225" s="109"/>
    </row>
    <row r="3226" spans="1:45" ht="12.6" customHeight="1" x14ac:dyDescent="0.3">
      <c r="A3226" s="68"/>
      <c r="B3226" s="97" t="str">
        <f>" E  (작업 효율)  = "&amp;Z3226&amp;""</f>
        <v xml:space="preserve"> E  (작업 효율)  = 0.9</v>
      </c>
      <c r="C3226" s="78"/>
      <c r="D3226" s="78"/>
      <c r="E3226" s="78"/>
      <c r="F3226" s="78"/>
      <c r="G3226" s="16" t="s">
        <v>2137</v>
      </c>
      <c r="Z3226" s="110">
        <v>0.9</v>
      </c>
      <c r="AA3226" s="20" t="s">
        <v>1326</v>
      </c>
      <c r="AB3226" s="112">
        <f>Z3226</f>
        <v>0.9</v>
      </c>
      <c r="AC3226" s="109"/>
      <c r="AD3226" s="109"/>
      <c r="AE3226" s="109"/>
      <c r="AF3226" s="109"/>
      <c r="AG3226" s="109"/>
      <c r="AH3226" s="109"/>
      <c r="AI3226" s="109"/>
      <c r="AJ3226" s="109"/>
      <c r="AK3226" s="109"/>
      <c r="AL3226" s="109"/>
      <c r="AM3226" s="109"/>
      <c r="AN3226" s="109"/>
      <c r="AO3226" s="109"/>
      <c r="AP3226" s="109"/>
      <c r="AQ3226" s="109"/>
      <c r="AR3226" s="109"/>
      <c r="AS3226" s="109"/>
    </row>
    <row r="3227" spans="1:45" ht="12.6" customHeight="1" x14ac:dyDescent="0.3">
      <c r="A3227" s="78"/>
      <c r="B3227" s="78"/>
      <c r="C3227" s="78"/>
      <c r="D3227" s="78"/>
      <c r="E3227" s="78"/>
      <c r="F3227" s="78"/>
      <c r="G3227" s="16" t="s">
        <v>1317</v>
      </c>
      <c r="Z3227" s="109"/>
      <c r="AA3227" s="109"/>
      <c r="AB3227" s="109"/>
      <c r="AC3227" s="109"/>
      <c r="AD3227" s="109"/>
      <c r="AE3227" s="109"/>
      <c r="AF3227" s="109"/>
      <c r="AG3227" s="109"/>
      <c r="AH3227" s="109"/>
      <c r="AI3227" s="109"/>
      <c r="AJ3227" s="109"/>
      <c r="AK3227" s="109"/>
      <c r="AL3227" s="109"/>
      <c r="AM3227" s="109"/>
      <c r="AN3227" s="109"/>
      <c r="AO3227" s="109"/>
      <c r="AP3227" s="109"/>
      <c r="AQ3227" s="109"/>
      <c r="AR3227" s="109"/>
      <c r="AS3227" s="109"/>
    </row>
    <row r="3228" spans="1:45" ht="12.6" customHeight="1" x14ac:dyDescent="0.3">
      <c r="A3228" s="68"/>
      <c r="B3228" s="97" t="str">
        <f>" F  (체적 환산계수)  = "&amp;Z3228&amp;""</f>
        <v xml:space="preserve"> F  (체적 환산계수)  = 1</v>
      </c>
      <c r="C3228" s="78"/>
      <c r="D3228" s="78"/>
      <c r="E3228" s="78"/>
      <c r="F3228" s="78"/>
      <c r="G3228" s="16" t="s">
        <v>2138</v>
      </c>
      <c r="Z3228" s="111">
        <v>1</v>
      </c>
      <c r="AA3228" s="20" t="s">
        <v>1326</v>
      </c>
      <c r="AB3228" s="112">
        <f>Z3228</f>
        <v>1</v>
      </c>
      <c r="AC3228" s="109"/>
      <c r="AD3228" s="109"/>
      <c r="AE3228" s="109"/>
      <c r="AF3228" s="109"/>
      <c r="AG3228" s="109"/>
      <c r="AH3228" s="109"/>
      <c r="AI3228" s="109"/>
      <c r="AJ3228" s="109"/>
      <c r="AK3228" s="109"/>
      <c r="AL3228" s="109"/>
      <c r="AM3228" s="109"/>
      <c r="AN3228" s="109"/>
      <c r="AO3228" s="109"/>
      <c r="AP3228" s="109"/>
      <c r="AQ3228" s="109"/>
      <c r="AR3228" s="109"/>
      <c r="AS3228" s="109"/>
    </row>
    <row r="3229" spans="1:45" ht="12.6" customHeight="1" x14ac:dyDescent="0.3">
      <c r="A3229" s="78"/>
      <c r="B3229" s="78"/>
      <c r="C3229" s="78"/>
      <c r="D3229" s="78"/>
      <c r="E3229" s="78"/>
      <c r="F3229" s="78"/>
      <c r="G3229" s="16" t="s">
        <v>1317</v>
      </c>
      <c r="Z3229" s="109"/>
      <c r="AA3229" s="109"/>
      <c r="AB3229" s="109"/>
      <c r="AC3229" s="109"/>
      <c r="AD3229" s="109"/>
      <c r="AE3229" s="109"/>
      <c r="AF3229" s="109"/>
      <c r="AG3229" s="109"/>
      <c r="AH3229" s="109"/>
      <c r="AI3229" s="109"/>
      <c r="AJ3229" s="109"/>
      <c r="AK3229" s="109"/>
      <c r="AL3229" s="109"/>
      <c r="AM3229" s="109"/>
      <c r="AN3229" s="109"/>
      <c r="AO3229" s="109"/>
      <c r="AP3229" s="109"/>
      <c r="AQ3229" s="109"/>
      <c r="AR3229" s="109"/>
      <c r="AS3229" s="109"/>
    </row>
    <row r="3230" spans="1:45" ht="12.6" customHeight="1" x14ac:dyDescent="0.3">
      <c r="A3230" s="68"/>
      <c r="B3230" s="97" t="str">
        <f>" q1  (덤프트럭1회적재량)  = ("&amp;AA3230&amp;"/"&amp;AC3230&amp;") * "&amp;AE3230&amp;" = "&amp;AG3230&amp;""</f>
        <v xml:space="preserve"> q1  (덤프트럭1회적재량)  = (10.5/1.7) * 1.25 = 7.72</v>
      </c>
      <c r="C3230" s="78"/>
      <c r="D3230" s="78"/>
      <c r="E3230" s="78"/>
      <c r="F3230" s="78"/>
      <c r="G3230" s="16" t="s">
        <v>2150</v>
      </c>
      <c r="Z3230" s="20" t="s">
        <v>1526</v>
      </c>
      <c r="AA3230" s="110">
        <v>10.5</v>
      </c>
      <c r="AB3230" s="20" t="s">
        <v>1387</v>
      </c>
      <c r="AC3230" s="110">
        <v>1.7</v>
      </c>
      <c r="AD3230" s="20" t="s">
        <v>1527</v>
      </c>
      <c r="AE3230" s="110">
        <v>1.25</v>
      </c>
      <c r="AF3230" s="20" t="s">
        <v>1326</v>
      </c>
      <c r="AG3230" s="112" t="str">
        <f>TEXT(ROUND((AA3230/AC3230)*AE3230,2),"0.00")</f>
        <v>7.72</v>
      </c>
      <c r="AH3230" s="109"/>
      <c r="AI3230" s="109"/>
      <c r="AJ3230" s="109"/>
      <c r="AK3230" s="109"/>
      <c r="AL3230" s="109"/>
      <c r="AM3230" s="109"/>
      <c r="AN3230" s="109"/>
      <c r="AO3230" s="109"/>
      <c r="AP3230" s="109"/>
      <c r="AQ3230" s="109"/>
      <c r="AR3230" s="109"/>
      <c r="AS3230" s="109"/>
    </row>
    <row r="3231" spans="1:45" ht="12.6" customHeight="1" x14ac:dyDescent="0.3">
      <c r="A3231" s="78"/>
      <c r="B3231" s="78"/>
      <c r="C3231" s="78"/>
      <c r="D3231" s="78"/>
      <c r="E3231" s="78"/>
      <c r="F3231" s="78"/>
      <c r="G3231" s="16" t="s">
        <v>1317</v>
      </c>
      <c r="Z3231" s="109"/>
      <c r="AA3231" s="109"/>
      <c r="AB3231" s="109"/>
      <c r="AC3231" s="109"/>
      <c r="AD3231" s="109"/>
      <c r="AE3231" s="109"/>
      <c r="AF3231" s="109"/>
      <c r="AG3231" s="109"/>
      <c r="AH3231" s="109"/>
      <c r="AI3231" s="109"/>
      <c r="AJ3231" s="109"/>
      <c r="AK3231" s="109"/>
      <c r="AL3231" s="109"/>
      <c r="AM3231" s="109"/>
      <c r="AN3231" s="109"/>
      <c r="AO3231" s="109"/>
      <c r="AP3231" s="109"/>
      <c r="AQ3231" s="109"/>
      <c r="AR3231" s="109"/>
      <c r="AS3231" s="109"/>
    </row>
    <row r="3232" spans="1:45" ht="12.6" customHeight="1" x14ac:dyDescent="0.3">
      <c r="A3232" s="68"/>
      <c r="B3232" s="97" t="str">
        <f>" n  (시간당운반횟수)  = q1 / ("&amp;AB3232&amp;" * k) = "&amp;AG3232&amp;"  회 "</f>
        <v xml:space="preserve"> n  (시간당운반횟수)  = q1 / (0.7 * k) = 15.76  회 </v>
      </c>
      <c r="C3232" s="78"/>
      <c r="D3232" s="78"/>
      <c r="E3232" s="78"/>
      <c r="F3232" s="78"/>
      <c r="G3232" s="16" t="s">
        <v>2140</v>
      </c>
      <c r="Z3232" s="112" t="str">
        <f>AG3230</f>
        <v>7.72</v>
      </c>
      <c r="AA3232" s="20" t="s">
        <v>1531</v>
      </c>
      <c r="AB3232" s="110">
        <v>0.7</v>
      </c>
      <c r="AC3232" s="20" t="s">
        <v>1390</v>
      </c>
      <c r="AD3232" s="112">
        <f>AB3224</f>
        <v>0.7</v>
      </c>
      <c r="AE3232" s="20" t="s">
        <v>1532</v>
      </c>
      <c r="AF3232" s="20" t="s">
        <v>1326</v>
      </c>
      <c r="AG3232" s="112" t="str">
        <f>TEXT(ROUND(AG3230/(AB3232*AB3224),2),"0.00")</f>
        <v>15.76</v>
      </c>
      <c r="AH3232" s="109"/>
      <c r="AI3232" s="109"/>
      <c r="AJ3232" s="109"/>
      <c r="AK3232" s="109"/>
      <c r="AL3232" s="109"/>
      <c r="AM3232" s="109"/>
      <c r="AN3232" s="109"/>
      <c r="AO3232" s="109"/>
      <c r="AP3232" s="109"/>
      <c r="AQ3232" s="109"/>
      <c r="AR3232" s="109"/>
      <c r="AS3232" s="109"/>
    </row>
    <row r="3233" spans="1:45" ht="12.6" customHeight="1" x14ac:dyDescent="0.3">
      <c r="A3233" s="78"/>
      <c r="B3233" s="78"/>
      <c r="C3233" s="78"/>
      <c r="D3233" s="78"/>
      <c r="E3233" s="78"/>
      <c r="F3233" s="78"/>
      <c r="G3233" s="16" t="s">
        <v>1317</v>
      </c>
      <c r="Z3233" s="109"/>
      <c r="AA3233" s="109"/>
      <c r="AB3233" s="109"/>
      <c r="AC3233" s="109"/>
      <c r="AD3233" s="109"/>
      <c r="AE3233" s="109"/>
      <c r="AF3233" s="109"/>
      <c r="AG3233" s="109"/>
      <c r="AH3233" s="109"/>
      <c r="AI3233" s="109"/>
      <c r="AJ3233" s="109"/>
      <c r="AK3233" s="109"/>
      <c r="AL3233" s="109"/>
      <c r="AM3233" s="109"/>
      <c r="AN3233" s="109"/>
      <c r="AO3233" s="109"/>
      <c r="AP3233" s="109"/>
      <c r="AQ3233" s="109"/>
      <c r="AR3233" s="109"/>
      <c r="AS3233" s="109"/>
    </row>
    <row r="3234" spans="1:45" ht="12.6" customHeight="1" x14ac:dyDescent="0.3">
      <c r="A3234" s="68"/>
      <c r="B3234" s="97" t="str">
        <f>" t1  (적재시간)  = "&amp;Z3234&amp;" * n / ("&amp;AD3234&amp;" * "&amp;AF3234&amp;") = "&amp;AI3234&amp;" 분 "</f>
        <v xml:space="preserve"> t1  (적재시간)  = 18 * n / (60 * 0.6) = 7.88 분 </v>
      </c>
      <c r="C3234" s="78"/>
      <c r="D3234" s="78"/>
      <c r="E3234" s="78"/>
      <c r="F3234" s="78"/>
      <c r="G3234" s="16" t="s">
        <v>2141</v>
      </c>
      <c r="Z3234" s="111">
        <v>18</v>
      </c>
      <c r="AA3234" s="20" t="s">
        <v>1390</v>
      </c>
      <c r="AB3234" s="112" t="str">
        <f>AG3232</f>
        <v>15.76</v>
      </c>
      <c r="AC3234" s="20" t="s">
        <v>1531</v>
      </c>
      <c r="AD3234" s="111">
        <v>60</v>
      </c>
      <c r="AE3234" s="20" t="s">
        <v>1390</v>
      </c>
      <c r="AF3234" s="110">
        <v>0.6</v>
      </c>
      <c r="AG3234" s="20" t="s">
        <v>1532</v>
      </c>
      <c r="AH3234" s="20" t="s">
        <v>1326</v>
      </c>
      <c r="AI3234" s="112" t="str">
        <f>TEXT(ROUND(Z3234*AG3232/(AD3234*AF3234),2),"0.00")</f>
        <v>7.88</v>
      </c>
      <c r="AJ3234" s="109"/>
      <c r="AK3234" s="109"/>
      <c r="AL3234" s="109"/>
      <c r="AM3234" s="109"/>
      <c r="AN3234" s="109"/>
      <c r="AO3234" s="109"/>
      <c r="AP3234" s="109"/>
      <c r="AQ3234" s="109"/>
      <c r="AR3234" s="109"/>
      <c r="AS3234" s="109"/>
    </row>
    <row r="3235" spans="1:45" ht="12.6" customHeight="1" x14ac:dyDescent="0.3">
      <c r="A3235" s="78"/>
      <c r="B3235" s="78"/>
      <c r="C3235" s="78"/>
      <c r="D3235" s="78"/>
      <c r="E3235" s="78"/>
      <c r="F3235" s="78"/>
      <c r="G3235" s="16" t="s">
        <v>1317</v>
      </c>
      <c r="Z3235" s="109"/>
      <c r="AA3235" s="109"/>
      <c r="AB3235" s="109"/>
      <c r="AC3235" s="109"/>
      <c r="AD3235" s="109"/>
      <c r="AE3235" s="109"/>
      <c r="AF3235" s="109"/>
      <c r="AG3235" s="109"/>
      <c r="AH3235" s="109"/>
      <c r="AI3235" s="109"/>
      <c r="AJ3235" s="109"/>
      <c r="AK3235" s="109"/>
      <c r="AL3235" s="109"/>
      <c r="AM3235" s="109"/>
      <c r="AN3235" s="109"/>
      <c r="AO3235" s="109"/>
      <c r="AP3235" s="109"/>
      <c r="AQ3235" s="109"/>
      <c r="AR3235" s="109"/>
      <c r="AS3235" s="109"/>
    </row>
    <row r="3236" spans="1:45" ht="12.6" customHeight="1" x14ac:dyDescent="0.3">
      <c r="A3236" s="68"/>
      <c r="B3236" s="97" t="str">
        <f>" t2  (왕복시간)  = (L/"&amp;AC3236&amp;"+L/"&amp;AG3236&amp;")* "&amp;AI3236&amp;" = "&amp;AK3236&amp;" 분 "</f>
        <v xml:space="preserve"> t2  (왕복시간)  = (L/10+L/15)* 60 = 1.18 분 </v>
      </c>
      <c r="C3236" s="78"/>
      <c r="D3236" s="78"/>
      <c r="E3236" s="78"/>
      <c r="F3236" s="78"/>
      <c r="G3236" s="16" t="s">
        <v>2142</v>
      </c>
      <c r="Z3236" s="20" t="s">
        <v>1526</v>
      </c>
      <c r="AA3236" s="112">
        <f>AB3161</f>
        <v>0.11799999999999999</v>
      </c>
      <c r="AB3236" s="20" t="s">
        <v>1387</v>
      </c>
      <c r="AC3236" s="111">
        <v>10</v>
      </c>
      <c r="AD3236" s="20" t="s">
        <v>1535</v>
      </c>
      <c r="AE3236" s="112">
        <f>AB3161</f>
        <v>0.11799999999999999</v>
      </c>
      <c r="AF3236" s="20" t="s">
        <v>1387</v>
      </c>
      <c r="AG3236" s="111">
        <v>15</v>
      </c>
      <c r="AH3236" s="20" t="s">
        <v>1527</v>
      </c>
      <c r="AI3236" s="111">
        <v>60</v>
      </c>
      <c r="AJ3236" s="20" t="s">
        <v>1326</v>
      </c>
      <c r="AK3236" s="112" t="str">
        <f>TEXT(ROUND((AB3161/AC3236+AB3161/AG3236)*AI3236,2),"0.00")</f>
        <v>1.18</v>
      </c>
      <c r="AL3236" s="109"/>
      <c r="AM3236" s="109"/>
      <c r="AN3236" s="109"/>
      <c r="AO3236" s="109"/>
      <c r="AP3236" s="109"/>
      <c r="AQ3236" s="109"/>
      <c r="AR3236" s="109"/>
      <c r="AS3236" s="109"/>
    </row>
    <row r="3237" spans="1:45" ht="12.6" customHeight="1" x14ac:dyDescent="0.3">
      <c r="A3237" s="78"/>
      <c r="B3237" s="78"/>
      <c r="C3237" s="78"/>
      <c r="D3237" s="78"/>
      <c r="E3237" s="78"/>
      <c r="F3237" s="78"/>
      <c r="G3237" s="16" t="s">
        <v>1317</v>
      </c>
      <c r="Z3237" s="109"/>
      <c r="AA3237" s="109"/>
      <c r="AB3237" s="109"/>
      <c r="AC3237" s="109"/>
      <c r="AD3237" s="109"/>
      <c r="AE3237" s="109"/>
      <c r="AF3237" s="109"/>
      <c r="AG3237" s="109"/>
      <c r="AH3237" s="109"/>
      <c r="AI3237" s="109"/>
      <c r="AJ3237" s="109"/>
      <c r="AK3237" s="109"/>
      <c r="AL3237" s="109"/>
      <c r="AM3237" s="109"/>
      <c r="AN3237" s="109"/>
      <c r="AO3237" s="109"/>
      <c r="AP3237" s="109"/>
      <c r="AQ3237" s="109"/>
      <c r="AR3237" s="109"/>
      <c r="AS3237" s="109"/>
    </row>
    <row r="3238" spans="1:45" ht="12.6" customHeight="1" x14ac:dyDescent="0.3">
      <c r="A3238" s="68"/>
      <c r="B3238" s="97" t="str">
        <f>" t3  (적하시간)  = "&amp;Z3238&amp;" , t4 (대기시간)  = "&amp;AD3238&amp;""</f>
        <v xml:space="preserve"> t3  (적하시간)  = 1.1 , t4 (대기시간)  = 0.7</v>
      </c>
      <c r="C3238" s="78"/>
      <c r="D3238" s="78"/>
      <c r="E3238" s="78"/>
      <c r="F3238" s="78"/>
      <c r="G3238" s="16" t="s">
        <v>2143</v>
      </c>
      <c r="Z3238" s="110">
        <v>1.1000000000000001</v>
      </c>
      <c r="AA3238" s="20" t="s">
        <v>1326</v>
      </c>
      <c r="AB3238" s="112">
        <f>Z3238</f>
        <v>1.1000000000000001</v>
      </c>
      <c r="AC3238" s="20" t="s">
        <v>1385</v>
      </c>
      <c r="AD3238" s="110">
        <v>0.7</v>
      </c>
      <c r="AE3238" s="20" t="s">
        <v>1326</v>
      </c>
      <c r="AF3238" s="112">
        <f>AD3238</f>
        <v>0.7</v>
      </c>
      <c r="AG3238" s="20" t="s">
        <v>1385</v>
      </c>
      <c r="AH3238" s="109"/>
      <c r="AI3238" s="109"/>
      <c r="AJ3238" s="109"/>
      <c r="AK3238" s="109"/>
      <c r="AL3238" s="109"/>
      <c r="AM3238" s="109"/>
      <c r="AN3238" s="109"/>
      <c r="AO3238" s="109"/>
      <c r="AP3238" s="109"/>
      <c r="AQ3238" s="109"/>
      <c r="AR3238" s="109"/>
      <c r="AS3238" s="109"/>
    </row>
    <row r="3239" spans="1:45" ht="12.6" customHeight="1" x14ac:dyDescent="0.3">
      <c r="A3239" s="78"/>
      <c r="B3239" s="78"/>
      <c r="C3239" s="78"/>
      <c r="D3239" s="78"/>
      <c r="E3239" s="78"/>
      <c r="F3239" s="78"/>
      <c r="G3239" s="16" t="s">
        <v>1317</v>
      </c>
      <c r="Z3239" s="109"/>
      <c r="AA3239" s="109"/>
      <c r="AB3239" s="109"/>
      <c r="AC3239" s="109"/>
      <c r="AD3239" s="109"/>
      <c r="AE3239" s="109"/>
      <c r="AF3239" s="109"/>
      <c r="AG3239" s="109"/>
      <c r="AH3239" s="109"/>
      <c r="AI3239" s="109"/>
      <c r="AJ3239" s="109"/>
      <c r="AK3239" s="109"/>
      <c r="AL3239" s="109"/>
      <c r="AM3239" s="109"/>
      <c r="AN3239" s="109"/>
      <c r="AO3239" s="109"/>
      <c r="AP3239" s="109"/>
      <c r="AQ3239" s="109"/>
      <c r="AR3239" s="109"/>
      <c r="AS3239" s="109"/>
    </row>
    <row r="3240" spans="1:45" ht="12.6" customHeight="1" x14ac:dyDescent="0.3">
      <c r="A3240" s="68"/>
      <c r="B3240" s="97" t="str">
        <f>" Cm  (1회 사이클 시간(초))  = t1 + t2 + t3 + t4  = "&amp;AH3240&amp;""</f>
        <v xml:space="preserve"> Cm  (1회 사이클 시간(초))  = t1 + t2 + t3 + t4  = 10.86</v>
      </c>
      <c r="C3240" s="78"/>
      <c r="D3240" s="78"/>
      <c r="E3240" s="78"/>
      <c r="F3240" s="78"/>
      <c r="G3240" s="16" t="s">
        <v>2144</v>
      </c>
      <c r="Z3240" s="112" t="str">
        <f>AI3234</f>
        <v>7.88</v>
      </c>
      <c r="AA3240" s="20" t="s">
        <v>1535</v>
      </c>
      <c r="AB3240" s="112" t="str">
        <f>AK3236</f>
        <v>1.18</v>
      </c>
      <c r="AC3240" s="20" t="s">
        <v>1535</v>
      </c>
      <c r="AD3240" s="112">
        <f>AB3238</f>
        <v>1.1000000000000001</v>
      </c>
      <c r="AE3240" s="20" t="s">
        <v>1535</v>
      </c>
      <c r="AF3240" s="112">
        <f>AF3238</f>
        <v>0.7</v>
      </c>
      <c r="AG3240" s="20" t="s">
        <v>1326</v>
      </c>
      <c r="AH3240" s="112" t="str">
        <f>TEXT(ROUND(AI3234+AK3236+AB3238+AF3238,2),"0.00")</f>
        <v>10.86</v>
      </c>
      <c r="AI3240" s="109"/>
      <c r="AJ3240" s="109"/>
      <c r="AK3240" s="109"/>
      <c r="AL3240" s="109"/>
      <c r="AM3240" s="109"/>
      <c r="AN3240" s="109"/>
      <c r="AO3240" s="109"/>
      <c r="AP3240" s="109"/>
      <c r="AQ3240" s="109"/>
      <c r="AR3240" s="109"/>
      <c r="AS3240" s="109"/>
    </row>
    <row r="3241" spans="1:45" ht="12.6" customHeight="1" x14ac:dyDescent="0.3">
      <c r="A3241" s="78"/>
      <c r="B3241" s="78"/>
      <c r="C3241" s="78"/>
      <c r="D3241" s="78"/>
      <c r="E3241" s="78"/>
      <c r="F3241" s="78"/>
      <c r="G3241" s="16" t="s">
        <v>1317</v>
      </c>
      <c r="Z3241" s="109"/>
      <c r="AA3241" s="109"/>
      <c r="AB3241" s="109"/>
      <c r="AC3241" s="109"/>
      <c r="AD3241" s="109"/>
      <c r="AE3241" s="109"/>
      <c r="AF3241" s="109"/>
      <c r="AG3241" s="109"/>
      <c r="AH3241" s="109"/>
      <c r="AI3241" s="109"/>
      <c r="AJ3241" s="109"/>
      <c r="AK3241" s="109"/>
      <c r="AL3241" s="109"/>
      <c r="AM3241" s="109"/>
      <c r="AN3241" s="109"/>
      <c r="AO3241" s="109"/>
      <c r="AP3241" s="109"/>
      <c r="AQ3241" s="109"/>
      <c r="AR3241" s="109"/>
      <c r="AS3241" s="109"/>
    </row>
    <row r="3242" spans="1:45" ht="12.6" customHeight="1" x14ac:dyDescent="0.3">
      <c r="A3242" s="68"/>
      <c r="B3242" s="97" t="str">
        <f>" Q2  (시간당 작업량(m3/hr))  = "&amp;Z3242&amp;" * q1 * F * E / Cm = "&amp;AJ3242&amp;" m3/hr "</f>
        <v xml:space="preserve"> Q2  (시간당 작업량(m3/hr))  = 60 * q1 * F * E / Cm = 38.39 m3/hr </v>
      </c>
      <c r="C3242" s="78"/>
      <c r="D3242" s="78"/>
      <c r="E3242" s="78"/>
      <c r="F3242" s="78"/>
      <c r="G3242" s="16" t="s">
        <v>2151</v>
      </c>
      <c r="Z3242" s="111">
        <v>60</v>
      </c>
      <c r="AA3242" s="20" t="s">
        <v>1390</v>
      </c>
      <c r="AB3242" s="112" t="str">
        <f>AG3230</f>
        <v>7.72</v>
      </c>
      <c r="AC3242" s="20" t="s">
        <v>1390</v>
      </c>
      <c r="AD3242" s="112">
        <f>AB3228</f>
        <v>1</v>
      </c>
      <c r="AE3242" s="20" t="s">
        <v>1390</v>
      </c>
      <c r="AF3242" s="112">
        <f>AB3226</f>
        <v>0.9</v>
      </c>
      <c r="AG3242" s="20" t="s">
        <v>1387</v>
      </c>
      <c r="AH3242" s="112" t="str">
        <f>AH3240</f>
        <v>10.86</v>
      </c>
      <c r="AI3242" s="20" t="s">
        <v>1326</v>
      </c>
      <c r="AJ3242" s="112" t="str">
        <f>TEXT(ROUND(Z3242*AG3230*AB3228*AB3226/AH3240,2),"0.00")</f>
        <v>38.39</v>
      </c>
      <c r="AK3242" s="109"/>
      <c r="AL3242" s="109"/>
      <c r="AM3242" s="109"/>
      <c r="AN3242" s="109"/>
      <c r="AO3242" s="109"/>
      <c r="AP3242" s="109"/>
      <c r="AQ3242" s="109"/>
      <c r="AR3242" s="109"/>
      <c r="AS3242" s="109"/>
    </row>
    <row r="3243" spans="1:45" ht="12.6" customHeight="1" x14ac:dyDescent="0.3">
      <c r="A3243" s="78"/>
      <c r="B3243" s="78"/>
      <c r="C3243" s="78"/>
      <c r="D3243" s="78"/>
      <c r="E3243" s="78"/>
      <c r="F3243" s="78"/>
      <c r="G3243" s="16" t="s">
        <v>1317</v>
      </c>
      <c r="Z3243" s="109"/>
      <c r="AA3243" s="109"/>
      <c r="AB3243" s="109"/>
      <c r="AC3243" s="109"/>
      <c r="AD3243" s="109"/>
      <c r="AE3243" s="109"/>
      <c r="AF3243" s="109"/>
      <c r="AG3243" s="109"/>
      <c r="AH3243" s="109"/>
      <c r="AI3243" s="109"/>
      <c r="AJ3243" s="109"/>
      <c r="AK3243" s="109"/>
      <c r="AL3243" s="109"/>
      <c r="AM3243" s="109"/>
      <c r="AN3243" s="109"/>
      <c r="AO3243" s="109"/>
      <c r="AP3243" s="109"/>
      <c r="AQ3243" s="109"/>
      <c r="AR3243" s="109"/>
      <c r="AS3243" s="109"/>
    </row>
    <row r="3244" spans="1:45" ht="12.6" customHeight="1" x14ac:dyDescent="0.3">
      <c r="A3244" s="68" t="s">
        <v>2153</v>
      </c>
      <c r="B3244" s="97" t="str">
        <f>" 노 무 비  :   "&amp;TEXT(I3244,"#,##0"&amp;IF(I3244&lt;&gt;INT(I3244),".###",""))&amp;" / Q2  = "&amp;TEXT(C3244,"#,##0.0")&amp;""</f>
        <v xml:space="preserve"> 노 무 비  :   47,231 / Q2  = 1,230.2</v>
      </c>
      <c r="C3244" s="99">
        <f>E3244+D3244+F3244</f>
        <v>1230.2</v>
      </c>
      <c r="D3244" s="99">
        <f>IF(H3244=0,0,ROUNDDOWN(J3244*H3244,1))</f>
        <v>1230.2</v>
      </c>
      <c r="E3244" s="99">
        <f>IF(H3244=0,0,ROUNDDOWN(K3244*H3244,1))</f>
        <v>0</v>
      </c>
      <c r="F3244" s="99">
        <f>IF(H3244=0,0,ROUNDDOWN(L3244*H3244,1))</f>
        <v>0</v>
      </c>
      <c r="G3244" s="16" t="s">
        <v>2152</v>
      </c>
      <c r="H3244" s="105">
        <f>AC3244</f>
        <v>2.6048450117218024E-2</v>
      </c>
      <c r="I3244" s="106">
        <f>K3244+J3244+L3244</f>
        <v>47231</v>
      </c>
      <c r="J3244" s="39">
        <f>중기목록표!F27</f>
        <v>47231</v>
      </c>
      <c r="M3244" s="20" t="s">
        <v>2154</v>
      </c>
      <c r="N3244" s="20" t="s">
        <v>1332</v>
      </c>
      <c r="X3244" s="108" t="str">
        <f>중기목록표!B27&amp;" / "&amp;중기목록표!C27</f>
        <v>덤프트럭 / 10.5톤</v>
      </c>
      <c r="Y3244" s="19" t="str">
        <f ca="1">HYPERLINK("#"&amp;중기목록표!J2&amp;"!A"&amp;ROW(중기목록표!A27),"중기   24 →")</f>
        <v>중기   24 →</v>
      </c>
      <c r="Z3244" s="20" t="s">
        <v>1393</v>
      </c>
      <c r="AA3244" s="112" t="str">
        <f>AJ3242</f>
        <v>38.39</v>
      </c>
      <c r="AB3244" s="20" t="s">
        <v>1326</v>
      </c>
      <c r="AC3244" s="113">
        <f>1/AJ3242</f>
        <v>2.6048450117218024E-2</v>
      </c>
      <c r="AD3244" s="109"/>
      <c r="AE3244" s="109"/>
      <c r="AF3244" s="109"/>
      <c r="AG3244" s="109"/>
      <c r="AH3244" s="109"/>
      <c r="AI3244" s="109"/>
      <c r="AJ3244" s="109"/>
      <c r="AK3244" s="109"/>
      <c r="AL3244" s="109"/>
      <c r="AM3244" s="109"/>
      <c r="AN3244" s="109"/>
      <c r="AO3244" s="109"/>
      <c r="AP3244" s="109"/>
      <c r="AQ3244" s="109"/>
      <c r="AR3244" s="109"/>
      <c r="AS3244" s="109"/>
    </row>
    <row r="3245" spans="1:45" ht="12.6" customHeight="1" x14ac:dyDescent="0.3">
      <c r="A3245" s="78"/>
      <c r="B3245" s="78"/>
      <c r="C3245" s="78"/>
      <c r="D3245" s="78"/>
      <c r="E3245" s="78"/>
      <c r="F3245" s="78"/>
      <c r="G3245" s="16" t="s">
        <v>1317</v>
      </c>
      <c r="Z3245" s="109"/>
      <c r="AA3245" s="109"/>
      <c r="AB3245" s="109"/>
      <c r="AC3245" s="109"/>
      <c r="AD3245" s="109"/>
      <c r="AE3245" s="109"/>
      <c r="AF3245" s="109"/>
      <c r="AG3245" s="109"/>
      <c r="AH3245" s="109"/>
      <c r="AI3245" s="109"/>
      <c r="AJ3245" s="109"/>
      <c r="AK3245" s="109"/>
      <c r="AL3245" s="109"/>
      <c r="AM3245" s="109"/>
      <c r="AN3245" s="109"/>
      <c r="AO3245" s="109"/>
      <c r="AP3245" s="109"/>
      <c r="AQ3245" s="109"/>
      <c r="AR3245" s="109"/>
      <c r="AS3245" s="109"/>
    </row>
    <row r="3246" spans="1:45" ht="12.6" customHeight="1" x14ac:dyDescent="0.3">
      <c r="A3246" s="68" t="s">
        <v>2156</v>
      </c>
      <c r="B3246" s="97" t="str">
        <f>" 재 료 비  :   "&amp;TEXT(I3246,"#,##0"&amp;IF(I3246&lt;&gt;INT(I3246),".###",""))&amp;" / Q2 *(Cm-t1)/Cm = "&amp;TEXT(C3246,"#,##0.0")&amp;""</f>
        <v xml:space="preserve"> 재 료 비  :   24,770 / Q2 *(Cm-t1)/Cm = 177.0</v>
      </c>
      <c r="C3246" s="99">
        <f>E3246+D3246+F3246</f>
        <v>177</v>
      </c>
      <c r="D3246" s="99">
        <f>IF(H3246=0,0,ROUNDDOWN(J3246*H3246,1))</f>
        <v>0</v>
      </c>
      <c r="E3246" s="99">
        <f>IF(H3246=0,0,ROUNDDOWN(K3246*H3246,1))</f>
        <v>177</v>
      </c>
      <c r="F3246" s="99">
        <f>IF(H3246=0,0,ROUNDDOWN(L3246*H3246,1))</f>
        <v>0</v>
      </c>
      <c r="G3246" s="16" t="s">
        <v>2155</v>
      </c>
      <c r="H3246" s="105">
        <f>AI3246</f>
        <v>7.1477330892550373E-3</v>
      </c>
      <c r="I3246" s="106">
        <f>K3246+J3246+L3246</f>
        <v>24770</v>
      </c>
      <c r="K3246" s="39">
        <f>중기목록표!G27</f>
        <v>24770</v>
      </c>
      <c r="M3246" s="20" t="s">
        <v>2154</v>
      </c>
      <c r="N3246" s="20" t="s">
        <v>1332</v>
      </c>
      <c r="X3246" s="108" t="str">
        <f>중기목록표!B27&amp;" / "&amp;중기목록표!C27</f>
        <v>덤프트럭 / 10.5톤</v>
      </c>
      <c r="Y3246" s="19" t="str">
        <f ca="1">HYPERLINK("#"&amp;중기목록표!J2&amp;"!A"&amp;ROW(중기목록표!A27),"중기   24 →")</f>
        <v>중기   24 →</v>
      </c>
      <c r="Z3246" s="20" t="s">
        <v>1393</v>
      </c>
      <c r="AA3246" s="112" t="str">
        <f>AJ3242</f>
        <v>38.39</v>
      </c>
      <c r="AB3246" s="20" t="s">
        <v>2147</v>
      </c>
      <c r="AC3246" s="112" t="str">
        <f>AH3240</f>
        <v>10.86</v>
      </c>
      <c r="AD3246" s="20" t="s">
        <v>1407</v>
      </c>
      <c r="AE3246" s="112" t="str">
        <f>AI3234</f>
        <v>7.88</v>
      </c>
      <c r="AF3246" s="20" t="s">
        <v>1727</v>
      </c>
      <c r="AG3246" s="112" t="str">
        <f>AH3240</f>
        <v>10.86</v>
      </c>
      <c r="AH3246" s="20" t="s">
        <v>1326</v>
      </c>
      <c r="AI3246" s="113">
        <f>1/AJ3242*(AH3240-AI3234)/AH3240</f>
        <v>7.1477330892550373E-3</v>
      </c>
      <c r="AJ3246" s="109"/>
      <c r="AK3246" s="109"/>
      <c r="AL3246" s="109"/>
      <c r="AM3246" s="109"/>
      <c r="AN3246" s="109"/>
      <c r="AO3246" s="109"/>
      <c r="AP3246" s="109"/>
      <c r="AQ3246" s="109"/>
      <c r="AR3246" s="109"/>
      <c r="AS3246" s="109"/>
    </row>
    <row r="3247" spans="1:45" ht="12.6" customHeight="1" x14ac:dyDescent="0.3">
      <c r="A3247" s="78"/>
      <c r="B3247" s="78"/>
      <c r="C3247" s="78"/>
      <c r="D3247" s="78"/>
      <c r="E3247" s="78"/>
      <c r="F3247" s="78"/>
      <c r="G3247" s="16" t="s">
        <v>1317</v>
      </c>
      <c r="Z3247" s="109"/>
      <c r="AA3247" s="109"/>
      <c r="AB3247" s="109"/>
      <c r="AC3247" s="109"/>
      <c r="AD3247" s="109"/>
      <c r="AE3247" s="109"/>
      <c r="AF3247" s="109"/>
      <c r="AG3247" s="109"/>
      <c r="AH3247" s="109"/>
      <c r="AI3247" s="109"/>
      <c r="AJ3247" s="109"/>
      <c r="AK3247" s="109"/>
      <c r="AL3247" s="109"/>
      <c r="AM3247" s="109"/>
      <c r="AN3247" s="109"/>
      <c r="AO3247" s="109"/>
      <c r="AP3247" s="109"/>
      <c r="AQ3247" s="109"/>
      <c r="AR3247" s="109"/>
      <c r="AS3247" s="109"/>
    </row>
    <row r="3248" spans="1:45" ht="12.6" customHeight="1" x14ac:dyDescent="0.3">
      <c r="A3248" s="68" t="s">
        <v>2158</v>
      </c>
      <c r="B3248" s="97" t="str">
        <f>" 경    비  :   "&amp;TEXT(I3248,"#,##0"&amp;IF(I3248&lt;&gt;INT(I3248),".###",""))&amp;" / Q2  = "&amp;TEXT(C3248,"#,##0.0")&amp;""</f>
        <v xml:space="preserve"> 경    비  :   11,248 / Q2  = 292.9</v>
      </c>
      <c r="C3248" s="99">
        <f>E3248+D3248+F3248</f>
        <v>292.89999999999998</v>
      </c>
      <c r="D3248" s="99">
        <f>IF(H3248=0,0,ROUNDDOWN(J3248*H3248,1))</f>
        <v>0</v>
      </c>
      <c r="E3248" s="99">
        <f>IF(H3248=0,0,ROUNDDOWN(K3248*H3248,1))</f>
        <v>0</v>
      </c>
      <c r="F3248" s="99">
        <f>IF(H3248=0,0,ROUNDDOWN(L3248*H3248,1))</f>
        <v>292.89999999999998</v>
      </c>
      <c r="G3248" s="16" t="s">
        <v>2157</v>
      </c>
      <c r="H3248" s="105">
        <f>AC3248</f>
        <v>2.6048450117218024E-2</v>
      </c>
      <c r="I3248" s="106">
        <f>K3248+J3248+L3248</f>
        <v>11248</v>
      </c>
      <c r="L3248" s="39">
        <f>중기목록표!H27</f>
        <v>11248</v>
      </c>
      <c r="M3248" s="20" t="s">
        <v>2154</v>
      </c>
      <c r="N3248" s="20" t="s">
        <v>1332</v>
      </c>
      <c r="X3248" s="108" t="str">
        <f>중기목록표!B27&amp;" / "&amp;중기목록표!C27</f>
        <v>덤프트럭 / 10.5톤</v>
      </c>
      <c r="Y3248" s="19" t="str">
        <f ca="1">HYPERLINK("#"&amp;중기목록표!J2&amp;"!A"&amp;ROW(중기목록표!A27),"중기   24 →")</f>
        <v>중기   24 →</v>
      </c>
      <c r="Z3248" s="20" t="s">
        <v>1393</v>
      </c>
      <c r="AA3248" s="112" t="str">
        <f>AJ3242</f>
        <v>38.39</v>
      </c>
      <c r="AB3248" s="20" t="s">
        <v>1326</v>
      </c>
      <c r="AC3248" s="113">
        <f>1/AJ3242</f>
        <v>2.6048450117218024E-2</v>
      </c>
      <c r="AD3248" s="109"/>
      <c r="AE3248" s="109"/>
      <c r="AF3248" s="109"/>
      <c r="AG3248" s="109"/>
      <c r="AH3248" s="109"/>
      <c r="AI3248" s="109"/>
      <c r="AJ3248" s="109"/>
      <c r="AK3248" s="109"/>
      <c r="AL3248" s="109"/>
      <c r="AM3248" s="109"/>
      <c r="AN3248" s="109"/>
      <c r="AO3248" s="109"/>
      <c r="AP3248" s="109"/>
      <c r="AQ3248" s="109"/>
      <c r="AR3248" s="109"/>
      <c r="AS3248" s="109"/>
    </row>
    <row r="3249" spans="1:45" ht="12.6" customHeight="1" x14ac:dyDescent="0.3">
      <c r="A3249" s="78"/>
      <c r="B3249" s="78"/>
      <c r="C3249" s="78"/>
      <c r="D3249" s="78"/>
      <c r="E3249" s="78"/>
      <c r="F3249" s="78"/>
      <c r="G3249" s="16" t="s">
        <v>1317</v>
      </c>
      <c r="Z3249" s="109"/>
      <c r="AA3249" s="109"/>
      <c r="AB3249" s="109"/>
      <c r="AC3249" s="109"/>
      <c r="AD3249" s="109"/>
      <c r="AE3249" s="109"/>
      <c r="AF3249" s="109"/>
      <c r="AG3249" s="109"/>
      <c r="AH3249" s="109"/>
      <c r="AI3249" s="109"/>
      <c r="AJ3249" s="109"/>
      <c r="AK3249" s="109"/>
      <c r="AL3249" s="109"/>
      <c r="AM3249" s="109"/>
      <c r="AN3249" s="109"/>
      <c r="AO3249" s="109"/>
      <c r="AP3249" s="109"/>
      <c r="AQ3249" s="109"/>
      <c r="AR3249" s="109"/>
      <c r="AS3249" s="109"/>
    </row>
    <row r="3250" spans="1:45" ht="12.6" customHeight="1" x14ac:dyDescent="0.3">
      <c r="A3250" s="68"/>
      <c r="B3250" s="77" t="s">
        <v>1331</v>
      </c>
      <c r="C3250" s="100">
        <f>E3250+D3250+F3250</f>
        <v>1700.1</v>
      </c>
      <c r="D3250" s="100">
        <f>SUMIF(N3220:N3249,M3250,D3220:D3249)</f>
        <v>1230.2</v>
      </c>
      <c r="E3250" s="100">
        <f>SUMIF(N3220:N3249,M3250,E3220:E3249)</f>
        <v>177</v>
      </c>
      <c r="F3250" s="100">
        <f>SUMIF(N3220:N3249,M3250,F3220:F3249)</f>
        <v>292.89999999999998</v>
      </c>
      <c r="G3250" s="16" t="s">
        <v>1415</v>
      </c>
      <c r="M3250" s="20" t="s">
        <v>1332</v>
      </c>
      <c r="N3250" s="20" t="s">
        <v>1341</v>
      </c>
      <c r="Z3250" s="109"/>
      <c r="AA3250" s="109"/>
      <c r="AB3250" s="109"/>
      <c r="AC3250" s="109"/>
      <c r="AD3250" s="109"/>
      <c r="AE3250" s="109"/>
      <c r="AF3250" s="109"/>
      <c r="AG3250" s="109"/>
      <c r="AH3250" s="109"/>
      <c r="AI3250" s="109"/>
      <c r="AJ3250" s="109"/>
      <c r="AK3250" s="109"/>
      <c r="AL3250" s="109"/>
      <c r="AM3250" s="109"/>
      <c r="AN3250" s="109"/>
      <c r="AO3250" s="109"/>
      <c r="AP3250" s="109"/>
      <c r="AQ3250" s="109"/>
      <c r="AR3250" s="109"/>
      <c r="AS3250" s="109"/>
    </row>
    <row r="3251" spans="1:45" ht="12.6" customHeight="1" x14ac:dyDescent="0.3">
      <c r="A3251" s="78"/>
      <c r="B3251" s="78"/>
      <c r="C3251" s="98"/>
      <c r="D3251" s="98"/>
      <c r="E3251" s="98"/>
      <c r="F3251" s="98"/>
      <c r="G3251" s="16" t="s">
        <v>1317</v>
      </c>
      <c r="Z3251" s="109"/>
      <c r="AA3251" s="109"/>
      <c r="AB3251" s="109"/>
      <c r="AC3251" s="109"/>
      <c r="AD3251" s="109"/>
      <c r="AE3251" s="109"/>
      <c r="AF3251" s="109"/>
      <c r="AG3251" s="109"/>
      <c r="AH3251" s="109"/>
      <c r="AI3251" s="109"/>
      <c r="AJ3251" s="109"/>
      <c r="AK3251" s="109"/>
      <c r="AL3251" s="109"/>
      <c r="AM3251" s="109"/>
      <c r="AN3251" s="109"/>
      <c r="AO3251" s="109"/>
      <c r="AP3251" s="109"/>
      <c r="AQ3251" s="109"/>
      <c r="AR3251" s="109"/>
      <c r="AS3251" s="109"/>
    </row>
    <row r="3252" spans="1:45" ht="12.6" customHeight="1" x14ac:dyDescent="0.3">
      <c r="A3252" s="78"/>
      <c r="B3252" s="78"/>
      <c r="C3252" s="78"/>
      <c r="D3252" s="78"/>
      <c r="E3252" s="78"/>
      <c r="F3252" s="78"/>
      <c r="G3252" s="16" t="s">
        <v>1317</v>
      </c>
      <c r="Z3252" s="109"/>
      <c r="AA3252" s="109"/>
      <c r="AB3252" s="109"/>
      <c r="AC3252" s="109"/>
      <c r="AD3252" s="109"/>
      <c r="AE3252" s="109"/>
      <c r="AF3252" s="109"/>
      <c r="AG3252" s="109"/>
      <c r="AH3252" s="109"/>
      <c r="AI3252" s="109"/>
      <c r="AJ3252" s="109"/>
      <c r="AK3252" s="109"/>
      <c r="AL3252" s="109"/>
      <c r="AM3252" s="109"/>
      <c r="AN3252" s="109"/>
      <c r="AO3252" s="109"/>
      <c r="AP3252" s="109"/>
      <c r="AQ3252" s="109"/>
      <c r="AR3252" s="109"/>
      <c r="AS3252" s="109"/>
    </row>
    <row r="3253" spans="1:45" ht="12.6" customHeight="1" x14ac:dyDescent="0.3">
      <c r="A3253" s="68"/>
      <c r="B3253" s="77" t="s">
        <v>1933</v>
      </c>
      <c r="C3253" s="78"/>
      <c r="D3253" s="78"/>
      <c r="E3253" s="78"/>
      <c r="F3253" s="78"/>
      <c r="G3253" s="16" t="s">
        <v>1932</v>
      </c>
      <c r="Z3253" s="109"/>
      <c r="AA3253" s="109"/>
      <c r="AB3253" s="109"/>
      <c r="AC3253" s="109"/>
      <c r="AD3253" s="109"/>
      <c r="AE3253" s="109"/>
      <c r="AF3253" s="109"/>
      <c r="AG3253" s="109"/>
      <c r="AH3253" s="109"/>
      <c r="AI3253" s="109"/>
      <c r="AJ3253" s="109"/>
      <c r="AK3253" s="109"/>
      <c r="AL3253" s="109"/>
      <c r="AM3253" s="109"/>
      <c r="AN3253" s="109"/>
      <c r="AO3253" s="109"/>
      <c r="AP3253" s="109"/>
      <c r="AQ3253" s="109"/>
      <c r="AR3253" s="109"/>
      <c r="AS3253" s="109"/>
    </row>
    <row r="3254" spans="1:45" ht="12.6" customHeight="1" x14ac:dyDescent="0.3">
      <c r="A3254" s="78"/>
      <c r="B3254" s="78"/>
      <c r="C3254" s="78"/>
      <c r="D3254" s="78"/>
      <c r="E3254" s="78"/>
      <c r="F3254" s="78"/>
      <c r="G3254" s="16" t="s">
        <v>1317</v>
      </c>
      <c r="Z3254" s="109"/>
      <c r="AA3254" s="109"/>
      <c r="AB3254" s="109"/>
      <c r="AC3254" s="109"/>
      <c r="AD3254" s="109"/>
      <c r="AE3254" s="109"/>
      <c r="AF3254" s="109"/>
      <c r="AG3254" s="109"/>
      <c r="AH3254" s="109"/>
      <c r="AI3254" s="109"/>
      <c r="AJ3254" s="109"/>
      <c r="AK3254" s="109"/>
      <c r="AL3254" s="109"/>
      <c r="AM3254" s="109"/>
      <c r="AN3254" s="109"/>
      <c r="AO3254" s="109"/>
      <c r="AP3254" s="109"/>
      <c r="AQ3254" s="109"/>
      <c r="AR3254" s="109"/>
      <c r="AS3254" s="109"/>
    </row>
    <row r="3255" spans="1:45" ht="12.6" customHeight="1" x14ac:dyDescent="0.3">
      <c r="A3255" s="68"/>
      <c r="B3255" s="97" t="str">
        <f>"q  (버킷용량 (m3)) = "&amp;Z3255&amp;""</f>
        <v>q  (버킷용량 (m3)) = 0.7</v>
      </c>
      <c r="C3255" s="78"/>
      <c r="D3255" s="78"/>
      <c r="E3255" s="78"/>
      <c r="F3255" s="78"/>
      <c r="G3255" s="16" t="s">
        <v>2126</v>
      </c>
      <c r="Z3255" s="110">
        <v>0.7</v>
      </c>
      <c r="AA3255" s="20" t="s">
        <v>1326</v>
      </c>
      <c r="AB3255" s="112">
        <f>Z3255</f>
        <v>0.7</v>
      </c>
      <c r="AC3255" s="109"/>
      <c r="AD3255" s="109"/>
      <c r="AE3255" s="109"/>
      <c r="AF3255" s="109"/>
      <c r="AG3255" s="109"/>
      <c r="AH3255" s="109"/>
      <c r="AI3255" s="109"/>
      <c r="AJ3255" s="109"/>
      <c r="AK3255" s="109"/>
      <c r="AL3255" s="109"/>
      <c r="AM3255" s="109"/>
      <c r="AN3255" s="109"/>
      <c r="AO3255" s="109"/>
      <c r="AP3255" s="109"/>
      <c r="AQ3255" s="109"/>
      <c r="AR3255" s="109"/>
      <c r="AS3255" s="109"/>
    </row>
    <row r="3256" spans="1:45" ht="12.6" customHeight="1" x14ac:dyDescent="0.3">
      <c r="A3256" s="78"/>
      <c r="B3256" s="78"/>
      <c r="C3256" s="78"/>
      <c r="D3256" s="78"/>
      <c r="E3256" s="78"/>
      <c r="F3256" s="78"/>
      <c r="G3256" s="16" t="s">
        <v>1317</v>
      </c>
      <c r="Z3256" s="109"/>
      <c r="AA3256" s="109"/>
      <c r="AB3256" s="109"/>
      <c r="AC3256" s="109"/>
      <c r="AD3256" s="109"/>
      <c r="AE3256" s="109"/>
      <c r="AF3256" s="109"/>
      <c r="AG3256" s="109"/>
      <c r="AH3256" s="109"/>
      <c r="AI3256" s="109"/>
      <c r="AJ3256" s="109"/>
      <c r="AK3256" s="109"/>
      <c r="AL3256" s="109"/>
      <c r="AM3256" s="109"/>
      <c r="AN3256" s="109"/>
      <c r="AO3256" s="109"/>
      <c r="AP3256" s="109"/>
      <c r="AQ3256" s="109"/>
      <c r="AR3256" s="109"/>
      <c r="AS3256" s="109"/>
    </row>
    <row r="3257" spans="1:45" ht="12.6" customHeight="1" x14ac:dyDescent="0.3">
      <c r="A3257" s="68"/>
      <c r="B3257" s="97" t="str">
        <f>"k  (버킷계수)  = "&amp;Z3257&amp;""</f>
        <v>k  (버킷계수)  = 0.9</v>
      </c>
      <c r="C3257" s="78"/>
      <c r="D3257" s="78"/>
      <c r="E3257" s="78"/>
      <c r="F3257" s="78"/>
      <c r="G3257" s="16" t="s">
        <v>2159</v>
      </c>
      <c r="Z3257" s="110">
        <v>0.9</v>
      </c>
      <c r="AA3257" s="20" t="s">
        <v>1326</v>
      </c>
      <c r="AB3257" s="112">
        <f>Z3257</f>
        <v>0.9</v>
      </c>
      <c r="AC3257" s="109"/>
      <c r="AD3257" s="109"/>
      <c r="AE3257" s="109"/>
      <c r="AF3257" s="109"/>
      <c r="AG3257" s="109"/>
      <c r="AH3257" s="109"/>
      <c r="AI3257" s="109"/>
      <c r="AJ3257" s="109"/>
      <c r="AK3257" s="109"/>
      <c r="AL3257" s="109"/>
      <c r="AM3257" s="109"/>
      <c r="AN3257" s="109"/>
      <c r="AO3257" s="109"/>
      <c r="AP3257" s="109"/>
      <c r="AQ3257" s="109"/>
      <c r="AR3257" s="109"/>
      <c r="AS3257" s="109"/>
    </row>
    <row r="3258" spans="1:45" ht="12.6" customHeight="1" x14ac:dyDescent="0.3">
      <c r="A3258" s="78"/>
      <c r="B3258" s="78"/>
      <c r="C3258" s="78"/>
      <c r="D3258" s="78"/>
      <c r="E3258" s="78"/>
      <c r="F3258" s="78"/>
      <c r="G3258" s="16" t="s">
        <v>1317</v>
      </c>
      <c r="Z3258" s="109"/>
      <c r="AA3258" s="109"/>
      <c r="AB3258" s="109"/>
      <c r="AC3258" s="109"/>
      <c r="AD3258" s="109"/>
      <c r="AE3258" s="109"/>
      <c r="AF3258" s="109"/>
      <c r="AG3258" s="109"/>
      <c r="AH3258" s="109"/>
      <c r="AI3258" s="109"/>
      <c r="AJ3258" s="109"/>
      <c r="AK3258" s="109"/>
      <c r="AL3258" s="109"/>
      <c r="AM3258" s="109"/>
      <c r="AN3258" s="109"/>
      <c r="AO3258" s="109"/>
      <c r="AP3258" s="109"/>
      <c r="AQ3258" s="109"/>
      <c r="AR3258" s="109"/>
      <c r="AS3258" s="109"/>
    </row>
    <row r="3259" spans="1:45" ht="12.6" customHeight="1" x14ac:dyDescent="0.3">
      <c r="A3259" s="68"/>
      <c r="B3259" s="97" t="str">
        <f>"f  (체적 환산계수)  ="&amp;Z3259&amp;""</f>
        <v>f  (체적 환산계수)  =1</v>
      </c>
      <c r="C3259" s="78"/>
      <c r="D3259" s="78"/>
      <c r="E3259" s="78"/>
      <c r="F3259" s="78"/>
      <c r="G3259" s="16" t="s">
        <v>2160</v>
      </c>
      <c r="Z3259" s="111">
        <v>1</v>
      </c>
      <c r="AA3259" s="20" t="s">
        <v>1326</v>
      </c>
      <c r="AB3259" s="112">
        <f>Z3259</f>
        <v>1</v>
      </c>
      <c r="AC3259" s="109"/>
      <c r="AD3259" s="109"/>
      <c r="AE3259" s="109"/>
      <c r="AF3259" s="109"/>
      <c r="AG3259" s="109"/>
      <c r="AH3259" s="109"/>
      <c r="AI3259" s="109"/>
      <c r="AJ3259" s="109"/>
      <c r="AK3259" s="109"/>
      <c r="AL3259" s="109"/>
      <c r="AM3259" s="109"/>
      <c r="AN3259" s="109"/>
      <c r="AO3259" s="109"/>
      <c r="AP3259" s="109"/>
      <c r="AQ3259" s="109"/>
      <c r="AR3259" s="109"/>
      <c r="AS3259" s="109"/>
    </row>
    <row r="3260" spans="1:45" ht="12.6" customHeight="1" x14ac:dyDescent="0.3">
      <c r="A3260" s="78"/>
      <c r="B3260" s="78"/>
      <c r="C3260" s="78"/>
      <c r="D3260" s="78"/>
      <c r="E3260" s="78"/>
      <c r="F3260" s="78"/>
      <c r="G3260" s="16" t="s">
        <v>1317</v>
      </c>
      <c r="Z3260" s="109"/>
      <c r="AA3260" s="109"/>
      <c r="AB3260" s="109"/>
      <c r="AC3260" s="109"/>
      <c r="AD3260" s="109"/>
      <c r="AE3260" s="109"/>
      <c r="AF3260" s="109"/>
      <c r="AG3260" s="109"/>
      <c r="AH3260" s="109"/>
      <c r="AI3260" s="109"/>
      <c r="AJ3260" s="109"/>
      <c r="AK3260" s="109"/>
      <c r="AL3260" s="109"/>
      <c r="AM3260" s="109"/>
      <c r="AN3260" s="109"/>
      <c r="AO3260" s="109"/>
      <c r="AP3260" s="109"/>
      <c r="AQ3260" s="109"/>
      <c r="AR3260" s="109"/>
      <c r="AS3260" s="109"/>
    </row>
    <row r="3261" spans="1:45" ht="12.6" customHeight="1" x14ac:dyDescent="0.3">
      <c r="A3261" s="68"/>
      <c r="B3261" s="97" t="str">
        <f>"E  (작업 효율)  = "&amp;Z3261&amp;""</f>
        <v>E  (작업 효율)  = 0.75</v>
      </c>
      <c r="C3261" s="78"/>
      <c r="D3261" s="78"/>
      <c r="E3261" s="78"/>
      <c r="F3261" s="78"/>
      <c r="G3261" s="16" t="s">
        <v>2129</v>
      </c>
      <c r="Z3261" s="110">
        <v>0.75</v>
      </c>
      <c r="AA3261" s="20" t="s">
        <v>1326</v>
      </c>
      <c r="AB3261" s="112">
        <f>Z3261</f>
        <v>0.75</v>
      </c>
      <c r="AC3261" s="109"/>
      <c r="AD3261" s="109"/>
      <c r="AE3261" s="109"/>
      <c r="AF3261" s="109"/>
      <c r="AG3261" s="109"/>
      <c r="AH3261" s="109"/>
      <c r="AI3261" s="109"/>
      <c r="AJ3261" s="109"/>
      <c r="AK3261" s="109"/>
      <c r="AL3261" s="109"/>
      <c r="AM3261" s="109"/>
      <c r="AN3261" s="109"/>
      <c r="AO3261" s="109"/>
      <c r="AP3261" s="109"/>
      <c r="AQ3261" s="109"/>
      <c r="AR3261" s="109"/>
      <c r="AS3261" s="109"/>
    </row>
    <row r="3262" spans="1:45" ht="12.6" customHeight="1" x14ac:dyDescent="0.3">
      <c r="A3262" s="78"/>
      <c r="B3262" s="78"/>
      <c r="C3262" s="78"/>
      <c r="D3262" s="78"/>
      <c r="E3262" s="78"/>
      <c r="F3262" s="78"/>
      <c r="G3262" s="16" t="s">
        <v>1317</v>
      </c>
      <c r="Z3262" s="109"/>
      <c r="AA3262" s="109"/>
      <c r="AB3262" s="109"/>
      <c r="AC3262" s="109"/>
      <c r="AD3262" s="109"/>
      <c r="AE3262" s="109"/>
      <c r="AF3262" s="109"/>
      <c r="AG3262" s="109"/>
      <c r="AH3262" s="109"/>
      <c r="AI3262" s="109"/>
      <c r="AJ3262" s="109"/>
      <c r="AK3262" s="109"/>
      <c r="AL3262" s="109"/>
      <c r="AM3262" s="109"/>
      <c r="AN3262" s="109"/>
      <c r="AO3262" s="109"/>
      <c r="AP3262" s="109"/>
      <c r="AQ3262" s="109"/>
      <c r="AR3262" s="109"/>
      <c r="AS3262" s="109"/>
    </row>
    <row r="3263" spans="1:45" ht="12.6" customHeight="1" x14ac:dyDescent="0.3">
      <c r="A3263" s="68"/>
      <c r="B3263" s="97" t="str">
        <f>"Cm  (1회 사이클 시간(초))  = "&amp;Z3263&amp;"  sec(135) "</f>
        <v xml:space="preserve">Cm  (1회 사이클 시간(초))  = 20  sec(135) </v>
      </c>
      <c r="C3263" s="78"/>
      <c r="D3263" s="78"/>
      <c r="E3263" s="78"/>
      <c r="F3263" s="78"/>
      <c r="G3263" s="16" t="s">
        <v>2130</v>
      </c>
      <c r="Z3263" s="111">
        <v>20</v>
      </c>
      <c r="AA3263" s="20" t="s">
        <v>1326</v>
      </c>
      <c r="AB3263" s="112">
        <f>Z3263</f>
        <v>20</v>
      </c>
      <c r="AC3263" s="109"/>
      <c r="AD3263" s="109"/>
      <c r="AE3263" s="109"/>
      <c r="AF3263" s="109"/>
      <c r="AG3263" s="109"/>
      <c r="AH3263" s="109"/>
      <c r="AI3263" s="109"/>
      <c r="AJ3263" s="109"/>
      <c r="AK3263" s="109"/>
      <c r="AL3263" s="109"/>
      <c r="AM3263" s="109"/>
      <c r="AN3263" s="109"/>
      <c r="AO3263" s="109"/>
      <c r="AP3263" s="109"/>
      <c r="AQ3263" s="109"/>
      <c r="AR3263" s="109"/>
      <c r="AS3263" s="109"/>
    </row>
    <row r="3264" spans="1:45" ht="12.6" customHeight="1" x14ac:dyDescent="0.3">
      <c r="A3264" s="78"/>
      <c r="B3264" s="78"/>
      <c r="C3264" s="78"/>
      <c r="D3264" s="78"/>
      <c r="E3264" s="78"/>
      <c r="F3264" s="78"/>
      <c r="G3264" s="16" t="s">
        <v>1317</v>
      </c>
      <c r="Z3264" s="109"/>
      <c r="AA3264" s="109"/>
      <c r="AB3264" s="109"/>
      <c r="AC3264" s="109"/>
      <c r="AD3264" s="109"/>
      <c r="AE3264" s="109"/>
      <c r="AF3264" s="109"/>
      <c r="AG3264" s="109"/>
      <c r="AH3264" s="109"/>
      <c r="AI3264" s="109"/>
      <c r="AJ3264" s="109"/>
      <c r="AK3264" s="109"/>
      <c r="AL3264" s="109"/>
      <c r="AM3264" s="109"/>
      <c r="AN3264" s="109"/>
      <c r="AO3264" s="109"/>
      <c r="AP3264" s="109"/>
      <c r="AQ3264" s="109"/>
      <c r="AR3264" s="109"/>
      <c r="AS3264" s="109"/>
    </row>
    <row r="3265" spans="1:45" ht="12.6" customHeight="1" x14ac:dyDescent="0.3">
      <c r="A3265" s="68"/>
      <c r="B3265" s="97" t="str">
        <f>"Q  (시간당 작업량(m3/hr))  = "&amp;Z3265&amp;"*q*k*E*f/Cm = "&amp;AL3265&amp;" m3/hr "</f>
        <v xml:space="preserve">Q  (시간당 작업량(m3/hr))  = 3600*q*k*E*f/Cm = 85.05 m3/hr </v>
      </c>
      <c r="C3265" s="78"/>
      <c r="D3265" s="78"/>
      <c r="E3265" s="78"/>
      <c r="F3265" s="78"/>
      <c r="G3265" s="16" t="s">
        <v>2131</v>
      </c>
      <c r="Z3265" s="111">
        <v>3600</v>
      </c>
      <c r="AA3265" s="20" t="s">
        <v>1390</v>
      </c>
      <c r="AB3265" s="112">
        <f>AB3255</f>
        <v>0.7</v>
      </c>
      <c r="AC3265" s="20" t="s">
        <v>1390</v>
      </c>
      <c r="AD3265" s="112">
        <f>AB3257</f>
        <v>0.9</v>
      </c>
      <c r="AE3265" s="20" t="s">
        <v>1390</v>
      </c>
      <c r="AF3265" s="112">
        <f>AB3261</f>
        <v>0.75</v>
      </c>
      <c r="AG3265" s="20" t="s">
        <v>1390</v>
      </c>
      <c r="AH3265" s="112">
        <f>AB3259</f>
        <v>1</v>
      </c>
      <c r="AI3265" s="20" t="s">
        <v>1387</v>
      </c>
      <c r="AJ3265" s="112">
        <f>AB3263</f>
        <v>20</v>
      </c>
      <c r="AK3265" s="20" t="s">
        <v>1326</v>
      </c>
      <c r="AL3265" s="112" t="str">
        <f>TEXT(ROUND(Z3265*AB3255*AB3257*AB3261*AB3259/AB3263,2),"0.00")</f>
        <v>85.05</v>
      </c>
      <c r="AM3265" s="109"/>
      <c r="AN3265" s="109"/>
      <c r="AO3265" s="109"/>
      <c r="AP3265" s="109"/>
      <c r="AQ3265" s="109"/>
      <c r="AR3265" s="109"/>
      <c r="AS3265" s="109"/>
    </row>
    <row r="3266" spans="1:45" ht="12.6" customHeight="1" x14ac:dyDescent="0.3">
      <c r="A3266" s="78"/>
      <c r="B3266" s="78"/>
      <c r="C3266" s="78"/>
      <c r="D3266" s="78"/>
      <c r="E3266" s="78"/>
      <c r="F3266" s="78"/>
      <c r="G3266" s="16" t="s">
        <v>1317</v>
      </c>
      <c r="Z3266" s="109"/>
      <c r="AA3266" s="109"/>
      <c r="AB3266" s="109"/>
      <c r="AC3266" s="109"/>
      <c r="AD3266" s="109"/>
      <c r="AE3266" s="109"/>
      <c r="AF3266" s="109"/>
      <c r="AG3266" s="109"/>
      <c r="AH3266" s="109"/>
      <c r="AI3266" s="109"/>
      <c r="AJ3266" s="109"/>
      <c r="AK3266" s="109"/>
      <c r="AL3266" s="109"/>
      <c r="AM3266" s="109"/>
      <c r="AN3266" s="109"/>
      <c r="AO3266" s="109"/>
      <c r="AP3266" s="109"/>
      <c r="AQ3266" s="109"/>
      <c r="AR3266" s="109"/>
      <c r="AS3266" s="109"/>
    </row>
    <row r="3267" spans="1:45" ht="12.6" customHeight="1" x14ac:dyDescent="0.3">
      <c r="A3267" s="68" t="s">
        <v>1473</v>
      </c>
      <c r="B3267" s="97" t="str">
        <f>" 노 무 비  :   "&amp;TEXT(I3267,"#,##0"&amp;IF(I3267&lt;&gt;INT(I3267),".###",""))&amp;" / Q / "&amp;AC3267&amp;" = "&amp;TEXT(C3267,"#,##0.0")&amp;""</f>
        <v xml:space="preserve"> 노 무 비  :   55,700 / Q / 3 = 218.3</v>
      </c>
      <c r="C3267" s="99">
        <f>E3267+D3267+F3267</f>
        <v>218.3</v>
      </c>
      <c r="D3267" s="99">
        <f>IF(H3267=0,0,ROUNDDOWN(J3267*H3267,1))</f>
        <v>218.3</v>
      </c>
      <c r="E3267" s="99">
        <f>IF(H3267=0,0,ROUNDDOWN(K3267*H3267,1))</f>
        <v>0</v>
      </c>
      <c r="F3267" s="99">
        <f>IF(H3267=0,0,ROUNDDOWN(L3267*H3267,1))</f>
        <v>0</v>
      </c>
      <c r="G3267" s="16" t="s">
        <v>1937</v>
      </c>
      <c r="H3267" s="105">
        <f>AE3267</f>
        <v>3.9192631785224382E-3</v>
      </c>
      <c r="I3267" s="106">
        <f>K3267+J3267+L3267</f>
        <v>55700</v>
      </c>
      <c r="J3267" s="39">
        <f>중기목록표!F7</f>
        <v>55700</v>
      </c>
      <c r="M3267" s="20" t="s">
        <v>1193</v>
      </c>
      <c r="N3267" s="20" t="s">
        <v>1332</v>
      </c>
      <c r="X3267" s="108" t="str">
        <f>중기목록표!B7&amp;" / "&amp;중기목록표!C7</f>
        <v xml:space="preserve">굴삭기(0.7m3) / </v>
      </c>
      <c r="Y3267" s="19" t="str">
        <f ca="1">HYPERLINK("#"&amp;중기목록표!J2&amp;"!A"&amp;ROW(중기목록표!A7),"중기    4 →")</f>
        <v>중기    4 →</v>
      </c>
      <c r="Z3267" s="20" t="s">
        <v>1393</v>
      </c>
      <c r="AA3267" s="112" t="str">
        <f>AL3265</f>
        <v>85.05</v>
      </c>
      <c r="AB3267" s="20" t="s">
        <v>1387</v>
      </c>
      <c r="AC3267" s="111">
        <v>3</v>
      </c>
      <c r="AD3267" s="20" t="s">
        <v>1326</v>
      </c>
      <c r="AE3267" s="113">
        <f>1/AL3265/AC3267</f>
        <v>3.9192631785224382E-3</v>
      </c>
      <c r="AF3267" s="109"/>
      <c r="AG3267" s="109"/>
      <c r="AH3267" s="109"/>
      <c r="AI3267" s="109"/>
      <c r="AJ3267" s="109"/>
      <c r="AK3267" s="109"/>
      <c r="AL3267" s="109"/>
      <c r="AM3267" s="109"/>
      <c r="AN3267" s="109"/>
      <c r="AO3267" s="109"/>
      <c r="AP3267" s="109"/>
      <c r="AQ3267" s="109"/>
      <c r="AR3267" s="109"/>
      <c r="AS3267" s="109"/>
    </row>
    <row r="3268" spans="1:45" ht="12.6" customHeight="1" x14ac:dyDescent="0.3">
      <c r="A3268" s="78"/>
      <c r="B3268" s="78"/>
      <c r="C3268" s="78"/>
      <c r="D3268" s="78"/>
      <c r="E3268" s="78"/>
      <c r="F3268" s="78"/>
      <c r="G3268" s="16" t="s">
        <v>1317</v>
      </c>
      <c r="Z3268" s="109"/>
      <c r="AA3268" s="109"/>
      <c r="AB3268" s="109"/>
      <c r="AC3268" s="109"/>
      <c r="AD3268" s="109"/>
      <c r="AE3268" s="109"/>
      <c r="AF3268" s="109"/>
      <c r="AG3268" s="109"/>
      <c r="AH3268" s="109"/>
      <c r="AI3268" s="109"/>
      <c r="AJ3268" s="109"/>
      <c r="AK3268" s="109"/>
      <c r="AL3268" s="109"/>
      <c r="AM3268" s="109"/>
      <c r="AN3268" s="109"/>
      <c r="AO3268" s="109"/>
      <c r="AP3268" s="109"/>
      <c r="AQ3268" s="109"/>
      <c r="AR3268" s="109"/>
      <c r="AS3268" s="109"/>
    </row>
    <row r="3269" spans="1:45" ht="12.6" customHeight="1" x14ac:dyDescent="0.3">
      <c r="A3269" s="68" t="s">
        <v>1475</v>
      </c>
      <c r="B3269" s="97" t="str">
        <f>" 재 료 비  :   "&amp;TEXT(I3269,"#,##0"&amp;IF(I3269&lt;&gt;INT(I3269),".###",""))&amp;" / Q / "&amp;AC3269&amp;" = "&amp;TEXT(C3269,"#,##0.0")&amp;""</f>
        <v xml:space="preserve"> 재 료 비  :   18,001 / Q / 3 = 70.5</v>
      </c>
      <c r="C3269" s="99">
        <f>E3269+D3269+F3269</f>
        <v>70.5</v>
      </c>
      <c r="D3269" s="99">
        <f>IF(H3269=0,0,ROUNDDOWN(J3269*H3269,1))</f>
        <v>0</v>
      </c>
      <c r="E3269" s="99">
        <f>IF(H3269=0,0,ROUNDDOWN(K3269*H3269,1))</f>
        <v>70.5</v>
      </c>
      <c r="F3269" s="99">
        <f>IF(H3269=0,0,ROUNDDOWN(L3269*H3269,1))</f>
        <v>0</v>
      </c>
      <c r="G3269" s="16" t="s">
        <v>1938</v>
      </c>
      <c r="H3269" s="105">
        <f>AE3269</f>
        <v>3.9192631785224382E-3</v>
      </c>
      <c r="I3269" s="106">
        <f>K3269+J3269+L3269</f>
        <v>18001</v>
      </c>
      <c r="K3269" s="39">
        <f>중기목록표!G7</f>
        <v>18001</v>
      </c>
      <c r="M3269" s="20" t="s">
        <v>1193</v>
      </c>
      <c r="N3269" s="20" t="s">
        <v>1332</v>
      </c>
      <c r="X3269" s="108" t="str">
        <f>중기목록표!B7&amp;" / "&amp;중기목록표!C7</f>
        <v xml:space="preserve">굴삭기(0.7m3) / </v>
      </c>
      <c r="Y3269" s="19" t="str">
        <f ca="1">HYPERLINK("#"&amp;중기목록표!J2&amp;"!A"&amp;ROW(중기목록표!A7),"중기    4 →")</f>
        <v>중기    4 →</v>
      </c>
      <c r="Z3269" s="20" t="s">
        <v>1393</v>
      </c>
      <c r="AA3269" s="112" t="str">
        <f>AL3265</f>
        <v>85.05</v>
      </c>
      <c r="AB3269" s="20" t="s">
        <v>1387</v>
      </c>
      <c r="AC3269" s="111">
        <v>3</v>
      </c>
      <c r="AD3269" s="20" t="s">
        <v>1326</v>
      </c>
      <c r="AE3269" s="113">
        <f>1/AL3265/AC3269</f>
        <v>3.9192631785224382E-3</v>
      </c>
      <c r="AF3269" s="109"/>
      <c r="AG3269" s="109"/>
      <c r="AH3269" s="109"/>
      <c r="AI3269" s="109"/>
      <c r="AJ3269" s="109"/>
      <c r="AK3269" s="109"/>
      <c r="AL3269" s="109"/>
      <c r="AM3269" s="109"/>
      <c r="AN3269" s="109"/>
      <c r="AO3269" s="109"/>
      <c r="AP3269" s="109"/>
      <c r="AQ3269" s="109"/>
      <c r="AR3269" s="109"/>
      <c r="AS3269" s="109"/>
    </row>
    <row r="3270" spans="1:45" ht="12.6" customHeight="1" x14ac:dyDescent="0.3">
      <c r="A3270" s="78"/>
      <c r="B3270" s="78"/>
      <c r="C3270" s="78"/>
      <c r="D3270" s="78"/>
      <c r="E3270" s="78"/>
      <c r="F3270" s="78"/>
      <c r="G3270" s="16" t="s">
        <v>1317</v>
      </c>
      <c r="Z3270" s="109"/>
      <c r="AA3270" s="109"/>
      <c r="AB3270" s="109"/>
      <c r="AC3270" s="109"/>
      <c r="AD3270" s="109"/>
      <c r="AE3270" s="109"/>
      <c r="AF3270" s="109"/>
      <c r="AG3270" s="109"/>
      <c r="AH3270" s="109"/>
      <c r="AI3270" s="109"/>
      <c r="AJ3270" s="109"/>
      <c r="AK3270" s="109"/>
      <c r="AL3270" s="109"/>
      <c r="AM3270" s="109"/>
      <c r="AN3270" s="109"/>
      <c r="AO3270" s="109"/>
      <c r="AP3270" s="109"/>
      <c r="AQ3270" s="109"/>
      <c r="AR3270" s="109"/>
      <c r="AS3270" s="109"/>
    </row>
    <row r="3271" spans="1:45" ht="12.6" customHeight="1" x14ac:dyDescent="0.3">
      <c r="A3271" s="68" t="s">
        <v>1477</v>
      </c>
      <c r="B3271" s="97" t="str">
        <f>" 경    비  :   "&amp;TEXT(I3271,"#,##0"&amp;IF(I3271&lt;&gt;INT(I3271),".###",""))&amp;" / Q / "&amp;AC3271&amp;" = "&amp;TEXT(C3271,"#,##0.0")&amp;""</f>
        <v xml:space="preserve"> 경    비  :   23,128 / Q / 3 = 90.6</v>
      </c>
      <c r="C3271" s="99">
        <f>E3271+D3271+F3271</f>
        <v>90.6</v>
      </c>
      <c r="D3271" s="99">
        <f>IF(H3271=0,0,ROUNDDOWN(J3271*H3271,1))</f>
        <v>0</v>
      </c>
      <c r="E3271" s="99">
        <f>IF(H3271=0,0,ROUNDDOWN(K3271*H3271,1))</f>
        <v>0</v>
      </c>
      <c r="F3271" s="99">
        <f>IF(H3271=0,0,ROUNDDOWN(L3271*H3271,1))</f>
        <v>90.6</v>
      </c>
      <c r="G3271" s="16" t="s">
        <v>1939</v>
      </c>
      <c r="H3271" s="105">
        <f>AE3271</f>
        <v>3.9192631785224382E-3</v>
      </c>
      <c r="I3271" s="106">
        <f>K3271+J3271+L3271</f>
        <v>23128</v>
      </c>
      <c r="L3271" s="39">
        <f>중기목록표!H7</f>
        <v>23128</v>
      </c>
      <c r="M3271" s="20" t="s">
        <v>1193</v>
      </c>
      <c r="N3271" s="20" t="s">
        <v>1332</v>
      </c>
      <c r="X3271" s="108" t="str">
        <f>중기목록표!B7&amp;" / "&amp;중기목록표!C7</f>
        <v xml:space="preserve">굴삭기(0.7m3) / </v>
      </c>
      <c r="Y3271" s="19" t="str">
        <f ca="1">HYPERLINK("#"&amp;중기목록표!J2&amp;"!A"&amp;ROW(중기목록표!A7),"중기    4 →")</f>
        <v>중기    4 →</v>
      </c>
      <c r="Z3271" s="20" t="s">
        <v>1393</v>
      </c>
      <c r="AA3271" s="112" t="str">
        <f>AL3265</f>
        <v>85.05</v>
      </c>
      <c r="AB3271" s="20" t="s">
        <v>1387</v>
      </c>
      <c r="AC3271" s="111">
        <v>3</v>
      </c>
      <c r="AD3271" s="20" t="s">
        <v>1326</v>
      </c>
      <c r="AE3271" s="113">
        <f>1/AL3265/AC3271</f>
        <v>3.9192631785224382E-3</v>
      </c>
      <c r="AF3271" s="109"/>
      <c r="AG3271" s="109"/>
      <c r="AH3271" s="109"/>
      <c r="AI3271" s="109"/>
      <c r="AJ3271" s="109"/>
      <c r="AK3271" s="109"/>
      <c r="AL3271" s="109"/>
      <c r="AM3271" s="109"/>
      <c r="AN3271" s="109"/>
      <c r="AO3271" s="109"/>
      <c r="AP3271" s="109"/>
      <c r="AQ3271" s="109"/>
      <c r="AR3271" s="109"/>
      <c r="AS3271" s="109"/>
    </row>
    <row r="3272" spans="1:45" ht="12.6" customHeight="1" x14ac:dyDescent="0.3">
      <c r="A3272" s="78"/>
      <c r="B3272" s="78"/>
      <c r="C3272" s="78"/>
      <c r="D3272" s="78"/>
      <c r="E3272" s="78"/>
      <c r="F3272" s="78"/>
      <c r="G3272" s="16" t="s">
        <v>1317</v>
      </c>
      <c r="Z3272" s="109"/>
      <c r="AA3272" s="109"/>
      <c r="AB3272" s="109"/>
      <c r="AC3272" s="109"/>
      <c r="AD3272" s="109"/>
      <c r="AE3272" s="109"/>
      <c r="AF3272" s="109"/>
      <c r="AG3272" s="109"/>
      <c r="AH3272" s="109"/>
      <c r="AI3272" s="109"/>
      <c r="AJ3272" s="109"/>
      <c r="AK3272" s="109"/>
      <c r="AL3272" s="109"/>
      <c r="AM3272" s="109"/>
      <c r="AN3272" s="109"/>
      <c r="AO3272" s="109"/>
      <c r="AP3272" s="109"/>
      <c r="AQ3272" s="109"/>
      <c r="AR3272" s="109"/>
      <c r="AS3272" s="109"/>
    </row>
    <row r="3273" spans="1:45" ht="12.6" customHeight="1" x14ac:dyDescent="0.3">
      <c r="A3273" s="68"/>
      <c r="B3273" s="77" t="s">
        <v>1331</v>
      </c>
      <c r="C3273" s="100">
        <f>E3273+D3273+F3273</f>
        <v>379.4</v>
      </c>
      <c r="D3273" s="100">
        <f>SUMIF(N3251:N3272,M3273,D3251:D3272)</f>
        <v>218.3</v>
      </c>
      <c r="E3273" s="100">
        <f>SUMIF(N3251:N3272,M3273,E3251:E3272)</f>
        <v>70.5</v>
      </c>
      <c r="F3273" s="100">
        <f>SUMIF(N3251:N3272,M3273,F3251:F3272)</f>
        <v>90.6</v>
      </c>
      <c r="G3273" s="16" t="s">
        <v>1415</v>
      </c>
      <c r="M3273" s="20" t="s">
        <v>1332</v>
      </c>
      <c r="N3273" s="20" t="s">
        <v>1341</v>
      </c>
      <c r="Z3273" s="109"/>
      <c r="AA3273" s="109"/>
      <c r="AB3273" s="109"/>
      <c r="AC3273" s="109"/>
      <c r="AD3273" s="109"/>
      <c r="AE3273" s="109"/>
      <c r="AF3273" s="109"/>
      <c r="AG3273" s="109"/>
      <c r="AH3273" s="109"/>
      <c r="AI3273" s="109"/>
      <c r="AJ3273" s="109"/>
      <c r="AK3273" s="109"/>
      <c r="AL3273" s="109"/>
      <c r="AM3273" s="109"/>
      <c r="AN3273" s="109"/>
      <c r="AO3273" s="109"/>
      <c r="AP3273" s="109"/>
      <c r="AQ3273" s="109"/>
      <c r="AR3273" s="109"/>
      <c r="AS3273" s="109"/>
    </row>
    <row r="3274" spans="1:45" ht="12.6" customHeight="1" x14ac:dyDescent="0.3">
      <c r="A3274" s="78"/>
      <c r="B3274" s="78"/>
      <c r="C3274" s="98"/>
      <c r="D3274" s="98"/>
      <c r="E3274" s="98"/>
      <c r="F3274" s="98"/>
      <c r="G3274" s="16" t="s">
        <v>1317</v>
      </c>
      <c r="Z3274" s="109"/>
      <c r="AA3274" s="109"/>
      <c r="AB3274" s="109"/>
      <c r="AC3274" s="109"/>
      <c r="AD3274" s="109"/>
      <c r="AE3274" s="109"/>
      <c r="AF3274" s="109"/>
      <c r="AG3274" s="109"/>
      <c r="AH3274" s="109"/>
      <c r="AI3274" s="109"/>
      <c r="AJ3274" s="109"/>
      <c r="AK3274" s="109"/>
      <c r="AL3274" s="109"/>
      <c r="AM3274" s="109"/>
      <c r="AN3274" s="109"/>
      <c r="AO3274" s="109"/>
      <c r="AP3274" s="109"/>
      <c r="AQ3274" s="109"/>
      <c r="AR3274" s="109"/>
      <c r="AS3274" s="109"/>
    </row>
    <row r="3275" spans="1:45" ht="12.6" customHeight="1" x14ac:dyDescent="0.3">
      <c r="A3275" s="68"/>
      <c r="B3275" s="77" t="s">
        <v>1340</v>
      </c>
      <c r="C3275" s="100">
        <f>E3275+D3275+F3275</f>
        <v>3909.1</v>
      </c>
      <c r="D3275" s="100">
        <f>SUMIF(N3157:N3274,M3275,D3157:D3274)</f>
        <v>2501</v>
      </c>
      <c r="E3275" s="100">
        <f>SUMIF(N3157:N3274,M3275,E3157:E3274)</f>
        <v>587.6</v>
      </c>
      <c r="F3275" s="100">
        <f>SUMIF(N3157:N3274,M3275,F3157:F3274)</f>
        <v>820.5</v>
      </c>
      <c r="G3275" s="16" t="s">
        <v>1380</v>
      </c>
      <c r="M3275" s="20" t="s">
        <v>1341</v>
      </c>
      <c r="N3275" s="20" t="s">
        <v>1128</v>
      </c>
      <c r="Z3275" s="109"/>
      <c r="AA3275" s="109"/>
      <c r="AB3275" s="109"/>
      <c r="AC3275" s="109"/>
      <c r="AD3275" s="109"/>
      <c r="AE3275" s="109"/>
      <c r="AF3275" s="109"/>
      <c r="AG3275" s="109"/>
      <c r="AH3275" s="109"/>
      <c r="AI3275" s="109"/>
      <c r="AJ3275" s="109"/>
      <c r="AK3275" s="109"/>
      <c r="AL3275" s="109"/>
      <c r="AM3275" s="109"/>
      <c r="AN3275" s="109"/>
      <c r="AO3275" s="109"/>
      <c r="AP3275" s="109"/>
      <c r="AQ3275" s="109"/>
      <c r="AR3275" s="109"/>
      <c r="AS3275" s="109"/>
    </row>
    <row r="3276" spans="1:45" ht="12.6" customHeight="1" x14ac:dyDescent="0.3">
      <c r="A3276" s="78"/>
      <c r="B3276" s="78"/>
      <c r="C3276" s="98"/>
      <c r="D3276" s="98"/>
      <c r="E3276" s="98"/>
      <c r="F3276" s="98"/>
      <c r="Z3276" s="109"/>
      <c r="AA3276" s="109"/>
      <c r="AB3276" s="109"/>
      <c r="AC3276" s="109"/>
      <c r="AD3276" s="109"/>
      <c r="AE3276" s="109"/>
      <c r="AF3276" s="109"/>
      <c r="AG3276" s="109"/>
      <c r="AH3276" s="109"/>
      <c r="AI3276" s="109"/>
      <c r="AJ3276" s="109"/>
      <c r="AK3276" s="109"/>
      <c r="AL3276" s="109"/>
      <c r="AM3276" s="109"/>
      <c r="AN3276" s="109"/>
      <c r="AO3276" s="109"/>
      <c r="AP3276" s="109"/>
      <c r="AQ3276" s="109"/>
      <c r="AR3276" s="109"/>
      <c r="AS3276" s="109"/>
    </row>
    <row r="3277" spans="1:45" ht="12.6" customHeight="1" x14ac:dyDescent="0.3">
      <c r="A3277" s="78"/>
      <c r="B3277" s="78"/>
      <c r="C3277" s="78"/>
      <c r="D3277" s="78"/>
      <c r="E3277" s="78"/>
      <c r="F3277" s="78"/>
      <c r="Z3277" s="109"/>
      <c r="AA3277" s="109"/>
      <c r="AB3277" s="109"/>
      <c r="AC3277" s="109"/>
      <c r="AD3277" s="109"/>
      <c r="AE3277" s="109"/>
      <c r="AF3277" s="109"/>
      <c r="AG3277" s="109"/>
      <c r="AH3277" s="109"/>
      <c r="AI3277" s="109"/>
      <c r="AJ3277" s="109"/>
      <c r="AK3277" s="109"/>
      <c r="AL3277" s="109"/>
      <c r="AM3277" s="109"/>
      <c r="AN3277" s="109"/>
      <c r="AO3277" s="109"/>
      <c r="AP3277" s="109"/>
      <c r="AQ3277" s="109"/>
      <c r="AR3277" s="109"/>
      <c r="AS3277" s="109"/>
    </row>
    <row r="3278" spans="1:45" ht="12.6" customHeight="1" x14ac:dyDescent="0.3">
      <c r="A3278" s="78"/>
      <c r="B3278" s="78"/>
      <c r="C3278" s="78"/>
      <c r="D3278" s="78"/>
      <c r="E3278" s="78"/>
      <c r="F3278" s="78"/>
      <c r="Z3278" s="109"/>
      <c r="AA3278" s="109"/>
      <c r="AB3278" s="109"/>
      <c r="AC3278" s="109"/>
      <c r="AD3278" s="109"/>
      <c r="AE3278" s="109"/>
      <c r="AF3278" s="109"/>
      <c r="AG3278" s="109"/>
      <c r="AH3278" s="109"/>
      <c r="AI3278" s="109"/>
      <c r="AJ3278" s="109"/>
      <c r="AK3278" s="109"/>
      <c r="AL3278" s="109"/>
      <c r="AM3278" s="109"/>
      <c r="AN3278" s="109"/>
      <c r="AO3278" s="109"/>
      <c r="AP3278" s="109"/>
      <c r="AQ3278" s="109"/>
      <c r="AR3278" s="109"/>
      <c r="AS3278" s="109"/>
    </row>
    <row r="3279" spans="1:45" ht="12.6" customHeight="1" x14ac:dyDescent="0.3">
      <c r="A3279" s="78"/>
      <c r="B3279" s="78"/>
      <c r="C3279" s="78"/>
      <c r="D3279" s="78"/>
      <c r="E3279" s="78"/>
      <c r="F3279" s="78"/>
      <c r="Z3279" s="109"/>
      <c r="AA3279" s="109"/>
      <c r="AB3279" s="109"/>
      <c r="AC3279" s="109"/>
      <c r="AD3279" s="109"/>
      <c r="AE3279" s="109"/>
      <c r="AF3279" s="109"/>
      <c r="AG3279" s="109"/>
      <c r="AH3279" s="109"/>
      <c r="AI3279" s="109"/>
      <c r="AJ3279" s="109"/>
      <c r="AK3279" s="109"/>
      <c r="AL3279" s="109"/>
      <c r="AM3279" s="109"/>
      <c r="AN3279" s="109"/>
      <c r="AO3279" s="109"/>
      <c r="AP3279" s="109"/>
      <c r="AQ3279" s="109"/>
      <c r="AR3279" s="109"/>
      <c r="AS3279" s="109"/>
    </row>
    <row r="3280" spans="1:45" ht="12.6" customHeight="1" x14ac:dyDescent="0.3">
      <c r="A3280" s="78"/>
      <c r="B3280" s="78"/>
      <c r="C3280" s="78"/>
      <c r="D3280" s="78"/>
      <c r="E3280" s="78"/>
      <c r="F3280" s="78"/>
      <c r="Z3280" s="109"/>
      <c r="AA3280" s="109"/>
      <c r="AB3280" s="109"/>
      <c r="AC3280" s="109"/>
      <c r="AD3280" s="109"/>
      <c r="AE3280" s="109"/>
      <c r="AF3280" s="109"/>
      <c r="AG3280" s="109"/>
      <c r="AH3280" s="109"/>
      <c r="AI3280" s="109"/>
      <c r="AJ3280" s="109"/>
      <c r="AK3280" s="109"/>
      <c r="AL3280" s="109"/>
      <c r="AM3280" s="109"/>
      <c r="AN3280" s="109"/>
      <c r="AO3280" s="109"/>
      <c r="AP3280" s="109"/>
      <c r="AQ3280" s="109"/>
      <c r="AR3280" s="109"/>
      <c r="AS3280" s="109"/>
    </row>
    <row r="3281" spans="1:45" ht="12.6" customHeight="1" x14ac:dyDescent="0.3">
      <c r="A3281" s="78"/>
      <c r="B3281" s="78"/>
      <c r="C3281" s="78"/>
      <c r="D3281" s="78"/>
      <c r="E3281" s="78"/>
      <c r="F3281" s="78"/>
      <c r="Z3281" s="109"/>
      <c r="AA3281" s="109"/>
      <c r="AB3281" s="109"/>
      <c r="AC3281" s="109"/>
      <c r="AD3281" s="109"/>
      <c r="AE3281" s="109"/>
      <c r="AF3281" s="109"/>
      <c r="AG3281" s="109"/>
      <c r="AH3281" s="109"/>
      <c r="AI3281" s="109"/>
      <c r="AJ3281" s="109"/>
      <c r="AK3281" s="109"/>
      <c r="AL3281" s="109"/>
      <c r="AM3281" s="109"/>
      <c r="AN3281" s="109"/>
      <c r="AO3281" s="109"/>
      <c r="AP3281" s="109"/>
      <c r="AQ3281" s="109"/>
      <c r="AR3281" s="109"/>
      <c r="AS3281" s="109"/>
    </row>
    <row r="3282" spans="1:45" ht="12.6" customHeight="1" x14ac:dyDescent="0.3">
      <c r="A3282" s="78"/>
      <c r="B3282" s="78"/>
      <c r="C3282" s="78"/>
      <c r="D3282" s="78"/>
      <c r="E3282" s="78"/>
      <c r="F3282" s="78"/>
      <c r="Z3282" s="109"/>
      <c r="AA3282" s="109"/>
      <c r="AB3282" s="109"/>
      <c r="AC3282" s="109"/>
      <c r="AD3282" s="109"/>
      <c r="AE3282" s="109"/>
      <c r="AF3282" s="109"/>
      <c r="AG3282" s="109"/>
      <c r="AH3282" s="109"/>
      <c r="AI3282" s="109"/>
      <c r="AJ3282" s="109"/>
      <c r="AK3282" s="109"/>
      <c r="AL3282" s="109"/>
      <c r="AM3282" s="109"/>
      <c r="AN3282" s="109"/>
      <c r="AO3282" s="109"/>
      <c r="AP3282" s="109"/>
      <c r="AQ3282" s="109"/>
      <c r="AR3282" s="109"/>
      <c r="AS3282" s="109"/>
    </row>
    <row r="3283" spans="1:45" ht="12.6" customHeight="1" x14ac:dyDescent="0.3">
      <c r="A3283" s="78"/>
      <c r="B3283" s="78"/>
      <c r="C3283" s="78"/>
      <c r="D3283" s="78"/>
      <c r="E3283" s="78"/>
      <c r="F3283" s="78"/>
      <c r="Z3283" s="109"/>
      <c r="AA3283" s="109"/>
      <c r="AB3283" s="109"/>
      <c r="AC3283" s="109"/>
      <c r="AD3283" s="109"/>
      <c r="AE3283" s="109"/>
      <c r="AF3283" s="109"/>
      <c r="AG3283" s="109"/>
      <c r="AH3283" s="109"/>
      <c r="AI3283" s="109"/>
      <c r="AJ3283" s="109"/>
      <c r="AK3283" s="109"/>
      <c r="AL3283" s="109"/>
      <c r="AM3283" s="109"/>
      <c r="AN3283" s="109"/>
      <c r="AO3283" s="109"/>
      <c r="AP3283" s="109"/>
      <c r="AQ3283" s="109"/>
      <c r="AR3283" s="109"/>
      <c r="AS3283" s="109"/>
    </row>
    <row r="3284" spans="1:45" ht="12.6" customHeight="1" x14ac:dyDescent="0.3">
      <c r="A3284" s="78"/>
      <c r="B3284" s="78"/>
      <c r="C3284" s="78"/>
      <c r="D3284" s="78"/>
      <c r="E3284" s="78"/>
      <c r="F3284" s="78"/>
      <c r="Z3284" s="109"/>
      <c r="AA3284" s="109"/>
      <c r="AB3284" s="109"/>
      <c r="AC3284" s="109"/>
      <c r="AD3284" s="109"/>
      <c r="AE3284" s="109"/>
      <c r="AF3284" s="109"/>
      <c r="AG3284" s="109"/>
      <c r="AH3284" s="109"/>
      <c r="AI3284" s="109"/>
      <c r="AJ3284" s="109"/>
      <c r="AK3284" s="109"/>
      <c r="AL3284" s="109"/>
      <c r="AM3284" s="109"/>
      <c r="AN3284" s="109"/>
      <c r="AO3284" s="109"/>
      <c r="AP3284" s="109"/>
      <c r="AQ3284" s="109"/>
      <c r="AR3284" s="109"/>
      <c r="AS3284" s="109"/>
    </row>
    <row r="3285" spans="1:45" ht="12.6" customHeight="1" x14ac:dyDescent="0.3">
      <c r="A3285" s="78"/>
      <c r="B3285" s="78"/>
      <c r="C3285" s="78"/>
      <c r="D3285" s="78"/>
      <c r="E3285" s="78"/>
      <c r="F3285" s="78"/>
      <c r="Z3285" s="109"/>
      <c r="AA3285" s="109"/>
      <c r="AB3285" s="109"/>
      <c r="AC3285" s="109"/>
      <c r="AD3285" s="109"/>
      <c r="AE3285" s="109"/>
      <c r="AF3285" s="109"/>
      <c r="AG3285" s="109"/>
      <c r="AH3285" s="109"/>
      <c r="AI3285" s="109"/>
      <c r="AJ3285" s="109"/>
      <c r="AK3285" s="109"/>
      <c r="AL3285" s="109"/>
      <c r="AM3285" s="109"/>
      <c r="AN3285" s="109"/>
      <c r="AO3285" s="109"/>
      <c r="AP3285" s="109"/>
      <c r="AQ3285" s="109"/>
      <c r="AR3285" s="109"/>
      <c r="AS3285" s="109"/>
    </row>
    <row r="3286" spans="1:45" ht="12.6" customHeight="1" x14ac:dyDescent="0.3">
      <c r="A3286" s="78"/>
      <c r="B3286" s="78"/>
      <c r="C3286" s="78"/>
      <c r="D3286" s="78"/>
      <c r="E3286" s="78"/>
      <c r="F3286" s="78"/>
      <c r="Z3286" s="109"/>
      <c r="AA3286" s="109"/>
      <c r="AB3286" s="109"/>
      <c r="AC3286" s="109"/>
      <c r="AD3286" s="109"/>
      <c r="AE3286" s="109"/>
      <c r="AF3286" s="109"/>
      <c r="AG3286" s="109"/>
      <c r="AH3286" s="109"/>
      <c r="AI3286" s="109"/>
      <c r="AJ3286" s="109"/>
      <c r="AK3286" s="109"/>
      <c r="AL3286" s="109"/>
      <c r="AM3286" s="109"/>
      <c r="AN3286" s="109"/>
      <c r="AO3286" s="109"/>
      <c r="AP3286" s="109"/>
      <c r="AQ3286" s="109"/>
      <c r="AR3286" s="109"/>
      <c r="AS3286" s="109"/>
    </row>
    <row r="3287" spans="1:45" ht="12.6" customHeight="1" x14ac:dyDescent="0.3">
      <c r="A3287" s="78"/>
      <c r="B3287" s="78"/>
      <c r="C3287" s="78"/>
      <c r="D3287" s="78"/>
      <c r="E3287" s="78"/>
      <c r="F3287" s="78"/>
      <c r="Z3287" s="109"/>
      <c r="AA3287" s="109"/>
      <c r="AB3287" s="109"/>
      <c r="AC3287" s="109"/>
      <c r="AD3287" s="109"/>
      <c r="AE3287" s="109"/>
      <c r="AF3287" s="109"/>
      <c r="AG3287" s="109"/>
      <c r="AH3287" s="109"/>
      <c r="AI3287" s="109"/>
      <c r="AJ3287" s="109"/>
      <c r="AK3287" s="109"/>
      <c r="AL3287" s="109"/>
      <c r="AM3287" s="109"/>
      <c r="AN3287" s="109"/>
      <c r="AO3287" s="109"/>
      <c r="AP3287" s="109"/>
      <c r="AQ3287" s="109"/>
      <c r="AR3287" s="109"/>
      <c r="AS3287" s="109"/>
    </row>
    <row r="3288" spans="1:45" ht="12.6" customHeight="1" x14ac:dyDescent="0.3">
      <c r="A3288" s="78"/>
      <c r="B3288" s="78"/>
      <c r="C3288" s="78"/>
      <c r="D3288" s="78"/>
      <c r="E3288" s="78"/>
      <c r="F3288" s="78"/>
      <c r="Z3288" s="109"/>
      <c r="AA3288" s="109"/>
      <c r="AB3288" s="109"/>
      <c r="AC3288" s="109"/>
      <c r="AD3288" s="109"/>
      <c r="AE3288" s="109"/>
      <c r="AF3288" s="109"/>
      <c r="AG3288" s="109"/>
      <c r="AH3288" s="109"/>
      <c r="AI3288" s="109"/>
      <c r="AJ3288" s="109"/>
      <c r="AK3288" s="109"/>
      <c r="AL3288" s="109"/>
      <c r="AM3288" s="109"/>
      <c r="AN3288" s="109"/>
      <c r="AO3288" s="109"/>
      <c r="AP3288" s="109"/>
      <c r="AQ3288" s="109"/>
      <c r="AR3288" s="109"/>
      <c r="AS3288" s="109"/>
    </row>
    <row r="3289" spans="1:45" ht="12.6" customHeight="1" x14ac:dyDescent="0.3">
      <c r="A3289" s="78"/>
      <c r="B3289" s="78"/>
      <c r="C3289" s="78"/>
      <c r="D3289" s="78"/>
      <c r="E3289" s="78"/>
      <c r="F3289" s="78"/>
      <c r="Z3289" s="109"/>
      <c r="AA3289" s="109"/>
      <c r="AB3289" s="109"/>
      <c r="AC3289" s="109"/>
      <c r="AD3289" s="109"/>
      <c r="AE3289" s="109"/>
      <c r="AF3289" s="109"/>
      <c r="AG3289" s="109"/>
      <c r="AH3289" s="109"/>
      <c r="AI3289" s="109"/>
      <c r="AJ3289" s="109"/>
      <c r="AK3289" s="109"/>
      <c r="AL3289" s="109"/>
      <c r="AM3289" s="109"/>
      <c r="AN3289" s="109"/>
      <c r="AO3289" s="109"/>
      <c r="AP3289" s="109"/>
      <c r="AQ3289" s="109"/>
      <c r="AR3289" s="109"/>
      <c r="AS3289" s="109"/>
    </row>
    <row r="3290" spans="1:45" ht="12.6" customHeight="1" x14ac:dyDescent="0.3">
      <c r="A3290" s="78"/>
      <c r="B3290" s="78"/>
      <c r="C3290" s="78"/>
      <c r="D3290" s="78"/>
      <c r="E3290" s="78"/>
      <c r="F3290" s="78"/>
      <c r="Z3290" s="109"/>
      <c r="AA3290" s="109"/>
      <c r="AB3290" s="109"/>
      <c r="AC3290" s="109"/>
      <c r="AD3290" s="109"/>
      <c r="AE3290" s="109"/>
      <c r="AF3290" s="109"/>
      <c r="AG3290" s="109"/>
      <c r="AH3290" s="109"/>
      <c r="AI3290" s="109"/>
      <c r="AJ3290" s="109"/>
      <c r="AK3290" s="109"/>
      <c r="AL3290" s="109"/>
      <c r="AM3290" s="109"/>
      <c r="AN3290" s="109"/>
      <c r="AO3290" s="109"/>
      <c r="AP3290" s="109"/>
      <c r="AQ3290" s="109"/>
      <c r="AR3290" s="109"/>
      <c r="AS3290" s="109"/>
    </row>
    <row r="3291" spans="1:45" ht="12.6" customHeight="1" x14ac:dyDescent="0.3">
      <c r="A3291" s="78"/>
      <c r="B3291" s="78"/>
      <c r="C3291" s="78"/>
      <c r="D3291" s="78"/>
      <c r="E3291" s="78"/>
      <c r="F3291" s="78"/>
      <c r="Z3291" s="109"/>
      <c r="AA3291" s="109"/>
      <c r="AB3291" s="109"/>
      <c r="AC3291" s="109"/>
      <c r="AD3291" s="109"/>
      <c r="AE3291" s="109"/>
      <c r="AF3291" s="109"/>
      <c r="AG3291" s="109"/>
      <c r="AH3291" s="109"/>
      <c r="AI3291" s="109"/>
      <c r="AJ3291" s="109"/>
      <c r="AK3291" s="109"/>
      <c r="AL3291" s="109"/>
      <c r="AM3291" s="109"/>
      <c r="AN3291" s="109"/>
      <c r="AO3291" s="109"/>
      <c r="AP3291" s="109"/>
      <c r="AQ3291" s="109"/>
      <c r="AR3291" s="109"/>
      <c r="AS3291" s="109"/>
    </row>
    <row r="3292" spans="1:45" ht="12.6" customHeight="1" x14ac:dyDescent="0.3">
      <c r="A3292" s="78"/>
      <c r="B3292" s="78"/>
      <c r="C3292" s="78"/>
      <c r="D3292" s="78"/>
      <c r="E3292" s="78"/>
      <c r="F3292" s="78"/>
      <c r="Z3292" s="109"/>
      <c r="AA3292" s="109"/>
      <c r="AB3292" s="109"/>
      <c r="AC3292" s="109"/>
      <c r="AD3292" s="109"/>
      <c r="AE3292" s="109"/>
      <c r="AF3292" s="109"/>
      <c r="AG3292" s="109"/>
      <c r="AH3292" s="109"/>
      <c r="AI3292" s="109"/>
      <c r="AJ3292" s="109"/>
      <c r="AK3292" s="109"/>
      <c r="AL3292" s="109"/>
      <c r="AM3292" s="109"/>
      <c r="AN3292" s="109"/>
      <c r="AO3292" s="109"/>
      <c r="AP3292" s="109"/>
      <c r="AQ3292" s="109"/>
      <c r="AR3292" s="109"/>
      <c r="AS3292" s="109"/>
    </row>
    <row r="3293" spans="1:45" ht="12.6" customHeight="1" x14ac:dyDescent="0.3">
      <c r="A3293" s="58"/>
      <c r="B3293" s="58"/>
      <c r="C3293" s="58"/>
      <c r="D3293" s="58"/>
      <c r="E3293" s="58"/>
      <c r="F3293" s="58"/>
      <c r="Z3293" s="109"/>
      <c r="AA3293" s="109"/>
      <c r="AB3293" s="109"/>
      <c r="AC3293" s="109"/>
      <c r="AD3293" s="109"/>
      <c r="AE3293" s="109"/>
      <c r="AF3293" s="109"/>
      <c r="AG3293" s="109"/>
      <c r="AH3293" s="109"/>
      <c r="AI3293" s="109"/>
      <c r="AJ3293" s="109"/>
      <c r="AK3293" s="109"/>
      <c r="AL3293" s="109"/>
      <c r="AM3293" s="109"/>
      <c r="AN3293" s="109"/>
      <c r="AO3293" s="109"/>
      <c r="AP3293" s="109"/>
      <c r="AQ3293" s="109"/>
      <c r="AR3293" s="109"/>
      <c r="AS3293" s="109"/>
    </row>
    <row r="3294" spans="1:45" ht="12.6" customHeight="1" x14ac:dyDescent="0.3">
      <c r="A3294" s="159" t="s">
        <v>1401</v>
      </c>
      <c r="B3294" s="152"/>
      <c r="C3294" s="55">
        <f>E3294+D3294+F3294</f>
        <v>3908</v>
      </c>
      <c r="D3294" s="54">
        <f>ROUNDDOWN(SUMIF(N3157:N3275,M3294,D3157:D3275),0)</f>
        <v>2501</v>
      </c>
      <c r="E3294" s="63">
        <f>ROUNDDOWN(SUMIF(N3157:N3275,M3294,E3157:E3275),0)</f>
        <v>587</v>
      </c>
      <c r="F3294" s="55">
        <f>ROUNDDOWN(SUMIF(N3157:N3275,M3294,F3157:F3275),0)</f>
        <v>820</v>
      </c>
      <c r="M3294" s="20" t="s">
        <v>1128</v>
      </c>
      <c r="Z3294" s="109"/>
      <c r="AA3294" s="109"/>
      <c r="AB3294" s="109"/>
      <c r="AC3294" s="109"/>
      <c r="AD3294" s="109"/>
      <c r="AE3294" s="109"/>
      <c r="AF3294" s="109"/>
      <c r="AG3294" s="109"/>
      <c r="AH3294" s="109"/>
      <c r="AI3294" s="109"/>
      <c r="AJ3294" s="109"/>
      <c r="AK3294" s="109"/>
      <c r="AL3294" s="109"/>
      <c r="AM3294" s="109"/>
      <c r="AN3294" s="109"/>
      <c r="AO3294" s="109"/>
      <c r="AP3294" s="109"/>
      <c r="AQ3294" s="109"/>
      <c r="AR3294" s="109"/>
      <c r="AS3294" s="109"/>
    </row>
  </sheetData>
  <mergeCells count="237">
    <mergeCell ref="A1:F1"/>
    <mergeCell ref="C3:C4"/>
    <mergeCell ref="D3:D4"/>
    <mergeCell ref="E3:E4"/>
    <mergeCell ref="F3:F4"/>
    <mergeCell ref="Z3:AS4"/>
    <mergeCell ref="A4:B4"/>
    <mergeCell ref="A144:B144"/>
    <mergeCell ref="C145:C146"/>
    <mergeCell ref="D145:D146"/>
    <mergeCell ref="E145:E146"/>
    <mergeCell ref="F145:F146"/>
    <mergeCell ref="A214:B214"/>
    <mergeCell ref="C5:C6"/>
    <mergeCell ref="D5:D6"/>
    <mergeCell ref="E5:E6"/>
    <mergeCell ref="F5:F6"/>
    <mergeCell ref="A109:B109"/>
    <mergeCell ref="C110:C111"/>
    <mergeCell ref="D110:D111"/>
    <mergeCell ref="E110:E111"/>
    <mergeCell ref="F110:F111"/>
    <mergeCell ref="A284:B284"/>
    <mergeCell ref="C285:C286"/>
    <mergeCell ref="D285:D286"/>
    <mergeCell ref="E285:E286"/>
    <mergeCell ref="F285:F286"/>
    <mergeCell ref="A354:B354"/>
    <mergeCell ref="C215:C216"/>
    <mergeCell ref="D215:D216"/>
    <mergeCell ref="E215:E216"/>
    <mergeCell ref="F215:F216"/>
    <mergeCell ref="A249:B249"/>
    <mergeCell ref="C250:C251"/>
    <mergeCell ref="D250:D251"/>
    <mergeCell ref="E250:E251"/>
    <mergeCell ref="F250:F251"/>
    <mergeCell ref="A459:B459"/>
    <mergeCell ref="C460:C461"/>
    <mergeCell ref="D460:D461"/>
    <mergeCell ref="E460:E461"/>
    <mergeCell ref="F460:F461"/>
    <mergeCell ref="A494:B494"/>
    <mergeCell ref="C355:C356"/>
    <mergeCell ref="D355:D356"/>
    <mergeCell ref="E355:E356"/>
    <mergeCell ref="F355:F356"/>
    <mergeCell ref="A424:B424"/>
    <mergeCell ref="C425:C426"/>
    <mergeCell ref="D425:D426"/>
    <mergeCell ref="E425:E426"/>
    <mergeCell ref="F425:F426"/>
    <mergeCell ref="A634:B634"/>
    <mergeCell ref="C635:C636"/>
    <mergeCell ref="D635:D636"/>
    <mergeCell ref="E635:E636"/>
    <mergeCell ref="F635:F636"/>
    <mergeCell ref="A704:B704"/>
    <mergeCell ref="C495:C496"/>
    <mergeCell ref="D495:D496"/>
    <mergeCell ref="E495:E496"/>
    <mergeCell ref="F495:F496"/>
    <mergeCell ref="A529:B529"/>
    <mergeCell ref="C530:C531"/>
    <mergeCell ref="D530:D531"/>
    <mergeCell ref="E530:E531"/>
    <mergeCell ref="F530:F531"/>
    <mergeCell ref="A774:B774"/>
    <mergeCell ref="C775:C776"/>
    <mergeCell ref="D775:D776"/>
    <mergeCell ref="E775:E776"/>
    <mergeCell ref="F775:F776"/>
    <mergeCell ref="A809:B809"/>
    <mergeCell ref="C705:C706"/>
    <mergeCell ref="D705:D706"/>
    <mergeCell ref="E705:E706"/>
    <mergeCell ref="F705:F706"/>
    <mergeCell ref="A739:B739"/>
    <mergeCell ref="C740:C741"/>
    <mergeCell ref="D740:D741"/>
    <mergeCell ref="E740:E741"/>
    <mergeCell ref="F740:F741"/>
    <mergeCell ref="A1019:B1019"/>
    <mergeCell ref="C1020:C1021"/>
    <mergeCell ref="D1020:D1021"/>
    <mergeCell ref="E1020:E1021"/>
    <mergeCell ref="F1020:F1021"/>
    <mergeCell ref="A1124:B1124"/>
    <mergeCell ref="C810:C811"/>
    <mergeCell ref="D810:D811"/>
    <mergeCell ref="E810:E811"/>
    <mergeCell ref="F810:F811"/>
    <mergeCell ref="A879:B879"/>
    <mergeCell ref="C880:C881"/>
    <mergeCell ref="D880:D881"/>
    <mergeCell ref="E880:E881"/>
    <mergeCell ref="F880:F881"/>
    <mergeCell ref="A1194:B1194"/>
    <mergeCell ref="C1195:C1196"/>
    <mergeCell ref="D1195:D1196"/>
    <mergeCell ref="E1195:E1196"/>
    <mergeCell ref="F1195:F1196"/>
    <mergeCell ref="A1264:B1264"/>
    <mergeCell ref="C1125:C1126"/>
    <mergeCell ref="D1125:D1126"/>
    <mergeCell ref="E1125:E1126"/>
    <mergeCell ref="F1125:F1126"/>
    <mergeCell ref="A1159:B1159"/>
    <mergeCell ref="C1160:C1161"/>
    <mergeCell ref="D1160:D1161"/>
    <mergeCell ref="E1160:E1161"/>
    <mergeCell ref="F1160:F1161"/>
    <mergeCell ref="A1474:B1474"/>
    <mergeCell ref="C1475:C1476"/>
    <mergeCell ref="D1475:D1476"/>
    <mergeCell ref="E1475:E1476"/>
    <mergeCell ref="F1475:F1476"/>
    <mergeCell ref="A1544:B1544"/>
    <mergeCell ref="C1265:C1266"/>
    <mergeCell ref="D1265:D1266"/>
    <mergeCell ref="E1265:E1266"/>
    <mergeCell ref="F1265:F1266"/>
    <mergeCell ref="A1369:B1369"/>
    <mergeCell ref="C1370:C1371"/>
    <mergeCell ref="D1370:D1371"/>
    <mergeCell ref="E1370:E1371"/>
    <mergeCell ref="F1370:F1371"/>
    <mergeCell ref="A1684:B1684"/>
    <mergeCell ref="C1685:C1686"/>
    <mergeCell ref="D1685:D1686"/>
    <mergeCell ref="E1685:E1686"/>
    <mergeCell ref="F1685:F1686"/>
    <mergeCell ref="A1789:B1789"/>
    <mergeCell ref="C1545:C1546"/>
    <mergeCell ref="D1545:D1546"/>
    <mergeCell ref="E1545:E1546"/>
    <mergeCell ref="F1545:F1546"/>
    <mergeCell ref="A1614:B1614"/>
    <mergeCell ref="C1615:C1616"/>
    <mergeCell ref="D1615:D1616"/>
    <mergeCell ref="E1615:E1616"/>
    <mergeCell ref="F1615:F1616"/>
    <mergeCell ref="A1964:B1964"/>
    <mergeCell ref="C1965:C1966"/>
    <mergeCell ref="D1965:D1966"/>
    <mergeCell ref="E1965:E1966"/>
    <mergeCell ref="F1965:F1966"/>
    <mergeCell ref="A2034:B2034"/>
    <mergeCell ref="C1790:C1791"/>
    <mergeCell ref="D1790:D1791"/>
    <mergeCell ref="E1790:E1791"/>
    <mergeCell ref="F1790:F1791"/>
    <mergeCell ref="A1929:B1929"/>
    <mergeCell ref="C1930:C1931"/>
    <mergeCell ref="D1930:D1931"/>
    <mergeCell ref="E1930:E1931"/>
    <mergeCell ref="F1930:F1931"/>
    <mergeCell ref="A2104:B2104"/>
    <mergeCell ref="C2105:C2106"/>
    <mergeCell ref="D2105:D2106"/>
    <mergeCell ref="E2105:E2106"/>
    <mergeCell ref="F2105:F2106"/>
    <mergeCell ref="A2139:B2139"/>
    <mergeCell ref="C2035:C2036"/>
    <mergeCell ref="D2035:D2036"/>
    <mergeCell ref="E2035:E2036"/>
    <mergeCell ref="F2035:F2036"/>
    <mergeCell ref="A2069:B2069"/>
    <mergeCell ref="C2070:C2071"/>
    <mergeCell ref="D2070:D2071"/>
    <mergeCell ref="E2070:E2071"/>
    <mergeCell ref="F2070:F2071"/>
    <mergeCell ref="A2244:B2244"/>
    <mergeCell ref="C2245:C2246"/>
    <mergeCell ref="D2245:D2246"/>
    <mergeCell ref="E2245:E2246"/>
    <mergeCell ref="F2245:F2246"/>
    <mergeCell ref="A2314:B2314"/>
    <mergeCell ref="C2140:C2141"/>
    <mergeCell ref="D2140:D2141"/>
    <mergeCell ref="E2140:E2141"/>
    <mergeCell ref="F2140:F2141"/>
    <mergeCell ref="A2209:B2209"/>
    <mergeCell ref="C2210:C2211"/>
    <mergeCell ref="D2210:D2211"/>
    <mergeCell ref="E2210:E2211"/>
    <mergeCell ref="F2210:F2211"/>
    <mergeCell ref="A2454:B2454"/>
    <mergeCell ref="C2455:C2456"/>
    <mergeCell ref="D2455:D2456"/>
    <mergeCell ref="E2455:E2456"/>
    <mergeCell ref="F2455:F2456"/>
    <mergeCell ref="A2559:B2559"/>
    <mergeCell ref="C2315:C2316"/>
    <mergeCell ref="D2315:D2316"/>
    <mergeCell ref="E2315:E2316"/>
    <mergeCell ref="F2315:F2316"/>
    <mergeCell ref="A2384:B2384"/>
    <mergeCell ref="C2385:C2386"/>
    <mergeCell ref="D2385:D2386"/>
    <mergeCell ref="E2385:E2386"/>
    <mergeCell ref="F2385:F2386"/>
    <mergeCell ref="A2769:B2769"/>
    <mergeCell ref="C2770:C2771"/>
    <mergeCell ref="D2770:D2771"/>
    <mergeCell ref="E2770:E2771"/>
    <mergeCell ref="F2770:F2771"/>
    <mergeCell ref="A2839:B2839"/>
    <mergeCell ref="C2560:C2561"/>
    <mergeCell ref="D2560:D2561"/>
    <mergeCell ref="E2560:E2561"/>
    <mergeCell ref="F2560:F2561"/>
    <mergeCell ref="A2699:B2699"/>
    <mergeCell ref="C2700:C2701"/>
    <mergeCell ref="D2700:D2701"/>
    <mergeCell ref="E2700:E2701"/>
    <mergeCell ref="F2700:F2701"/>
    <mergeCell ref="C2840:C2841"/>
    <mergeCell ref="D2840:D2841"/>
    <mergeCell ref="E2840:E2841"/>
    <mergeCell ref="F2840:F2841"/>
    <mergeCell ref="A2944:B2944"/>
    <mergeCell ref="C2945:C2946"/>
    <mergeCell ref="D2945:D2946"/>
    <mergeCell ref="E2945:E2946"/>
    <mergeCell ref="F2945:F2946"/>
    <mergeCell ref="C3155:C3156"/>
    <mergeCell ref="D3155:D3156"/>
    <mergeCell ref="E3155:E3156"/>
    <mergeCell ref="F3155:F3156"/>
    <mergeCell ref="A3294:B3294"/>
    <mergeCell ref="A3084:B3084"/>
    <mergeCell ref="C3085:C3086"/>
    <mergeCell ref="D3085:D3086"/>
    <mergeCell ref="E3085:E3086"/>
    <mergeCell ref="F3085:F3086"/>
    <mergeCell ref="A3154:B3154"/>
  </mergeCells>
  <phoneticPr fontId="26" type="noConversion"/>
  <conditionalFormatting sqref="C5:F3294">
    <cfRule type="expression" dxfId="2" priority="1" stopIfTrue="1">
      <formula>AND(C5&lt;&gt;0,INT(C5)=C5)</formula>
    </cfRule>
  </conditionalFormatting>
  <hyperlinks>
    <hyperlink ref="Y1" r:id="rId1" tooltip="설계예산시스템(STmate w24.04)으로 작성 하였으며,_x000a_엑셀 인쇄품질 600 dpi에 최적화 되어 있습니다._x000a_경영정보(주) http://www.stma.co.kr_x000a_Tel) 070-4350-0040_x000a_Fax) 0505-300-3948"/>
    <hyperlink ref="G1" r:id="rId2" tooltip="설계예산시스템(STmate w24.04)으로 작성 하였으며,_x000a_엑셀 인쇄품질 600 dpi에 최적화 되어 있습니다._x000a_경영정보(주) http://www.stma.co.kr_x000a_Tel) 070-4350-0040_x000a_Fax) 0505-300-3948"/>
  </hyperlinks>
  <printOptions horizontalCentered="1"/>
  <pageMargins left="0.78740157480314965" right="0.78740157480314965" top="0.59055118110236215" bottom="0.59055118110236215" header="0" footer="0.39370078740157477"/>
  <pageSetup paperSize="9" fitToWidth="0" fitToHeight="0" orientation="landscape" r:id="rId3"/>
  <headerFooter alignWithMargins="0">
    <oddFooter xml:space="preserve">&amp;R&amp;"굴림체,"&amp;9 </oddFooter>
  </headerFooter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20</vt:i4>
      </vt:variant>
      <vt:variant>
        <vt:lpstr>이름이 지정된 범위</vt:lpstr>
      </vt:variant>
      <vt:variant>
        <vt:i4>36</vt:i4>
      </vt:variant>
    </vt:vector>
  </HeadingPairs>
  <TitlesOfParts>
    <vt:vector size="56" baseType="lpstr">
      <vt:lpstr>〓 목 차 〓</vt:lpstr>
      <vt:lpstr>※※안내※※</vt:lpstr>
      <vt:lpstr>공사원가계산서</vt:lpstr>
      <vt:lpstr>총괄설계내역서</vt:lpstr>
      <vt:lpstr>설계내역서</vt:lpstr>
      <vt:lpstr>일위대가목록표</vt:lpstr>
      <vt:lpstr>일위대가표</vt:lpstr>
      <vt:lpstr>단가산출근거목록표</vt:lpstr>
      <vt:lpstr>단가산출근거</vt:lpstr>
      <vt:lpstr>환율및기초자료</vt:lpstr>
      <vt:lpstr>중기목록표</vt:lpstr>
      <vt:lpstr>중기사용료</vt:lpstr>
      <vt:lpstr>재료비목록표</vt:lpstr>
      <vt:lpstr>노무비목록표</vt:lpstr>
      <vt:lpstr>경비목록표</vt:lpstr>
      <vt:lpstr>자재단가대비표</vt:lpstr>
      <vt:lpstr>재료비수량금액집계표</vt:lpstr>
      <vt:lpstr>노무비수량금액집계표</vt:lpstr>
      <vt:lpstr>경비수량금액집계표</vt:lpstr>
      <vt:lpstr>중기시간금액집계표</vt:lpstr>
      <vt:lpstr>'〓 목 차 〓'!Print_Area</vt:lpstr>
      <vt:lpstr>경비목록표!Print_Area</vt:lpstr>
      <vt:lpstr>경비수량금액집계표!Print_Area</vt:lpstr>
      <vt:lpstr>공사원가계산서!Print_Area</vt:lpstr>
      <vt:lpstr>노무비목록표!Print_Area</vt:lpstr>
      <vt:lpstr>노무비수량금액집계표!Print_Area</vt:lpstr>
      <vt:lpstr>단가산출근거!Print_Area</vt:lpstr>
      <vt:lpstr>단가산출근거목록표!Print_Area</vt:lpstr>
      <vt:lpstr>설계내역서!Print_Area</vt:lpstr>
      <vt:lpstr>일위대가목록표!Print_Area</vt:lpstr>
      <vt:lpstr>일위대가표!Print_Area</vt:lpstr>
      <vt:lpstr>자재단가대비표!Print_Area</vt:lpstr>
      <vt:lpstr>재료비목록표!Print_Area</vt:lpstr>
      <vt:lpstr>재료비수량금액집계표!Print_Area</vt:lpstr>
      <vt:lpstr>중기목록표!Print_Area</vt:lpstr>
      <vt:lpstr>중기사용료!Print_Area</vt:lpstr>
      <vt:lpstr>중기시간금액집계표!Print_Area</vt:lpstr>
      <vt:lpstr>총괄설계내역서!Print_Area</vt:lpstr>
      <vt:lpstr>환율및기초자료!Print_Area</vt:lpstr>
      <vt:lpstr>경비목록표!Print_Titles</vt:lpstr>
      <vt:lpstr>경비수량금액집계표!Print_Titles</vt:lpstr>
      <vt:lpstr>공사원가계산서!Print_Titles</vt:lpstr>
      <vt:lpstr>노무비목록표!Print_Titles</vt:lpstr>
      <vt:lpstr>노무비수량금액집계표!Print_Titles</vt:lpstr>
      <vt:lpstr>단가산출근거!Print_Titles</vt:lpstr>
      <vt:lpstr>단가산출근거목록표!Print_Titles</vt:lpstr>
      <vt:lpstr>설계내역서!Print_Titles</vt:lpstr>
      <vt:lpstr>일위대가목록표!Print_Titles</vt:lpstr>
      <vt:lpstr>일위대가표!Print_Titles</vt:lpstr>
      <vt:lpstr>자재단가대비표!Print_Titles</vt:lpstr>
      <vt:lpstr>재료비목록표!Print_Titles</vt:lpstr>
      <vt:lpstr>재료비수량금액집계표!Print_Titles</vt:lpstr>
      <vt:lpstr>중기목록표!Print_Titles</vt:lpstr>
      <vt:lpstr>중기사용료!Print_Titles</vt:lpstr>
      <vt:lpstr>중기시간금액집계표!Print_Titles</vt:lpstr>
      <vt:lpstr>총괄설계내역서!Print_Titles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2024년 간선임도사업(기번3)</dc:title>
  <dc:creator/>
  <dc:description>STmate w24.04로 작성</dc:description>
  <cp:lastModifiedBy>user</cp:lastModifiedBy>
  <dcterms:created xsi:type="dcterms:W3CDTF">2024-04-05T11:18:42Z</dcterms:created>
  <dcterms:modified xsi:type="dcterms:W3CDTF">2024-04-05T11:19:10Z</dcterms:modified>
</cp:coreProperties>
</file>