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embeddings/oleObject2.bin" ContentType="application/vnd.openxmlformats-officedocument.oleObject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\\192.168.0.27\scan\3. 천재훈\04.15\02 합본 최종 정리\02 산출자료\"/>
    </mc:Choice>
  </mc:AlternateContent>
  <bookViews>
    <workbookView xWindow="0" yWindow="0" windowWidth="28800" windowHeight="12285" tabRatio="699" firstSheet="4" activeTab="14"/>
  </bookViews>
  <sheets>
    <sheet name="표지" sheetId="1" r:id="rId1"/>
    <sheet name="구조물위치" sheetId="2" r:id="rId2"/>
    <sheet name="총괄집계" sheetId="5" r:id="rId3"/>
    <sheet name="콘크리트자재" sheetId="6" r:id="rId4"/>
    <sheet name="수량집계표" sheetId="7" r:id="rId5"/>
    <sheet name="표지(토공)" sheetId="8" r:id="rId6"/>
    <sheet name="토적집계" sheetId="10" r:id="rId7"/>
    <sheet name="토적표" sheetId="11" r:id="rId8"/>
    <sheet name="거리이정표" sheetId="12" r:id="rId9"/>
    <sheet name="파쇄암운반거리 및 단가 비교표" sheetId="29" r:id="rId10"/>
    <sheet name="수리집수면적유역도" sheetId="14" r:id="rId11"/>
    <sheet name="최소관800" sheetId="31" r:id="rId12"/>
    <sheet name="135+14" sheetId="32" r:id="rId13"/>
    <sheet name="138+17물넘이" sheetId="33" r:id="rId14"/>
    <sheet name="170+12" sheetId="34" r:id="rId15"/>
    <sheet name="수리계산서(최소관적용Φ1000)" sheetId="16" state="hidden" r:id="rId16"/>
    <sheet name="수리계산서(물넘이포장)" sheetId="20" state="hidden" r:id="rId17"/>
    <sheet name="######" sheetId="25" r:id="rId18"/>
    <sheet name="사방공" sheetId="4" r:id="rId19"/>
    <sheet name="준비공" sheetId="9" r:id="rId20"/>
    <sheet name="자갈운반거리 및 단가 비교표" sheetId="30" r:id="rId21"/>
    <sheet name="수리계산서(Φ1500)" sheetId="27" r:id="rId22"/>
    <sheet name="NO.8+7(BOX)" sheetId="26" r:id="rId23"/>
    <sheet name="혼합석" sheetId="3" r:id="rId24"/>
    <sheet name="Sheet1" sheetId="28" r:id="rId25"/>
  </sheets>
  <externalReferences>
    <externalReference r:id="rId26"/>
  </externalReferences>
  <definedNames>
    <definedName name="_Fill" hidden="1">#REF!</definedName>
    <definedName name="_xlnm._FilterDatabase" localSheetId="12" hidden="1">'135+14'!$AR$1:$AS$85</definedName>
    <definedName name="_xlnm._FilterDatabase" localSheetId="14" hidden="1">'170+12'!$AR$1:$AS$85</definedName>
    <definedName name="_xlnm._FilterDatabase" localSheetId="11" hidden="1">최소관800!$AR$1:$AS$85</definedName>
    <definedName name="_Sort" hidden="1">#REF!</definedName>
    <definedName name="_xlnm.Print_Area" localSheetId="12">'135+14'!$A$1:$AQ$28</definedName>
    <definedName name="_xlnm.Print_Area" localSheetId="13">'138+17물넘이'!$A$1:$BD$28</definedName>
    <definedName name="_xlnm.Print_Area" localSheetId="14">'170+12'!$A$1:$AQ$28</definedName>
    <definedName name="_xlnm.Print_Area" localSheetId="22">'NO.8+7(BOX)'!$C$4:$Z$33</definedName>
    <definedName name="_xlnm.Print_Area" localSheetId="8">거리이정표!$A$1:$R$25</definedName>
    <definedName name="_xlnm.Print_Area" localSheetId="18">사방공!$A$1:$J$10</definedName>
    <definedName name="_xlnm.Print_Area" localSheetId="4">수량집계표!$A$1:$R$38</definedName>
    <definedName name="_xlnm.Print_Area" localSheetId="21">'수리계산서(Φ1500)'!$B$2:$X$25</definedName>
    <definedName name="_xlnm.Print_Area" localSheetId="16">'수리계산서(물넘이포장)'!$B$3:$AB$38</definedName>
    <definedName name="_xlnm.Print_Area" localSheetId="15">'수리계산서(최소관적용Φ1000)'!$B$2:$X$25</definedName>
    <definedName name="_xlnm.Print_Area" localSheetId="10">수리집수면적유역도!$B$2:$N$24</definedName>
    <definedName name="_xlnm.Print_Area" localSheetId="20">'자갈운반거리 및 단가 비교표'!$B$2:$G$5</definedName>
    <definedName name="_xlnm.Print_Area" localSheetId="2">총괄집계!$A$1:$H$19</definedName>
    <definedName name="_xlnm.Print_Area" localSheetId="11">최소관800!$A$1:$AQ$28</definedName>
    <definedName name="_xlnm.Print_Area" localSheetId="6">토적집계!$A$1:$G$32</definedName>
    <definedName name="_xlnm.Print_Area" localSheetId="7">토적표!$A$1:$AF$78</definedName>
    <definedName name="_xlnm.Print_Area" localSheetId="9">'파쇄암운반거리 및 단가 비교표'!$B$2:$H$6</definedName>
    <definedName name="_xlnm.Print_Area" localSheetId="0">표지!$A$1:$J$12</definedName>
    <definedName name="_xlnm.Print_Area" localSheetId="5">'표지(토공)'!$A$1:$J$12</definedName>
    <definedName name="_xlnm.Print_Area" localSheetId="23">혼합석!$A$1:$I$20</definedName>
    <definedName name="_xlnm.Print_Titles" localSheetId="1">구조물위치!$A:$B,구조물위치!$2:$5</definedName>
    <definedName name="_xlnm.Print_Titles" localSheetId="4">수량집계표!$A:$D,수량집계표!$3:$6</definedName>
    <definedName name="_xlnm.Print_Titles" localSheetId="7">토적표!$A:$B,토적표!$1:$3</definedName>
    <definedName name="콘크리트1" hidden="1">#REF!</definedName>
    <definedName name="콘크리트2" hidden="1">#REF!</definedName>
  </definedNames>
  <calcPr calcId="162913"/>
</workbook>
</file>

<file path=xl/calcChain.xml><?xml version="1.0" encoding="utf-8"?>
<calcChain xmlns="http://schemas.openxmlformats.org/spreadsheetml/2006/main">
  <c r="G37" i="7" l="1"/>
  <c r="J37" i="7"/>
  <c r="F25" i="34" l="1" a="1"/>
  <c r="F25" i="34" s="1"/>
  <c r="L24" i="34" s="1"/>
  <c r="L8" i="34" s="1"/>
  <c r="L6" i="34" s="1"/>
  <c r="L5" i="34" s="1"/>
  <c r="AK5" i="34" s="1"/>
  <c r="L18" i="34"/>
  <c r="L16" i="34" s="1"/>
  <c r="AN15" i="34"/>
  <c r="AP13" i="34"/>
  <c r="AO19" i="34" s="1"/>
  <c r="AC13" i="34"/>
  <c r="S13" i="34"/>
  <c r="AP12" i="34"/>
  <c r="T12" i="34"/>
  <c r="T18" i="34" s="1"/>
  <c r="AP10" i="34"/>
  <c r="AO21" i="34" s="1"/>
  <c r="AC9" i="34"/>
  <c r="Q9" i="34"/>
  <c r="T21" i="34" s="1"/>
  <c r="L9" i="34"/>
  <c r="Z8" i="34"/>
  <c r="AD12" i="34" s="1"/>
  <c r="S8" i="34"/>
  <c r="Q21" i="34" s="1"/>
  <c r="P8" i="34"/>
  <c r="R12" i="34" s="1"/>
  <c r="AB5" i="34"/>
  <c r="AA9" i="34" s="1"/>
  <c r="R5" i="34"/>
  <c r="F25" i="33" a="1"/>
  <c r="F25" i="33" s="1"/>
  <c r="L23" i="33" s="1"/>
  <c r="L8" i="33" s="1"/>
  <c r="L6" i="33" s="1"/>
  <c r="L5" i="33" s="1"/>
  <c r="S23" i="33"/>
  <c r="P25" i="33" s="1"/>
  <c r="S20" i="33"/>
  <c r="P20" i="33"/>
  <c r="S18" i="33"/>
  <c r="AM17" i="33"/>
  <c r="AI17" i="33"/>
  <c r="L17" i="33"/>
  <c r="AM15" i="33"/>
  <c r="AC15" i="33"/>
  <c r="AC17" i="33" s="1"/>
  <c r="L15" i="33"/>
  <c r="S14" i="33"/>
  <c r="Q14" i="33"/>
  <c r="AN13" i="33"/>
  <c r="AD13" i="33"/>
  <c r="S13" i="33"/>
  <c r="Q13" i="33"/>
  <c r="AN11" i="33"/>
  <c r="AC11" i="33"/>
  <c r="AD10" i="33"/>
  <c r="AC10" i="33"/>
  <c r="AB10" i="33"/>
  <c r="L9" i="33"/>
  <c r="R8" i="33"/>
  <c r="P18" i="33" s="1"/>
  <c r="R7" i="33"/>
  <c r="F25" i="32" a="1"/>
  <c r="F25" i="32" s="1"/>
  <c r="L24" i="32" s="1"/>
  <c r="L8" i="32" s="1"/>
  <c r="L6" i="32" s="1"/>
  <c r="L5" i="32" s="1"/>
  <c r="AK5" i="32" s="1"/>
  <c r="Q21" i="32"/>
  <c r="L18" i="32"/>
  <c r="L16" i="32" s="1"/>
  <c r="AN15" i="32"/>
  <c r="AC13" i="32"/>
  <c r="S13" i="32"/>
  <c r="AP12" i="32"/>
  <c r="T12" i="32"/>
  <c r="T18" i="32" s="1"/>
  <c r="AP10" i="32"/>
  <c r="AC9" i="32"/>
  <c r="Q9" i="32"/>
  <c r="T21" i="32" s="1"/>
  <c r="L9" i="32"/>
  <c r="Z8" i="32"/>
  <c r="AD12" i="32" s="1"/>
  <c r="S8" i="32"/>
  <c r="Q18" i="32" s="1"/>
  <c r="P8" i="32"/>
  <c r="R12" i="32" s="1"/>
  <c r="AB5" i="32"/>
  <c r="AA9" i="32" s="1"/>
  <c r="R5" i="32"/>
  <c r="F25" i="31" a="1"/>
  <c r="F25" i="31" s="1"/>
  <c r="L24" i="31" s="1"/>
  <c r="L8" i="31" s="1"/>
  <c r="L6" i="31" s="1"/>
  <c r="L5" i="31" s="1"/>
  <c r="AK5" i="31" s="1"/>
  <c r="AA21" i="31"/>
  <c r="L18" i="31"/>
  <c r="L16" i="31"/>
  <c r="AN15" i="31"/>
  <c r="AP13" i="31"/>
  <c r="AO19" i="31" s="1"/>
  <c r="AC13" i="31"/>
  <c r="S13" i="31"/>
  <c r="AP12" i="31"/>
  <c r="T12" i="31"/>
  <c r="T18" i="31" s="1"/>
  <c r="AP10" i="31"/>
  <c r="AC9" i="31"/>
  <c r="AA9" i="31"/>
  <c r="AD12" i="31" s="1"/>
  <c r="Q9" i="31"/>
  <c r="L9" i="31"/>
  <c r="Z8" i="31"/>
  <c r="AB12" i="31" s="1"/>
  <c r="S8" i="31"/>
  <c r="T21" i="31" s="1"/>
  <c r="P8" i="31"/>
  <c r="R12" i="31" s="1"/>
  <c r="AB5" i="31"/>
  <c r="R5" i="31"/>
  <c r="AA18" i="34" l="1"/>
  <c r="AD18" i="34"/>
  <c r="AA18" i="31"/>
  <c r="AD18" i="31"/>
  <c r="Y6" i="33"/>
  <c r="AI6" i="33"/>
  <c r="S27" i="33"/>
  <c r="AO21" i="31"/>
  <c r="AK21" i="31"/>
  <c r="T24" i="32"/>
  <c r="Q24" i="32"/>
  <c r="AI21" i="33"/>
  <c r="Q24" i="34"/>
  <c r="T24" i="34"/>
  <c r="Q24" i="31"/>
  <c r="T24" i="31"/>
  <c r="AD21" i="32"/>
  <c r="AB12" i="32"/>
  <c r="AA21" i="32"/>
  <c r="AA21" i="34"/>
  <c r="AD21" i="34"/>
  <c r="AD18" i="32"/>
  <c r="AA18" i="32"/>
  <c r="Y21" i="33"/>
  <c r="Y19" i="33"/>
  <c r="AK25" i="34"/>
  <c r="AK23" i="34"/>
  <c r="Y17" i="33"/>
  <c r="S25" i="33"/>
  <c r="R27" i="33" s="1"/>
  <c r="S28" i="33" s="1"/>
  <c r="Q18" i="34"/>
  <c r="AD21" i="31"/>
  <c r="AI19" i="33"/>
  <c r="P23" i="33"/>
  <c r="AB12" i="34"/>
  <c r="AK18" i="34"/>
  <c r="AK21" i="34"/>
  <c r="AK18" i="31"/>
  <c r="AP13" i="32"/>
  <c r="Q18" i="31"/>
  <c r="Q21" i="31"/>
  <c r="T21" i="2"/>
  <c r="E17" i="5" s="1"/>
  <c r="R21" i="2"/>
  <c r="E16" i="5" s="1"/>
  <c r="G16" i="5" s="1"/>
  <c r="G17" i="5"/>
  <c r="P23" i="12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O30" i="11"/>
  <c r="N31" i="11"/>
  <c r="N56" i="11"/>
  <c r="N57" i="11"/>
  <c r="N75" i="11"/>
  <c r="N4" i="11"/>
  <c r="K6" i="11"/>
  <c r="K29" i="11"/>
  <c r="K37" i="11"/>
  <c r="K39" i="11"/>
  <c r="K47" i="11"/>
  <c r="K61" i="11"/>
  <c r="K62" i="11"/>
  <c r="K63" i="11"/>
  <c r="K69" i="11"/>
  <c r="K4" i="11"/>
  <c r="O7" i="11"/>
  <c r="R7" i="11" s="1"/>
  <c r="H8" i="11"/>
  <c r="H13" i="11"/>
  <c r="H24" i="11"/>
  <c r="O29" i="11"/>
  <c r="R29" i="11" s="1"/>
  <c r="H30" i="11"/>
  <c r="H41" i="11"/>
  <c r="H65" i="11"/>
  <c r="H67" i="11"/>
  <c r="O67" i="11" s="1"/>
  <c r="E13" i="11"/>
  <c r="E51" i="11"/>
  <c r="E61" i="11"/>
  <c r="N21" i="2"/>
  <c r="C21" i="7" s="1"/>
  <c r="H22" i="7" s="1"/>
  <c r="M21" i="2"/>
  <c r="C19" i="7"/>
  <c r="H20" i="7" s="1"/>
  <c r="L23" i="7"/>
  <c r="J12" i="2"/>
  <c r="G16" i="12"/>
  <c r="G10" i="12"/>
  <c r="K15" i="12"/>
  <c r="K12" i="12"/>
  <c r="K9" i="12"/>
  <c r="G6" i="29"/>
  <c r="G5" i="29"/>
  <c r="G4" i="29"/>
  <c r="D29" i="7"/>
  <c r="B29" i="7"/>
  <c r="D15" i="7"/>
  <c r="G21" i="2"/>
  <c r="C15" i="7" s="1"/>
  <c r="L16" i="7" s="1"/>
  <c r="B15" i="7"/>
  <c r="D11" i="7"/>
  <c r="B11" i="7"/>
  <c r="D9" i="7"/>
  <c r="B9" i="7"/>
  <c r="E21" i="2"/>
  <c r="C11" i="7"/>
  <c r="L12" i="7" s="1"/>
  <c r="K12" i="7"/>
  <c r="D21" i="2"/>
  <c r="C9" i="7"/>
  <c r="O10" i="7" s="1"/>
  <c r="F10" i="7"/>
  <c r="D68" i="11"/>
  <c r="E68" i="11"/>
  <c r="G68" i="11"/>
  <c r="H68" i="11"/>
  <c r="O68" i="11"/>
  <c r="J68" i="11"/>
  <c r="K68" i="11" s="1"/>
  <c r="M68" i="11"/>
  <c r="N68" i="11"/>
  <c r="Q68" i="11"/>
  <c r="X68" i="11"/>
  <c r="Z68" i="11"/>
  <c r="AB68" i="11"/>
  <c r="AD68" i="11"/>
  <c r="AF68" i="11"/>
  <c r="D69" i="11"/>
  <c r="E69" i="11"/>
  <c r="G69" i="11"/>
  <c r="H69" i="11"/>
  <c r="J69" i="11"/>
  <c r="M69" i="11"/>
  <c r="N69" i="11"/>
  <c r="Q69" i="11"/>
  <c r="X69" i="11"/>
  <c r="Z69" i="11"/>
  <c r="AB69" i="11"/>
  <c r="AD69" i="11"/>
  <c r="AF69" i="11"/>
  <c r="D70" i="11"/>
  <c r="E70" i="11"/>
  <c r="G70" i="11"/>
  <c r="H70" i="11" s="1"/>
  <c r="J70" i="11"/>
  <c r="K70" i="11"/>
  <c r="M70" i="11"/>
  <c r="N70" i="11"/>
  <c r="Q70" i="11"/>
  <c r="X70" i="11"/>
  <c r="Z70" i="11"/>
  <c r="AB70" i="11"/>
  <c r="AD70" i="11"/>
  <c r="AF70" i="11"/>
  <c r="D71" i="11"/>
  <c r="E71" i="11"/>
  <c r="O71" i="11" s="1"/>
  <c r="G71" i="11"/>
  <c r="H71" i="11"/>
  <c r="J71" i="11"/>
  <c r="K71" i="11" s="1"/>
  <c r="M71" i="11"/>
  <c r="N71" i="11" s="1"/>
  <c r="Q71" i="11"/>
  <c r="X71" i="11"/>
  <c r="Z71" i="11"/>
  <c r="AB71" i="11"/>
  <c r="AD71" i="11"/>
  <c r="AF71" i="11"/>
  <c r="D72" i="11"/>
  <c r="E72" i="11"/>
  <c r="G72" i="11"/>
  <c r="H72" i="11"/>
  <c r="O72" i="11" s="1"/>
  <c r="J72" i="11"/>
  <c r="K72" i="11"/>
  <c r="M72" i="11"/>
  <c r="N72" i="11"/>
  <c r="Q72" i="11"/>
  <c r="X72" i="11"/>
  <c r="Z72" i="11"/>
  <c r="AB72" i="11"/>
  <c r="AD72" i="11"/>
  <c r="AF72" i="11"/>
  <c r="D73" i="11"/>
  <c r="E73" i="11" s="1"/>
  <c r="O73" i="11" s="1"/>
  <c r="G73" i="11"/>
  <c r="H73" i="11"/>
  <c r="J73" i="11"/>
  <c r="K73" i="11"/>
  <c r="M73" i="11"/>
  <c r="N73" i="11" s="1"/>
  <c r="Q73" i="11"/>
  <c r="X73" i="11"/>
  <c r="Z73" i="11"/>
  <c r="AB73" i="11"/>
  <c r="AD73" i="11"/>
  <c r="AF73" i="11"/>
  <c r="D74" i="11"/>
  <c r="E74" i="11"/>
  <c r="G74" i="11"/>
  <c r="H74" i="11"/>
  <c r="J74" i="11"/>
  <c r="K74" i="11" s="1"/>
  <c r="M74" i="11"/>
  <c r="N74" i="11"/>
  <c r="Q74" i="11"/>
  <c r="X74" i="11"/>
  <c r="Z74" i="11"/>
  <c r="AB74" i="11"/>
  <c r="AD74" i="11"/>
  <c r="AF74" i="11"/>
  <c r="D75" i="11"/>
  <c r="E75" i="11"/>
  <c r="G75" i="11"/>
  <c r="H75" i="11" s="1"/>
  <c r="J75" i="11"/>
  <c r="K75" i="11"/>
  <c r="M75" i="11"/>
  <c r="Q75" i="11"/>
  <c r="X75" i="11"/>
  <c r="Z75" i="11"/>
  <c r="AB75" i="11"/>
  <c r="AD75" i="11"/>
  <c r="AF75" i="11"/>
  <c r="D76" i="11"/>
  <c r="E76" i="11"/>
  <c r="G76" i="11"/>
  <c r="H76" i="11"/>
  <c r="J76" i="11"/>
  <c r="K76" i="11"/>
  <c r="M76" i="11"/>
  <c r="N76" i="11" s="1"/>
  <c r="Q76" i="11"/>
  <c r="X76" i="11"/>
  <c r="Z76" i="11"/>
  <c r="AB76" i="11"/>
  <c r="AD76" i="11"/>
  <c r="AF76" i="11"/>
  <c r="D77" i="11"/>
  <c r="E77" i="11" s="1"/>
  <c r="G77" i="11"/>
  <c r="H77" i="11"/>
  <c r="J77" i="11"/>
  <c r="K77" i="11" s="1"/>
  <c r="M77" i="11"/>
  <c r="N77" i="11" s="1"/>
  <c r="Q77" i="11"/>
  <c r="X77" i="11"/>
  <c r="Z77" i="11"/>
  <c r="AB77" i="11"/>
  <c r="AD77" i="11"/>
  <c r="AF77" i="11"/>
  <c r="D35" i="7"/>
  <c r="A35" i="7"/>
  <c r="D33" i="7"/>
  <c r="W21" i="2"/>
  <c r="C35" i="7" s="1"/>
  <c r="S21" i="2"/>
  <c r="E15" i="5" s="1"/>
  <c r="G15" i="5" s="1"/>
  <c r="K6" i="12"/>
  <c r="K17" i="2"/>
  <c r="J17" i="2"/>
  <c r="K16" i="2"/>
  <c r="K21" i="2" s="1"/>
  <c r="J16" i="2"/>
  <c r="K15" i="2"/>
  <c r="J15" i="2"/>
  <c r="H22" i="12"/>
  <c r="N22" i="12" s="1"/>
  <c r="F5" i="30"/>
  <c r="F4" i="30"/>
  <c r="D27" i="7"/>
  <c r="B27" i="7"/>
  <c r="A27" i="7"/>
  <c r="D13" i="7"/>
  <c r="B13" i="7"/>
  <c r="P21" i="2"/>
  <c r="C25" i="7"/>
  <c r="I26" i="7" s="1"/>
  <c r="F21" i="2"/>
  <c r="C13" i="7"/>
  <c r="O14" i="7" s="1"/>
  <c r="J8" i="2"/>
  <c r="L21" i="2"/>
  <c r="J5" i="11"/>
  <c r="K5" i="11" s="1"/>
  <c r="D37" i="11"/>
  <c r="E37" i="11"/>
  <c r="G37" i="11"/>
  <c r="H37" i="11"/>
  <c r="O37" i="11" s="1"/>
  <c r="R37" i="11" s="1"/>
  <c r="J37" i="11"/>
  <c r="M37" i="11"/>
  <c r="N37" i="11" s="1"/>
  <c r="Q37" i="11"/>
  <c r="X37" i="11"/>
  <c r="Z37" i="11"/>
  <c r="AB37" i="11"/>
  <c r="AD37" i="11"/>
  <c r="AF37" i="11"/>
  <c r="D38" i="11"/>
  <c r="E38" i="11"/>
  <c r="G38" i="11"/>
  <c r="H38" i="11"/>
  <c r="O38" i="11" s="1"/>
  <c r="J38" i="11"/>
  <c r="K38" i="11"/>
  <c r="M38" i="11"/>
  <c r="N38" i="11" s="1"/>
  <c r="Q38" i="11"/>
  <c r="X38" i="11"/>
  <c r="Z38" i="11"/>
  <c r="Z78" i="11" s="1"/>
  <c r="E6" i="10" s="1"/>
  <c r="AB38" i="11"/>
  <c r="AD38" i="11"/>
  <c r="AF38" i="11"/>
  <c r="D39" i="11"/>
  <c r="E39" i="11"/>
  <c r="G39" i="11"/>
  <c r="H39" i="11" s="1"/>
  <c r="O39" i="11" s="1"/>
  <c r="J39" i="11"/>
  <c r="M39" i="11"/>
  <c r="N39" i="11" s="1"/>
  <c r="Q39" i="11"/>
  <c r="X39" i="11"/>
  <c r="Z39" i="11"/>
  <c r="AB39" i="11"/>
  <c r="AD39" i="11"/>
  <c r="AF39" i="11"/>
  <c r="D40" i="11"/>
  <c r="E40" i="11"/>
  <c r="O40" i="11"/>
  <c r="G40" i="11"/>
  <c r="H40" i="11"/>
  <c r="J40" i="11"/>
  <c r="K40" i="11"/>
  <c r="M40" i="11"/>
  <c r="N40" i="11" s="1"/>
  <c r="Q40" i="11"/>
  <c r="X40" i="11"/>
  <c r="Z40" i="11"/>
  <c r="AB40" i="11"/>
  <c r="AD40" i="11"/>
  <c r="AF40" i="11"/>
  <c r="D41" i="11"/>
  <c r="E41" i="11" s="1"/>
  <c r="G41" i="11"/>
  <c r="J41" i="11"/>
  <c r="K41" i="11" s="1"/>
  <c r="M41" i="11"/>
  <c r="N41" i="11" s="1"/>
  <c r="Q41" i="11"/>
  <c r="X41" i="11"/>
  <c r="Z41" i="11"/>
  <c r="AB41" i="11"/>
  <c r="AD41" i="11"/>
  <c r="AF41" i="11"/>
  <c r="D42" i="11"/>
  <c r="E42" i="11" s="1"/>
  <c r="G42" i="11"/>
  <c r="H42" i="11" s="1"/>
  <c r="O42" i="11" s="1"/>
  <c r="J42" i="11"/>
  <c r="K42" i="11" s="1"/>
  <c r="M42" i="11"/>
  <c r="N42" i="11" s="1"/>
  <c r="Q42" i="11"/>
  <c r="X42" i="11"/>
  <c r="Z42" i="11"/>
  <c r="AB42" i="11"/>
  <c r="AD42" i="11"/>
  <c r="AF42" i="11"/>
  <c r="D43" i="11"/>
  <c r="E43" i="11"/>
  <c r="G43" i="11"/>
  <c r="H43" i="11" s="1"/>
  <c r="J43" i="11"/>
  <c r="K43" i="11" s="1"/>
  <c r="M43" i="11"/>
  <c r="N43" i="11" s="1"/>
  <c r="Q43" i="11"/>
  <c r="X43" i="11"/>
  <c r="Z43" i="11"/>
  <c r="AB43" i="11"/>
  <c r="AD43" i="11"/>
  <c r="AF43" i="11"/>
  <c r="D44" i="11"/>
  <c r="E44" i="11" s="1"/>
  <c r="G44" i="11"/>
  <c r="H44" i="11" s="1"/>
  <c r="J44" i="11"/>
  <c r="K44" i="11" s="1"/>
  <c r="M44" i="11"/>
  <c r="N44" i="11"/>
  <c r="Q44" i="11"/>
  <c r="X44" i="11"/>
  <c r="Z44" i="11"/>
  <c r="AB44" i="11"/>
  <c r="AD44" i="11"/>
  <c r="AF44" i="11"/>
  <c r="D45" i="11"/>
  <c r="E45" i="11"/>
  <c r="G45" i="11"/>
  <c r="H45" i="11"/>
  <c r="J45" i="11"/>
  <c r="K45" i="11" s="1"/>
  <c r="M45" i="11"/>
  <c r="N45" i="11" s="1"/>
  <c r="Q45" i="11"/>
  <c r="X45" i="11"/>
  <c r="Z45" i="11"/>
  <c r="AB45" i="11"/>
  <c r="AD45" i="11"/>
  <c r="AF45" i="11"/>
  <c r="D46" i="11"/>
  <c r="E46" i="11" s="1"/>
  <c r="O46" i="11" s="1"/>
  <c r="G46" i="11"/>
  <c r="H46" i="11"/>
  <c r="J46" i="11"/>
  <c r="K46" i="11" s="1"/>
  <c r="M46" i="11"/>
  <c r="N46" i="11" s="1"/>
  <c r="Q46" i="11"/>
  <c r="X46" i="11"/>
  <c r="Z46" i="11"/>
  <c r="AB46" i="11"/>
  <c r="AD46" i="11"/>
  <c r="AF46" i="11"/>
  <c r="D47" i="11"/>
  <c r="E47" i="11"/>
  <c r="O47" i="11" s="1"/>
  <c r="G47" i="11"/>
  <c r="H47" i="11" s="1"/>
  <c r="J47" i="11"/>
  <c r="M47" i="11"/>
  <c r="N47" i="11" s="1"/>
  <c r="Q47" i="11"/>
  <c r="X47" i="11"/>
  <c r="Z47" i="11"/>
  <c r="AB47" i="11"/>
  <c r="AD47" i="11"/>
  <c r="AF47" i="11"/>
  <c r="D48" i="11"/>
  <c r="E48" i="11"/>
  <c r="G48" i="11"/>
  <c r="H48" i="11" s="1"/>
  <c r="O48" i="11" s="1"/>
  <c r="J48" i="11"/>
  <c r="K48" i="11" s="1"/>
  <c r="M48" i="11"/>
  <c r="N48" i="11"/>
  <c r="Q48" i="11"/>
  <c r="X48" i="11"/>
  <c r="Z48" i="11"/>
  <c r="AB48" i="11"/>
  <c r="AD48" i="11"/>
  <c r="AF48" i="11"/>
  <c r="D49" i="11"/>
  <c r="E49" i="11" s="1"/>
  <c r="G49" i="11"/>
  <c r="H49" i="11" s="1"/>
  <c r="O49" i="11"/>
  <c r="J49" i="11"/>
  <c r="K49" i="11" s="1"/>
  <c r="M49" i="11"/>
  <c r="N49" i="11" s="1"/>
  <c r="Q49" i="11"/>
  <c r="X49" i="11"/>
  <c r="Z49" i="11"/>
  <c r="AB49" i="11"/>
  <c r="AD49" i="11"/>
  <c r="AF49" i="11"/>
  <c r="D50" i="11"/>
  <c r="E50" i="11" s="1"/>
  <c r="G50" i="11"/>
  <c r="H50" i="11"/>
  <c r="O50" i="11" s="1"/>
  <c r="J50" i="11"/>
  <c r="K50" i="11" s="1"/>
  <c r="M50" i="11"/>
  <c r="N50" i="11" s="1"/>
  <c r="Q50" i="11"/>
  <c r="X50" i="11"/>
  <c r="Z50" i="11"/>
  <c r="AB50" i="11"/>
  <c r="AD50" i="11"/>
  <c r="AF50" i="11"/>
  <c r="D51" i="11"/>
  <c r="G51" i="11"/>
  <c r="H51" i="11"/>
  <c r="J51" i="11"/>
  <c r="K51" i="11"/>
  <c r="M51" i="11"/>
  <c r="N51" i="11" s="1"/>
  <c r="Q51" i="11"/>
  <c r="X51" i="11"/>
  <c r="Z51" i="11"/>
  <c r="AB51" i="11"/>
  <c r="AD51" i="11"/>
  <c r="AF51" i="11"/>
  <c r="D52" i="11"/>
  <c r="E52" i="11"/>
  <c r="G52" i="11"/>
  <c r="H52" i="11" s="1"/>
  <c r="J52" i="11"/>
  <c r="K52" i="11" s="1"/>
  <c r="M52" i="11"/>
  <c r="N52" i="11" s="1"/>
  <c r="Q52" i="11"/>
  <c r="X52" i="11"/>
  <c r="Z52" i="11"/>
  <c r="AB52" i="11"/>
  <c r="AD52" i="11"/>
  <c r="AF52" i="11"/>
  <c r="D53" i="11"/>
  <c r="E53" i="11" s="1"/>
  <c r="G53" i="11"/>
  <c r="H53" i="11" s="1"/>
  <c r="J53" i="11"/>
  <c r="K53" i="11"/>
  <c r="M53" i="11"/>
  <c r="N53" i="11" s="1"/>
  <c r="Q53" i="11"/>
  <c r="X53" i="11"/>
  <c r="Z53" i="11"/>
  <c r="AB53" i="11"/>
  <c r="AD53" i="11"/>
  <c r="AF53" i="11"/>
  <c r="D54" i="11"/>
  <c r="E54" i="11"/>
  <c r="G54" i="11"/>
  <c r="H54" i="11"/>
  <c r="J54" i="11"/>
  <c r="K54" i="11"/>
  <c r="M54" i="11"/>
  <c r="N54" i="11"/>
  <c r="Q54" i="11"/>
  <c r="X54" i="11"/>
  <c r="Z54" i="11"/>
  <c r="AB54" i="11"/>
  <c r="AD54" i="11"/>
  <c r="AF54" i="11"/>
  <c r="D55" i="11"/>
  <c r="E55" i="11"/>
  <c r="G55" i="11"/>
  <c r="H55" i="11"/>
  <c r="O55" i="11" s="1"/>
  <c r="S55" i="11" s="1"/>
  <c r="J55" i="11"/>
  <c r="K55" i="11"/>
  <c r="M55" i="11"/>
  <c r="N55" i="11" s="1"/>
  <c r="Q55" i="11"/>
  <c r="X55" i="11"/>
  <c r="Z55" i="11"/>
  <c r="AB55" i="11"/>
  <c r="AD55" i="11"/>
  <c r="AF55" i="11"/>
  <c r="D56" i="11"/>
  <c r="E56" i="11"/>
  <c r="G56" i="11"/>
  <c r="H56" i="11" s="1"/>
  <c r="J56" i="11"/>
  <c r="K56" i="11" s="1"/>
  <c r="M56" i="11"/>
  <c r="Q56" i="11"/>
  <c r="X56" i="11"/>
  <c r="Z56" i="11"/>
  <c r="AB56" i="11"/>
  <c r="AD56" i="11"/>
  <c r="AF56" i="11"/>
  <c r="D57" i="11"/>
  <c r="E57" i="11"/>
  <c r="G57" i="11"/>
  <c r="H57" i="11"/>
  <c r="J57" i="11"/>
  <c r="K57" i="11" s="1"/>
  <c r="M57" i="11"/>
  <c r="Q57" i="11"/>
  <c r="X57" i="11"/>
  <c r="Z57" i="11"/>
  <c r="AB57" i="11"/>
  <c r="AD57" i="11"/>
  <c r="AF57" i="11"/>
  <c r="D58" i="11"/>
  <c r="E58" i="11"/>
  <c r="G58" i="11"/>
  <c r="H58" i="11"/>
  <c r="J58" i="11"/>
  <c r="K58" i="11"/>
  <c r="M58" i="11"/>
  <c r="N58" i="11" s="1"/>
  <c r="Q58" i="11"/>
  <c r="X58" i="11"/>
  <c r="Z58" i="11"/>
  <c r="AB58" i="11"/>
  <c r="AD58" i="11"/>
  <c r="AF58" i="11"/>
  <c r="D59" i="11"/>
  <c r="E59" i="11" s="1"/>
  <c r="G59" i="11"/>
  <c r="H59" i="11" s="1"/>
  <c r="O59" i="11" s="1"/>
  <c r="S59" i="11" s="1"/>
  <c r="J59" i="11"/>
  <c r="K59" i="11" s="1"/>
  <c r="M59" i="11"/>
  <c r="N59" i="11" s="1"/>
  <c r="Q59" i="11"/>
  <c r="X59" i="11"/>
  <c r="Z59" i="11"/>
  <c r="AB59" i="11"/>
  <c r="AD59" i="11"/>
  <c r="AF59" i="11"/>
  <c r="D60" i="11"/>
  <c r="E60" i="11" s="1"/>
  <c r="G60" i="11"/>
  <c r="H60" i="11" s="1"/>
  <c r="J60" i="11"/>
  <c r="K60" i="11"/>
  <c r="M60" i="11"/>
  <c r="N60" i="11" s="1"/>
  <c r="Q60" i="11"/>
  <c r="X60" i="11"/>
  <c r="Z60" i="11"/>
  <c r="AB60" i="11"/>
  <c r="AD60" i="11"/>
  <c r="AF60" i="11"/>
  <c r="D61" i="11"/>
  <c r="G61" i="11"/>
  <c r="H61" i="11" s="1"/>
  <c r="J61" i="11"/>
  <c r="M61" i="11"/>
  <c r="N61" i="11" s="1"/>
  <c r="Q61" i="11"/>
  <c r="X61" i="11"/>
  <c r="Z61" i="11"/>
  <c r="AB61" i="11"/>
  <c r="AD61" i="11"/>
  <c r="AF61" i="11"/>
  <c r="D62" i="11"/>
  <c r="E62" i="11"/>
  <c r="O62" i="11" s="1"/>
  <c r="S62" i="11" s="1"/>
  <c r="G62" i="11"/>
  <c r="H62" i="11"/>
  <c r="J62" i="11"/>
  <c r="M62" i="11"/>
  <c r="N62" i="11" s="1"/>
  <c r="Q62" i="11"/>
  <c r="X62" i="11"/>
  <c r="Z62" i="11"/>
  <c r="AB62" i="11"/>
  <c r="AD62" i="11"/>
  <c r="AF62" i="11"/>
  <c r="D63" i="11"/>
  <c r="E63" i="11"/>
  <c r="O63" i="11" s="1"/>
  <c r="G63" i="11"/>
  <c r="H63" i="11"/>
  <c r="J63" i="11"/>
  <c r="M63" i="11"/>
  <c r="N63" i="11" s="1"/>
  <c r="Q63" i="11"/>
  <c r="X63" i="11"/>
  <c r="Z63" i="11"/>
  <c r="AB63" i="11"/>
  <c r="AD63" i="11"/>
  <c r="AF63" i="11"/>
  <c r="D64" i="11"/>
  <c r="E64" i="11"/>
  <c r="G64" i="11"/>
  <c r="H64" i="11"/>
  <c r="J64" i="11"/>
  <c r="K64" i="11" s="1"/>
  <c r="M64" i="11"/>
  <c r="N64" i="11"/>
  <c r="Q64" i="11"/>
  <c r="X64" i="11"/>
  <c r="Z64" i="11"/>
  <c r="AB64" i="11"/>
  <c r="AD64" i="11"/>
  <c r="AF64" i="11"/>
  <c r="D65" i="11"/>
  <c r="E65" i="11" s="1"/>
  <c r="O65" i="11" s="1"/>
  <c r="R65" i="11" s="1"/>
  <c r="G65" i="11"/>
  <c r="J65" i="11"/>
  <c r="K65" i="11" s="1"/>
  <c r="M65" i="11"/>
  <c r="N65" i="11"/>
  <c r="Q65" i="11"/>
  <c r="X65" i="11"/>
  <c r="Z65" i="11"/>
  <c r="AB65" i="11"/>
  <c r="AD65" i="11"/>
  <c r="AF65" i="11"/>
  <c r="D66" i="11"/>
  <c r="E66" i="11" s="1"/>
  <c r="G66" i="11"/>
  <c r="H66" i="11" s="1"/>
  <c r="J66" i="11"/>
  <c r="K66" i="11" s="1"/>
  <c r="M66" i="11"/>
  <c r="N66" i="11"/>
  <c r="Q66" i="11"/>
  <c r="X66" i="11"/>
  <c r="Z66" i="11"/>
  <c r="AB66" i="11"/>
  <c r="AD66" i="11"/>
  <c r="AF66" i="11"/>
  <c r="D67" i="11"/>
  <c r="E67" i="11"/>
  <c r="G67" i="11"/>
  <c r="J67" i="11"/>
  <c r="K67" i="11" s="1"/>
  <c r="M67" i="11"/>
  <c r="N67" i="11"/>
  <c r="Q67" i="11"/>
  <c r="X67" i="11"/>
  <c r="Z67" i="11"/>
  <c r="AB67" i="11"/>
  <c r="AD67" i="11"/>
  <c r="AF67" i="11"/>
  <c r="D14" i="11"/>
  <c r="E14" i="11"/>
  <c r="E9" i="4"/>
  <c r="H23" i="12"/>
  <c r="H20" i="12"/>
  <c r="H21" i="12"/>
  <c r="D31" i="7"/>
  <c r="A31" i="7"/>
  <c r="D7" i="7"/>
  <c r="B7" i="7"/>
  <c r="K19" i="2"/>
  <c r="J19" i="2"/>
  <c r="K18" i="2"/>
  <c r="J18" i="2"/>
  <c r="K11" i="2"/>
  <c r="J11" i="2"/>
  <c r="K9" i="2"/>
  <c r="K8" i="2"/>
  <c r="K6" i="2"/>
  <c r="F16" i="9"/>
  <c r="C23" i="9"/>
  <c r="C16" i="9"/>
  <c r="H9" i="9"/>
  <c r="C25" i="9"/>
  <c r="C18" i="9"/>
  <c r="AB21" i="11"/>
  <c r="D29" i="11"/>
  <c r="E29" i="11" s="1"/>
  <c r="G29" i="11"/>
  <c r="H29" i="11" s="1"/>
  <c r="J29" i="11"/>
  <c r="M29" i="11"/>
  <c r="N29" i="11" s="1"/>
  <c r="Q29" i="11"/>
  <c r="X29" i="11"/>
  <c r="Z29" i="11"/>
  <c r="AB29" i="11"/>
  <c r="AD29" i="11"/>
  <c r="AF29" i="11"/>
  <c r="D30" i="11"/>
  <c r="E30" i="11" s="1"/>
  <c r="G30" i="11"/>
  <c r="J30" i="11"/>
  <c r="K30" i="11"/>
  <c r="M30" i="11"/>
  <c r="N30" i="11" s="1"/>
  <c r="Q30" i="11"/>
  <c r="X30" i="11"/>
  <c r="Z30" i="11"/>
  <c r="AB30" i="11"/>
  <c r="AD30" i="11"/>
  <c r="AF30" i="11"/>
  <c r="D31" i="11"/>
  <c r="E31" i="11"/>
  <c r="G31" i="11"/>
  <c r="H31" i="11"/>
  <c r="J31" i="11"/>
  <c r="K31" i="11" s="1"/>
  <c r="M31" i="11"/>
  <c r="Q31" i="11"/>
  <c r="X31" i="11"/>
  <c r="Z31" i="11"/>
  <c r="AB31" i="11"/>
  <c r="AD31" i="11"/>
  <c r="AF31" i="11"/>
  <c r="D32" i="11"/>
  <c r="E32" i="11" s="1"/>
  <c r="G32" i="11"/>
  <c r="H32" i="11"/>
  <c r="J32" i="11"/>
  <c r="K32" i="11" s="1"/>
  <c r="M32" i="11"/>
  <c r="N32" i="11" s="1"/>
  <c r="Q32" i="11"/>
  <c r="X32" i="11"/>
  <c r="Z32" i="11"/>
  <c r="AB32" i="11"/>
  <c r="AD32" i="11"/>
  <c r="AF32" i="11"/>
  <c r="D33" i="11"/>
  <c r="E33" i="11"/>
  <c r="G33" i="11"/>
  <c r="H33" i="11" s="1"/>
  <c r="J33" i="11"/>
  <c r="K33" i="11" s="1"/>
  <c r="M33" i="11"/>
  <c r="N33" i="11" s="1"/>
  <c r="Q33" i="11"/>
  <c r="X33" i="11"/>
  <c r="Z33" i="11"/>
  <c r="AB33" i="11"/>
  <c r="AD33" i="11"/>
  <c r="AF33" i="11"/>
  <c r="D34" i="11"/>
  <c r="E34" i="11" s="1"/>
  <c r="G34" i="11"/>
  <c r="H34" i="11" s="1"/>
  <c r="J34" i="11"/>
  <c r="K34" i="11" s="1"/>
  <c r="M34" i="11"/>
  <c r="N34" i="11"/>
  <c r="Q34" i="11"/>
  <c r="X34" i="11"/>
  <c r="Z34" i="11"/>
  <c r="AB34" i="11"/>
  <c r="AD34" i="11"/>
  <c r="AF34" i="11"/>
  <c r="D35" i="11"/>
  <c r="E35" i="11" s="1"/>
  <c r="G35" i="11"/>
  <c r="H35" i="11" s="1"/>
  <c r="J35" i="11"/>
  <c r="K35" i="11"/>
  <c r="M35" i="11"/>
  <c r="N35" i="11" s="1"/>
  <c r="Q35" i="11"/>
  <c r="X35" i="11"/>
  <c r="Z35" i="11"/>
  <c r="AB35" i="11"/>
  <c r="AD35" i="11"/>
  <c r="AF35" i="11"/>
  <c r="D36" i="11"/>
  <c r="E36" i="11"/>
  <c r="G36" i="11"/>
  <c r="H36" i="11"/>
  <c r="J36" i="11"/>
  <c r="K36" i="11"/>
  <c r="M36" i="11"/>
  <c r="N36" i="11"/>
  <c r="Q36" i="11"/>
  <c r="X36" i="11"/>
  <c r="Z36" i="11"/>
  <c r="AB36" i="11"/>
  <c r="AD36" i="11"/>
  <c r="AF36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M15" i="27"/>
  <c r="M13" i="27"/>
  <c r="M19" i="27" s="1"/>
  <c r="M7" i="27" s="1"/>
  <c r="M5" i="27" s="1"/>
  <c r="M4" i="27"/>
  <c r="R4" i="27"/>
  <c r="W14" i="27"/>
  <c r="W12" i="27"/>
  <c r="W10" i="27"/>
  <c r="N8" i="27"/>
  <c r="O24" i="26"/>
  <c r="O22" i="26"/>
  <c r="O30" i="26" s="1"/>
  <c r="O13" i="26" s="1"/>
  <c r="O11" i="26" s="1"/>
  <c r="O10" i="26" s="1"/>
  <c r="T8" i="26" s="1"/>
  <c r="Y18" i="26"/>
  <c r="Y17" i="26"/>
  <c r="X15" i="26"/>
  <c r="T15" i="26"/>
  <c r="W15" i="26" s="1"/>
  <c r="Y15" i="26"/>
  <c r="W14" i="26"/>
  <c r="P14" i="26"/>
  <c r="J6" i="2"/>
  <c r="C24" i="9"/>
  <c r="C17" i="9"/>
  <c r="H6" i="4"/>
  <c r="F11" i="3"/>
  <c r="G11" i="3"/>
  <c r="X21" i="2"/>
  <c r="V21" i="2"/>
  <c r="C33" i="7"/>
  <c r="O34" i="7" s="1"/>
  <c r="U21" i="2"/>
  <c r="Q21" i="2"/>
  <c r="E14" i="5" s="1"/>
  <c r="G14" i="5"/>
  <c r="O21" i="2"/>
  <c r="C23" i="7"/>
  <c r="I24" i="7" s="1"/>
  <c r="I21" i="2"/>
  <c r="D7" i="3" s="1"/>
  <c r="D19" i="3" s="1"/>
  <c r="F22" i="3" s="1"/>
  <c r="C21" i="2"/>
  <c r="C7" i="4"/>
  <c r="C10" i="4" s="1"/>
  <c r="K10" i="2"/>
  <c r="J10" i="2"/>
  <c r="J9" i="2"/>
  <c r="F6" i="3"/>
  <c r="H6" i="3"/>
  <c r="U3" i="2"/>
  <c r="P24" i="12"/>
  <c r="P22" i="12"/>
  <c r="P21" i="12"/>
  <c r="P20" i="12"/>
  <c r="J20" i="2"/>
  <c r="K20" i="2"/>
  <c r="D6" i="11"/>
  <c r="E6" i="11" s="1"/>
  <c r="G6" i="11"/>
  <c r="H6" i="11"/>
  <c r="O6" i="11" s="1"/>
  <c r="J6" i="11"/>
  <c r="M6" i="11"/>
  <c r="N6" i="11" s="1"/>
  <c r="Q6" i="11"/>
  <c r="X6" i="11"/>
  <c r="Z6" i="11"/>
  <c r="AB6" i="11"/>
  <c r="AF6" i="11"/>
  <c r="D7" i="11"/>
  <c r="E7" i="11" s="1"/>
  <c r="G7" i="11"/>
  <c r="H7" i="11" s="1"/>
  <c r="J7" i="11"/>
  <c r="K7" i="11" s="1"/>
  <c r="M7" i="11"/>
  <c r="N7" i="11" s="1"/>
  <c r="Q7" i="11"/>
  <c r="X7" i="11"/>
  <c r="Z7" i="11"/>
  <c r="AB7" i="11"/>
  <c r="AF7" i="11"/>
  <c r="D8" i="11"/>
  <c r="E8" i="11" s="1"/>
  <c r="O8" i="11" s="1"/>
  <c r="G8" i="11"/>
  <c r="J8" i="11"/>
  <c r="K8" i="11"/>
  <c r="M8" i="11"/>
  <c r="N8" i="11" s="1"/>
  <c r="Q8" i="11"/>
  <c r="X8" i="11"/>
  <c r="Z8" i="11"/>
  <c r="AB8" i="11"/>
  <c r="AF8" i="11"/>
  <c r="D9" i="11"/>
  <c r="E9" i="11" s="1"/>
  <c r="G9" i="11"/>
  <c r="H9" i="11" s="1"/>
  <c r="O9" i="11" s="1"/>
  <c r="R9" i="11" s="1"/>
  <c r="J9" i="11"/>
  <c r="K9" i="11" s="1"/>
  <c r="M9" i="11"/>
  <c r="N9" i="11" s="1"/>
  <c r="Q9" i="11"/>
  <c r="X9" i="11"/>
  <c r="Z9" i="11"/>
  <c r="AB9" i="11"/>
  <c r="AF9" i="11"/>
  <c r="D10" i="11"/>
  <c r="E10" i="11" s="1"/>
  <c r="G10" i="11"/>
  <c r="H10" i="11" s="1"/>
  <c r="J10" i="11"/>
  <c r="K10" i="11"/>
  <c r="M10" i="11"/>
  <c r="N10" i="11" s="1"/>
  <c r="Q10" i="11"/>
  <c r="X10" i="11"/>
  <c r="Z10" i="11"/>
  <c r="AB10" i="11"/>
  <c r="AF10" i="11"/>
  <c r="D11" i="11"/>
  <c r="E11" i="11" s="1"/>
  <c r="G11" i="11"/>
  <c r="H11" i="11" s="1"/>
  <c r="J11" i="11"/>
  <c r="K11" i="11"/>
  <c r="M11" i="11"/>
  <c r="N11" i="11"/>
  <c r="Q11" i="11"/>
  <c r="X11" i="11"/>
  <c r="Z11" i="11"/>
  <c r="AB11" i="11"/>
  <c r="AF11" i="11"/>
  <c r="D12" i="11"/>
  <c r="G12" i="11"/>
  <c r="H12" i="11" s="1"/>
  <c r="J12" i="11"/>
  <c r="K12" i="11"/>
  <c r="M12" i="11"/>
  <c r="N12" i="11" s="1"/>
  <c r="Q12" i="11"/>
  <c r="X12" i="11"/>
  <c r="Z12" i="11"/>
  <c r="AB12" i="11"/>
  <c r="AF12" i="11"/>
  <c r="D13" i="11"/>
  <c r="G13" i="11"/>
  <c r="J13" i="11"/>
  <c r="K13" i="11" s="1"/>
  <c r="M13" i="11"/>
  <c r="N13" i="11" s="1"/>
  <c r="Q13" i="11"/>
  <c r="X13" i="11"/>
  <c r="Z13" i="11"/>
  <c r="AB13" i="11"/>
  <c r="AF13" i="11"/>
  <c r="G14" i="11"/>
  <c r="H14" i="11" s="1"/>
  <c r="O14" i="11" s="1"/>
  <c r="J14" i="11"/>
  <c r="K14" i="11"/>
  <c r="M14" i="11"/>
  <c r="N14" i="11"/>
  <c r="Q14" i="11"/>
  <c r="X14" i="11"/>
  <c r="Z14" i="11"/>
  <c r="AB14" i="11"/>
  <c r="AF14" i="11"/>
  <c r="D15" i="11"/>
  <c r="E15" i="11" s="1"/>
  <c r="O15" i="11" s="1"/>
  <c r="G15" i="11"/>
  <c r="H15" i="11" s="1"/>
  <c r="J15" i="11"/>
  <c r="K15" i="11"/>
  <c r="M15" i="11"/>
  <c r="N15" i="11" s="1"/>
  <c r="Q15" i="11"/>
  <c r="X15" i="11"/>
  <c r="Z15" i="11"/>
  <c r="AB15" i="11"/>
  <c r="AF15" i="11"/>
  <c r="D16" i="11"/>
  <c r="E16" i="11" s="1"/>
  <c r="O16" i="11" s="1"/>
  <c r="G16" i="11"/>
  <c r="H16" i="11" s="1"/>
  <c r="J16" i="11"/>
  <c r="K16" i="11"/>
  <c r="M16" i="11"/>
  <c r="N16" i="11"/>
  <c r="Q16" i="11"/>
  <c r="X16" i="11"/>
  <c r="Z16" i="11"/>
  <c r="AB16" i="11"/>
  <c r="AF16" i="11"/>
  <c r="D17" i="11"/>
  <c r="E17" i="11" s="1"/>
  <c r="O17" i="11" s="1"/>
  <c r="G17" i="11"/>
  <c r="H17" i="11" s="1"/>
  <c r="J17" i="11"/>
  <c r="K17" i="11"/>
  <c r="M17" i="11"/>
  <c r="N17" i="11" s="1"/>
  <c r="Q17" i="11"/>
  <c r="X17" i="11"/>
  <c r="Z17" i="11"/>
  <c r="AB17" i="11"/>
  <c r="AF17" i="11"/>
  <c r="D18" i="11"/>
  <c r="E18" i="11"/>
  <c r="G18" i="11"/>
  <c r="H18" i="11" s="1"/>
  <c r="O18" i="11" s="1"/>
  <c r="J18" i="11"/>
  <c r="K18" i="11" s="1"/>
  <c r="M18" i="11"/>
  <c r="N18" i="11" s="1"/>
  <c r="Q18" i="11"/>
  <c r="X18" i="11"/>
  <c r="Z18" i="11"/>
  <c r="AB18" i="11"/>
  <c r="AF18" i="11"/>
  <c r="D19" i="11"/>
  <c r="E19" i="11"/>
  <c r="G19" i="11"/>
  <c r="H19" i="11" s="1"/>
  <c r="J19" i="11"/>
  <c r="K19" i="11"/>
  <c r="M19" i="11"/>
  <c r="N19" i="11" s="1"/>
  <c r="Q19" i="11"/>
  <c r="X19" i="11"/>
  <c r="Z19" i="11"/>
  <c r="AB19" i="11"/>
  <c r="AF19" i="11"/>
  <c r="D20" i="11"/>
  <c r="E20" i="11" s="1"/>
  <c r="G20" i="11"/>
  <c r="H20" i="11" s="1"/>
  <c r="J20" i="11"/>
  <c r="K20" i="11" s="1"/>
  <c r="M20" i="11"/>
  <c r="N20" i="11" s="1"/>
  <c r="Q20" i="11"/>
  <c r="X20" i="11"/>
  <c r="Z20" i="11"/>
  <c r="AB20" i="11"/>
  <c r="AF20" i="11"/>
  <c r="D21" i="11"/>
  <c r="E21" i="11" s="1"/>
  <c r="G21" i="11"/>
  <c r="H21" i="11" s="1"/>
  <c r="O21" i="11" s="1"/>
  <c r="J21" i="11"/>
  <c r="K21" i="11" s="1"/>
  <c r="M21" i="11"/>
  <c r="N21" i="11" s="1"/>
  <c r="Q21" i="11"/>
  <c r="X21" i="11"/>
  <c r="Z21" i="11"/>
  <c r="AF21" i="11"/>
  <c r="D22" i="11"/>
  <c r="E22" i="11" s="1"/>
  <c r="G22" i="11"/>
  <c r="H22" i="11"/>
  <c r="J22" i="11"/>
  <c r="K22" i="11" s="1"/>
  <c r="M22" i="11"/>
  <c r="N22" i="11" s="1"/>
  <c r="Q22" i="11"/>
  <c r="X22" i="11"/>
  <c r="Z22" i="11"/>
  <c r="AB22" i="11"/>
  <c r="AF22" i="11"/>
  <c r="D23" i="11"/>
  <c r="E23" i="11" s="1"/>
  <c r="G23" i="11"/>
  <c r="H23" i="11" s="1"/>
  <c r="O23" i="11" s="1"/>
  <c r="J23" i="11"/>
  <c r="K23" i="11"/>
  <c r="M23" i="11"/>
  <c r="N23" i="11" s="1"/>
  <c r="Q23" i="11"/>
  <c r="X23" i="11"/>
  <c r="Z23" i="11"/>
  <c r="AB23" i="11"/>
  <c r="AF23" i="11"/>
  <c r="D24" i="11"/>
  <c r="E24" i="11" s="1"/>
  <c r="O24" i="11" s="1"/>
  <c r="G24" i="11"/>
  <c r="J24" i="11"/>
  <c r="K24" i="11" s="1"/>
  <c r="M24" i="11"/>
  <c r="N24" i="11"/>
  <c r="Q24" i="11"/>
  <c r="X24" i="11"/>
  <c r="Z24" i="11"/>
  <c r="AB24" i="11"/>
  <c r="AF24" i="11"/>
  <c r="D25" i="11"/>
  <c r="E25" i="11"/>
  <c r="G25" i="11"/>
  <c r="H25" i="11" s="1"/>
  <c r="O25" i="11" s="1"/>
  <c r="J25" i="11"/>
  <c r="K25" i="11" s="1"/>
  <c r="M25" i="11"/>
  <c r="N25" i="11"/>
  <c r="Q25" i="11"/>
  <c r="X25" i="11"/>
  <c r="Z25" i="11"/>
  <c r="AB25" i="11"/>
  <c r="AF25" i="11"/>
  <c r="D26" i="11"/>
  <c r="E26" i="11" s="1"/>
  <c r="G26" i="11"/>
  <c r="H26" i="11"/>
  <c r="O26" i="11" s="1"/>
  <c r="J26" i="11"/>
  <c r="K26" i="11" s="1"/>
  <c r="M26" i="11"/>
  <c r="N26" i="11" s="1"/>
  <c r="Q26" i="11"/>
  <c r="X26" i="11"/>
  <c r="Z26" i="11"/>
  <c r="AB26" i="11"/>
  <c r="AF26" i="11"/>
  <c r="D27" i="11"/>
  <c r="E27" i="11" s="1"/>
  <c r="G27" i="11"/>
  <c r="H27" i="11"/>
  <c r="O27" i="11"/>
  <c r="J27" i="11"/>
  <c r="K27" i="11" s="1"/>
  <c r="M27" i="11"/>
  <c r="N27" i="11" s="1"/>
  <c r="Q27" i="11"/>
  <c r="X27" i="11"/>
  <c r="Z27" i="11"/>
  <c r="AB27" i="11"/>
  <c r="AF27" i="11"/>
  <c r="D28" i="11"/>
  <c r="E28" i="11" s="1"/>
  <c r="G28" i="11"/>
  <c r="H28" i="11" s="1"/>
  <c r="J28" i="11"/>
  <c r="K28" i="11" s="1"/>
  <c r="M28" i="11"/>
  <c r="N28" i="11"/>
  <c r="Q28" i="11"/>
  <c r="X28" i="11"/>
  <c r="Z28" i="11"/>
  <c r="AB28" i="11"/>
  <c r="AF28" i="11"/>
  <c r="F13" i="3"/>
  <c r="I15" i="12"/>
  <c r="I9" i="12"/>
  <c r="I6" i="12"/>
  <c r="I12" i="12" s="1"/>
  <c r="K16" i="12"/>
  <c r="J24" i="12" s="1"/>
  <c r="K10" i="12"/>
  <c r="J22" i="12"/>
  <c r="K7" i="12"/>
  <c r="AB5" i="11"/>
  <c r="K20" i="12"/>
  <c r="K21" i="12" s="1"/>
  <c r="K22" i="12" s="1"/>
  <c r="K23" i="12" s="1"/>
  <c r="K24" i="12" s="1"/>
  <c r="J20" i="12"/>
  <c r="M5" i="11"/>
  <c r="N5" i="11" s="1"/>
  <c r="O23" i="20"/>
  <c r="O21" i="20" s="1"/>
  <c r="O29" i="20" s="1"/>
  <c r="O12" i="20" s="1"/>
  <c r="O10" i="20" s="1"/>
  <c r="O9" i="20" s="1"/>
  <c r="AU17" i="20"/>
  <c r="AK17" i="20"/>
  <c r="X17" i="20"/>
  <c r="AK16" i="20"/>
  <c r="AU15" i="20"/>
  <c r="AU16" i="20"/>
  <c r="AJ14" i="20"/>
  <c r="AI14" i="20"/>
  <c r="AK14" i="20" s="1"/>
  <c r="AU13" i="20"/>
  <c r="AJ13" i="20"/>
  <c r="AI13" i="20"/>
  <c r="AK13" i="20"/>
  <c r="P13" i="20"/>
  <c r="X10" i="20"/>
  <c r="Y26" i="20" s="1"/>
  <c r="X9" i="20"/>
  <c r="H24" i="12"/>
  <c r="N24" i="12" s="1"/>
  <c r="B78" i="11"/>
  <c r="C15" i="9"/>
  <c r="C14" i="9"/>
  <c r="C21" i="9"/>
  <c r="C13" i="9"/>
  <c r="C20" i="9"/>
  <c r="C9" i="5"/>
  <c r="W10" i="16"/>
  <c r="W13" i="16"/>
  <c r="W12" i="16"/>
  <c r="M15" i="16"/>
  <c r="M13" i="16"/>
  <c r="M19" i="16" s="1"/>
  <c r="M7" i="16" s="1"/>
  <c r="M5" i="16" s="1"/>
  <c r="M4" i="16" s="1"/>
  <c r="R4" i="16" s="1"/>
  <c r="W14" i="16"/>
  <c r="N8" i="16"/>
  <c r="Z5" i="11"/>
  <c r="AF5" i="11"/>
  <c r="X5" i="11"/>
  <c r="V5" i="11"/>
  <c r="H4" i="11"/>
  <c r="E4" i="11"/>
  <c r="G5" i="11"/>
  <c r="H5" i="11"/>
  <c r="O5" i="11" s="1"/>
  <c r="S5" i="11" s="1"/>
  <c r="T5" i="11" s="1"/>
  <c r="D5" i="11"/>
  <c r="E5" i="11"/>
  <c r="Q5" i="11"/>
  <c r="W1" i="11"/>
  <c r="F29" i="10"/>
  <c r="D28" i="10"/>
  <c r="D27" i="10"/>
  <c r="F26" i="10"/>
  <c r="E26" i="10"/>
  <c r="D25" i="10"/>
  <c r="D24" i="10"/>
  <c r="E23" i="10"/>
  <c r="D23" i="10" s="1"/>
  <c r="D22" i="10"/>
  <c r="D21" i="10"/>
  <c r="F20" i="10"/>
  <c r="E20" i="10"/>
  <c r="D20" i="10"/>
  <c r="D4" i="10"/>
  <c r="E10" i="4"/>
  <c r="F5" i="3"/>
  <c r="H5" i="3" s="1"/>
  <c r="F12" i="3"/>
  <c r="C22" i="9"/>
  <c r="W16" i="20"/>
  <c r="N20" i="12"/>
  <c r="H8" i="9"/>
  <c r="F22" i="9"/>
  <c r="H22" i="9"/>
  <c r="F15" i="9"/>
  <c r="H15" i="9" s="1"/>
  <c r="W13" i="27"/>
  <c r="V18" i="27" s="1"/>
  <c r="V20" i="27" s="1"/>
  <c r="R17" i="27"/>
  <c r="F18" i="9"/>
  <c r="H18" i="9"/>
  <c r="H11" i="9"/>
  <c r="F25" i="9"/>
  <c r="H25" i="9"/>
  <c r="F17" i="9"/>
  <c r="H17" i="9" s="1"/>
  <c r="F20" i="9"/>
  <c r="F26" i="9" s="1"/>
  <c r="H6" i="9"/>
  <c r="H12" i="9"/>
  <c r="F13" i="9"/>
  <c r="H13" i="9" s="1"/>
  <c r="H10" i="9"/>
  <c r="F24" i="9"/>
  <c r="H24" i="9" s="1"/>
  <c r="H7" i="9"/>
  <c r="F12" i="9"/>
  <c r="F14" i="9"/>
  <c r="F21" i="9"/>
  <c r="H21" i="9"/>
  <c r="H16" i="9"/>
  <c r="F23" i="9"/>
  <c r="H23" i="9"/>
  <c r="C27" i="7"/>
  <c r="R28" i="7"/>
  <c r="V18" i="16"/>
  <c r="R20" i="16" s="1"/>
  <c r="R17" i="16"/>
  <c r="E11" i="5"/>
  <c r="G11" i="5" s="1"/>
  <c r="O4" i="11"/>
  <c r="R4" i="11"/>
  <c r="O61" i="11"/>
  <c r="R61" i="11" s="1"/>
  <c r="O22" i="11"/>
  <c r="S22" i="11" s="1"/>
  <c r="O66" i="11"/>
  <c r="R14" i="11"/>
  <c r="S7" i="11"/>
  <c r="M78" i="11"/>
  <c r="E16" i="10" s="1"/>
  <c r="D16" i="10" s="1"/>
  <c r="V78" i="11"/>
  <c r="E31" i="10"/>
  <c r="D31" i="10"/>
  <c r="G9" i="4" s="1"/>
  <c r="G10" i="4" s="1"/>
  <c r="C7" i="7"/>
  <c r="M8" i="7" s="1"/>
  <c r="N8" i="7" s="1"/>
  <c r="C29" i="7"/>
  <c r="X14" i="26"/>
  <c r="Y14" i="26"/>
  <c r="R20" i="27"/>
  <c r="S14" i="11"/>
  <c r="R5" i="11"/>
  <c r="S65" i="11"/>
  <c r="R67" i="11"/>
  <c r="S67" i="11"/>
  <c r="S29" i="11"/>
  <c r="R22" i="11"/>
  <c r="O77" i="11"/>
  <c r="S77" i="11" s="1"/>
  <c r="O76" i="11"/>
  <c r="R76" i="11"/>
  <c r="R77" i="11"/>
  <c r="S76" i="11"/>
  <c r="O75" i="11"/>
  <c r="R75" i="11" s="1"/>
  <c r="O64" i="11"/>
  <c r="S64" i="11" s="1"/>
  <c r="R64" i="11"/>
  <c r="R62" i="11"/>
  <c r="O60" i="11"/>
  <c r="R60" i="11" s="1"/>
  <c r="R59" i="11"/>
  <c r="O58" i="11"/>
  <c r="S58" i="11" s="1"/>
  <c r="R58" i="11"/>
  <c r="O57" i="11"/>
  <c r="R57" i="11" s="1"/>
  <c r="S57" i="11"/>
  <c r="O56" i="11"/>
  <c r="R56" i="11" s="1"/>
  <c r="S56" i="11"/>
  <c r="R55" i="11"/>
  <c r="O54" i="11"/>
  <c r="R54" i="11" s="1"/>
  <c r="S54" i="11"/>
  <c r="O53" i="11"/>
  <c r="S53" i="11" s="1"/>
  <c r="R53" i="11"/>
  <c r="O51" i="11"/>
  <c r="S51" i="11" s="1"/>
  <c r="O52" i="11"/>
  <c r="R51" i="11"/>
  <c r="R49" i="11"/>
  <c r="S49" i="11"/>
  <c r="O45" i="11"/>
  <c r="S45" i="11" s="1"/>
  <c r="O44" i="11"/>
  <c r="S44" i="11" s="1"/>
  <c r="R44" i="11"/>
  <c r="O43" i="11"/>
  <c r="S43" i="11" s="1"/>
  <c r="R42" i="11"/>
  <c r="S42" i="11"/>
  <c r="S37" i="11"/>
  <c r="O35" i="11"/>
  <c r="S35" i="11" s="1"/>
  <c r="O36" i="11"/>
  <c r="S36" i="11" s="1"/>
  <c r="R35" i="11"/>
  <c r="O34" i="11"/>
  <c r="R34" i="11" s="1"/>
  <c r="S34" i="11"/>
  <c r="O33" i="11"/>
  <c r="S33" i="11" s="1"/>
  <c r="O32" i="11"/>
  <c r="S32" i="11" s="1"/>
  <c r="O31" i="11"/>
  <c r="S27" i="11"/>
  <c r="R27" i="11"/>
  <c r="O19" i="11"/>
  <c r="S19" i="11" s="1"/>
  <c r="R19" i="11"/>
  <c r="R36" i="11"/>
  <c r="R33" i="11"/>
  <c r="S71" i="11"/>
  <c r="R71" i="11"/>
  <c r="O70" i="11"/>
  <c r="O69" i="11"/>
  <c r="R69" i="11"/>
  <c r="S69" i="11"/>
  <c r="S68" i="11"/>
  <c r="R68" i="11"/>
  <c r="R73" i="11"/>
  <c r="S73" i="11"/>
  <c r="O74" i="11"/>
  <c r="I12" i="7"/>
  <c r="L36" i="7"/>
  <c r="P36" i="7"/>
  <c r="I36" i="7"/>
  <c r="Q36" i="7"/>
  <c r="O36" i="7"/>
  <c r="O16" i="7"/>
  <c r="M16" i="7"/>
  <c r="N16" i="7" s="1"/>
  <c r="K16" i="7"/>
  <c r="F16" i="7"/>
  <c r="O20" i="7"/>
  <c r="Q14" i="7"/>
  <c r="F14" i="7"/>
  <c r="F7" i="3"/>
  <c r="I14" i="7"/>
  <c r="R14" i="7"/>
  <c r="M14" i="7"/>
  <c r="N14" i="7" s="1"/>
  <c r="L14" i="7"/>
  <c r="K14" i="7"/>
  <c r="Q28" i="7"/>
  <c r="I10" i="7"/>
  <c r="K28" i="7"/>
  <c r="O28" i="7"/>
  <c r="R74" i="11"/>
  <c r="S74" i="11"/>
  <c r="H7" i="3"/>
  <c r="F19" i="3"/>
  <c r="L26" i="7"/>
  <c r="O26" i="7"/>
  <c r="R26" i="7"/>
  <c r="L34" i="7" l="1"/>
  <c r="R20" i="7"/>
  <c r="F20" i="7"/>
  <c r="I20" i="7"/>
  <c r="F12" i="7"/>
  <c r="O12" i="7"/>
  <c r="Q20" i="7"/>
  <c r="R12" i="7"/>
  <c r="Q12" i="7"/>
  <c r="R16" i="7"/>
  <c r="I16" i="7"/>
  <c r="Q16" i="7"/>
  <c r="Q34" i="7"/>
  <c r="I8" i="7"/>
  <c r="K10" i="7"/>
  <c r="M12" i="7"/>
  <c r="N12" i="7" s="1"/>
  <c r="N37" i="7" s="1"/>
  <c r="E7" i="5" s="1"/>
  <c r="G7" i="5" s="1"/>
  <c r="F8" i="7"/>
  <c r="R8" i="7"/>
  <c r="L24" i="7"/>
  <c r="K8" i="7"/>
  <c r="L8" i="7"/>
  <c r="O8" i="7"/>
  <c r="M10" i="7"/>
  <c r="N10" i="7" s="1"/>
  <c r="R10" i="7"/>
  <c r="L10" i="7"/>
  <c r="I34" i="7"/>
  <c r="R22" i="7"/>
  <c r="Q8" i="7"/>
  <c r="F34" i="7"/>
  <c r="Q10" i="7"/>
  <c r="R24" i="7"/>
  <c r="AO19" i="32"/>
  <c r="AK18" i="32"/>
  <c r="O27" i="33"/>
  <c r="AD24" i="32"/>
  <c r="AA24" i="32"/>
  <c r="T26" i="31"/>
  <c r="Q26" i="31"/>
  <c r="Q26" i="32"/>
  <c r="T26" i="32"/>
  <c r="AD24" i="31"/>
  <c r="AA24" i="31"/>
  <c r="AD24" i="34"/>
  <c r="AA24" i="34"/>
  <c r="T26" i="34"/>
  <c r="Q26" i="34"/>
  <c r="AK23" i="31"/>
  <c r="AK25" i="31"/>
  <c r="R25" i="11"/>
  <c r="S25" i="11"/>
  <c r="R24" i="11"/>
  <c r="S24" i="11"/>
  <c r="R39" i="11"/>
  <c r="S39" i="11"/>
  <c r="D6" i="10"/>
  <c r="R38" i="11"/>
  <c r="S38" i="11"/>
  <c r="R21" i="11"/>
  <c r="S21" i="11"/>
  <c r="S16" i="11"/>
  <c r="R16" i="11"/>
  <c r="S48" i="11"/>
  <c r="R48" i="11"/>
  <c r="S46" i="11"/>
  <c r="R46" i="11"/>
  <c r="R17" i="11"/>
  <c r="S17" i="11"/>
  <c r="R24" i="27"/>
  <c r="R22" i="27"/>
  <c r="R6" i="11"/>
  <c r="S6" i="11"/>
  <c r="T6" i="11" s="1"/>
  <c r="T7" i="11" s="1"/>
  <c r="J21" i="2"/>
  <c r="C17" i="7" s="1"/>
  <c r="O24" i="7"/>
  <c r="O30" i="7"/>
  <c r="K30" i="7"/>
  <c r="R47" i="11"/>
  <c r="S47" i="11"/>
  <c r="R40" i="11"/>
  <c r="S40" i="11"/>
  <c r="S72" i="11"/>
  <c r="R72" i="11"/>
  <c r="F22" i="7"/>
  <c r="S70" i="11"/>
  <c r="R70" i="11"/>
  <c r="S31" i="11"/>
  <c r="R31" i="11"/>
  <c r="R30" i="7"/>
  <c r="S66" i="11"/>
  <c r="R66" i="11"/>
  <c r="S4" i="11"/>
  <c r="F19" i="9"/>
  <c r="H14" i="9"/>
  <c r="H19" i="9" s="1"/>
  <c r="G12" i="3"/>
  <c r="H12" i="3" s="1"/>
  <c r="AJ15" i="20"/>
  <c r="AT21" i="20"/>
  <c r="AP20" i="20"/>
  <c r="O12" i="11"/>
  <c r="X78" i="11"/>
  <c r="E30" i="10" s="1"/>
  <c r="S63" i="11"/>
  <c r="R63" i="11"/>
  <c r="R50" i="11"/>
  <c r="S50" i="11"/>
  <c r="R18" i="11"/>
  <c r="S18" i="11"/>
  <c r="I22" i="7"/>
  <c r="R32" i="11"/>
  <c r="S52" i="11"/>
  <c r="R52" i="11"/>
  <c r="H20" i="9"/>
  <c r="H26" i="9" s="1"/>
  <c r="H27" i="9" s="1"/>
  <c r="K13" i="12"/>
  <c r="J23" i="12" s="1"/>
  <c r="N23" i="12" s="1"/>
  <c r="J21" i="12"/>
  <c r="N21" i="12" s="1"/>
  <c r="E12" i="11"/>
  <c r="D78" i="11"/>
  <c r="E9" i="10" s="1"/>
  <c r="G78" i="11"/>
  <c r="S61" i="11"/>
  <c r="S26" i="11"/>
  <c r="R26" i="11"/>
  <c r="S15" i="11"/>
  <c r="R15" i="11"/>
  <c r="C31" i="7"/>
  <c r="D8" i="4"/>
  <c r="D10" i="4" s="1"/>
  <c r="I10" i="4" s="1"/>
  <c r="E19" i="5" s="1"/>
  <c r="G19" i="5" s="1"/>
  <c r="AD78" i="11"/>
  <c r="E19" i="10" s="1"/>
  <c r="D19" i="10" s="1"/>
  <c r="R36" i="7"/>
  <c r="F36" i="7"/>
  <c r="K36" i="7"/>
  <c r="R30" i="11"/>
  <c r="S30" i="11"/>
  <c r="O22" i="7"/>
  <c r="X16" i="26"/>
  <c r="S23" i="11"/>
  <c r="R23" i="11"/>
  <c r="R8" i="11"/>
  <c r="S8" i="11"/>
  <c r="T8" i="11" s="1"/>
  <c r="M37" i="7"/>
  <c r="Q30" i="7"/>
  <c r="K22" i="7"/>
  <c r="K37" i="7" s="1"/>
  <c r="E12" i="5" s="1"/>
  <c r="G12" i="5" s="1"/>
  <c r="G10" i="5" s="1"/>
  <c r="S60" i="11"/>
  <c r="AF78" i="11"/>
  <c r="E18" i="10" s="1"/>
  <c r="D18" i="10" s="1"/>
  <c r="G13" i="3"/>
  <c r="H13" i="3"/>
  <c r="Q78" i="11"/>
  <c r="E17" i="10" s="1"/>
  <c r="D17" i="10" s="1"/>
  <c r="R34" i="7"/>
  <c r="P34" i="7"/>
  <c r="R43" i="11"/>
  <c r="R45" i="11"/>
  <c r="S75" i="11"/>
  <c r="D26" i="10"/>
  <c r="AB78" i="11"/>
  <c r="O10" i="11"/>
  <c r="O13" i="11"/>
  <c r="S9" i="11"/>
  <c r="Y16" i="20"/>
  <c r="V26" i="20"/>
  <c r="V23" i="20"/>
  <c r="O20" i="11"/>
  <c r="O41" i="11"/>
  <c r="Y23" i="20"/>
  <c r="Y29" i="20" s="1"/>
  <c r="V20" i="16"/>
  <c r="O28" i="11"/>
  <c r="O11" i="11"/>
  <c r="J78" i="11"/>
  <c r="E15" i="10" s="1"/>
  <c r="D15" i="10" s="1"/>
  <c r="H11" i="3"/>
  <c r="AF7" i="20"/>
  <c r="Y37" i="20"/>
  <c r="AP7" i="20"/>
  <c r="V29" i="20"/>
  <c r="AA26" i="31" l="1"/>
  <c r="AD26" i="31"/>
  <c r="AD26" i="34"/>
  <c r="AA26" i="34"/>
  <c r="AA26" i="32"/>
  <c r="AD26" i="32"/>
  <c r="AK21" i="32"/>
  <c r="AO21" i="32"/>
  <c r="Q37" i="7"/>
  <c r="E14" i="10" s="1"/>
  <c r="D14" i="10" s="1"/>
  <c r="Y32" i="20"/>
  <c r="U37" i="20" s="1"/>
  <c r="V32" i="20"/>
  <c r="S10" i="11"/>
  <c r="T10" i="11" s="1"/>
  <c r="R10" i="11"/>
  <c r="R78" i="11" s="1"/>
  <c r="F27" i="9"/>
  <c r="F28" i="9"/>
  <c r="D9" i="10"/>
  <c r="E8" i="10"/>
  <c r="D8" i="10" s="1"/>
  <c r="S28" i="11"/>
  <c r="R28" i="11"/>
  <c r="P32" i="7"/>
  <c r="P37" i="7" s="1"/>
  <c r="E13" i="10" s="1"/>
  <c r="D13" i="10" s="1"/>
  <c r="R32" i="7"/>
  <c r="O32" i="7"/>
  <c r="L32" i="7"/>
  <c r="L37" i="7" s="1"/>
  <c r="C6" i="6" s="1"/>
  <c r="Q32" i="7"/>
  <c r="I32" i="7"/>
  <c r="F32" i="7"/>
  <c r="AB79" i="11"/>
  <c r="E7" i="10"/>
  <c r="E11" i="10"/>
  <c r="D11" i="10" s="1"/>
  <c r="E10" i="10"/>
  <c r="D10" i="10" s="1"/>
  <c r="AF20" i="20"/>
  <c r="AJ21" i="20"/>
  <c r="O78" i="11"/>
  <c r="R22" i="16"/>
  <c r="R24" i="16"/>
  <c r="D30" i="10"/>
  <c r="E29" i="10"/>
  <c r="D29" i="10" s="1"/>
  <c r="F9" i="4"/>
  <c r="F10" i="4" s="1"/>
  <c r="H10" i="4" s="1"/>
  <c r="R20" i="11"/>
  <c r="S20" i="11"/>
  <c r="AT23" i="20"/>
  <c r="AP27" i="20" s="1"/>
  <c r="AP23" i="20"/>
  <c r="R11" i="11"/>
  <c r="S11" i="11"/>
  <c r="T11" i="11" s="1"/>
  <c r="T9" i="11"/>
  <c r="T21" i="26"/>
  <c r="X22" i="26"/>
  <c r="S12" i="11"/>
  <c r="T12" i="11" s="1"/>
  <c r="R12" i="11"/>
  <c r="R18" i="7"/>
  <c r="R37" i="7" s="1"/>
  <c r="H18" i="7"/>
  <c r="H37" i="7" s="1"/>
  <c r="E18" i="5" s="1"/>
  <c r="G18" i="5" s="1"/>
  <c r="F18" i="7"/>
  <c r="F37" i="7" s="1"/>
  <c r="E9" i="5" s="1"/>
  <c r="G9" i="5" s="1"/>
  <c r="G8" i="5" s="1"/>
  <c r="I18" i="7"/>
  <c r="I37" i="7" s="1"/>
  <c r="C5" i="6" s="1"/>
  <c r="O18" i="7"/>
  <c r="O37" i="7" s="1"/>
  <c r="E12" i="10" s="1"/>
  <c r="D12" i="10" s="1"/>
  <c r="H19" i="3"/>
  <c r="E6" i="5" s="1"/>
  <c r="G6" i="5" s="1"/>
  <c r="R41" i="11"/>
  <c r="S41" i="11"/>
  <c r="S13" i="11"/>
  <c r="T13" i="11" s="1"/>
  <c r="T14" i="11" s="1"/>
  <c r="T15" i="11" s="1"/>
  <c r="T16" i="11" s="1"/>
  <c r="T17" i="11" s="1"/>
  <c r="T18" i="11" s="1"/>
  <c r="T19" i="11" s="1"/>
  <c r="R13" i="11"/>
  <c r="X37" i="20"/>
  <c r="Y38" i="20" s="1"/>
  <c r="AK25" i="32" l="1"/>
  <c r="AK23" i="32"/>
  <c r="G6" i="6"/>
  <c r="E6" i="6"/>
  <c r="AF23" i="20"/>
  <c r="AJ23" i="20"/>
  <c r="X24" i="26"/>
  <c r="T24" i="26"/>
  <c r="T20" i="11"/>
  <c r="T21" i="11" s="1"/>
  <c r="T22" i="11" s="1"/>
  <c r="T23" i="11" s="1"/>
  <c r="T24" i="11" s="1"/>
  <c r="T25" i="11" s="1"/>
  <c r="T26" i="11" s="1"/>
  <c r="T27" i="11" s="1"/>
  <c r="I5" i="6"/>
  <c r="I8" i="6" s="1"/>
  <c r="E5" i="5" s="1"/>
  <c r="G5" i="5" s="1"/>
  <c r="G5" i="6"/>
  <c r="G8" i="6" s="1"/>
  <c r="E4" i="5" s="1"/>
  <c r="G4" i="5" s="1"/>
  <c r="E5" i="6"/>
  <c r="E8" i="6" s="1"/>
  <c r="E13" i="5" s="1"/>
  <c r="G13" i="5" s="1"/>
  <c r="AP25" i="20"/>
  <c r="D7" i="10"/>
  <c r="E5" i="10"/>
  <c r="D5" i="10" s="1"/>
  <c r="F4" i="9" s="1"/>
  <c r="F29" i="9" s="1"/>
  <c r="S78" i="11"/>
  <c r="E32" i="10" s="1"/>
  <c r="D32" i="10" s="1"/>
  <c r="T28" i="11"/>
  <c r="T29" i="11" s="1"/>
  <c r="T30" i="11" s="1"/>
  <c r="T31" i="11" s="1"/>
  <c r="T32" i="11" s="1"/>
  <c r="T33" i="11" s="1"/>
  <c r="T34" i="11" s="1"/>
  <c r="T35" i="11" s="1"/>
  <c r="T36" i="11" s="1"/>
  <c r="T37" i="11" s="1"/>
  <c r="T38" i="11" s="1"/>
  <c r="T39" i="11" s="1"/>
  <c r="T40" i="11" s="1"/>
  <c r="T41" i="11" s="1"/>
  <c r="T42" i="11" s="1"/>
  <c r="T43" i="11" s="1"/>
  <c r="T44" i="11" s="1"/>
  <c r="T45" i="11" s="1"/>
  <c r="T46" i="11" s="1"/>
  <c r="T47" i="11" s="1"/>
  <c r="T48" i="11" s="1"/>
  <c r="T49" i="11" s="1"/>
  <c r="T50" i="11" s="1"/>
  <c r="T51" i="11" s="1"/>
  <c r="T52" i="11" s="1"/>
  <c r="T53" i="11" s="1"/>
  <c r="T54" i="11" s="1"/>
  <c r="T55" i="11" s="1"/>
  <c r="T56" i="11" s="1"/>
  <c r="T57" i="11" s="1"/>
  <c r="T58" i="11" s="1"/>
  <c r="T59" i="11" s="1"/>
  <c r="T60" i="11" s="1"/>
  <c r="T61" i="11" s="1"/>
  <c r="T62" i="11" s="1"/>
  <c r="T63" i="11" s="1"/>
  <c r="T64" i="11" s="1"/>
  <c r="T65" i="11" s="1"/>
  <c r="T66" i="11" s="1"/>
  <c r="T67" i="11" s="1"/>
  <c r="T68" i="11" s="1"/>
  <c r="T69" i="11" s="1"/>
  <c r="T70" i="11" s="1"/>
  <c r="T71" i="11" s="1"/>
  <c r="T72" i="11" s="1"/>
  <c r="T73" i="11" s="1"/>
  <c r="T74" i="11" s="1"/>
  <c r="T75" i="11" s="1"/>
  <c r="T76" i="11" s="1"/>
  <c r="T77" i="11" s="1"/>
  <c r="T26" i="26" l="1"/>
  <c r="T28" i="26"/>
  <c r="AF27" i="20"/>
  <c r="AF25" i="20"/>
</calcChain>
</file>

<file path=xl/comments1.xml><?xml version="1.0" encoding="utf-8"?>
<comments xmlns="http://schemas.openxmlformats.org/spreadsheetml/2006/main">
  <authors>
    <author>H</author>
  </authors>
  <commentList>
    <comment ref="AW1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  <comment ref="M26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H</author>
  </authors>
  <commentList>
    <comment ref="AW1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  <comment ref="M26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H</author>
  </authors>
  <commentList>
    <comment ref="BJ1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  <comment ref="L26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콤보상자를 눌러서 
지역을 선택.
 </t>
        </r>
      </text>
    </comment>
    <comment ref="M26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H</author>
  </authors>
  <commentList>
    <comment ref="AW1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  <comment ref="M26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H</author>
  </authors>
  <commentList>
    <comment ref="M2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콤보상자를 눌러서 
지역을 선택.
 </t>
        </r>
      </text>
    </comment>
    <comment ref="N22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32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</commentList>
</comments>
</file>

<file path=xl/comments6.xml><?xml version="1.0" encoding="utf-8"?>
<comments xmlns="http://schemas.openxmlformats.org/spreadsheetml/2006/main">
  <authors>
    <author>H</author>
  </authors>
  <commentList>
    <comment ref="O3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콤보상자를 눌러서 
지역을 선택.
 </t>
        </r>
      </text>
    </comment>
    <comment ref="P32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41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</commentList>
</comments>
</file>

<file path=xl/comments7.xml><?xml version="1.0" encoding="utf-8"?>
<comments xmlns="http://schemas.openxmlformats.org/spreadsheetml/2006/main">
  <authors>
    <author>H</author>
  </authors>
  <commentList>
    <comment ref="M22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콤보상자를 눌러서 
지역을 선택.
 </t>
        </r>
      </text>
    </comment>
    <comment ref="N22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32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</commentList>
</comments>
</file>

<file path=xl/comments8.xml><?xml version="1.0" encoding="utf-8"?>
<comments xmlns="http://schemas.openxmlformats.org/spreadsheetml/2006/main">
  <authors>
    <author>H</author>
  </authors>
  <commentList>
    <comment ref="O33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콤보상자를 눌러서 
지역을 선택.
 </t>
        </r>
      </text>
    </comment>
    <comment ref="P33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43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</commentList>
</comments>
</file>

<file path=xl/sharedStrings.xml><?xml version="1.0" encoding="utf-8"?>
<sst xmlns="http://schemas.openxmlformats.org/spreadsheetml/2006/main" count="1789" uniqueCount="869">
  <si>
    <t>⊙.</t>
    <phoneticPr fontId="8" type="noConversion"/>
  </si>
  <si>
    <t>구조물수량  및 재료 산출서</t>
    <phoneticPr fontId="8" type="noConversion"/>
  </si>
  <si>
    <t xml:space="preserve">위치 : </t>
    <phoneticPr fontId="8" type="noConversion"/>
  </si>
  <si>
    <t>측점</t>
    <phoneticPr fontId="13" type="noConversion"/>
  </si>
  <si>
    <t>콘크리트포장(T=20cm)</t>
    <phoneticPr fontId="8" type="noConversion"/>
  </si>
  <si>
    <t>돌붙임
(L3=45cm)</t>
    <phoneticPr fontId="4" type="noConversion"/>
  </si>
  <si>
    <t>관공</t>
    <phoneticPr fontId="8" type="noConversion"/>
  </si>
  <si>
    <t>B</t>
    <phoneticPr fontId="8" type="noConversion"/>
  </si>
  <si>
    <t>L</t>
    <phoneticPr fontId="8" type="noConversion"/>
  </si>
  <si>
    <t>A</t>
    <phoneticPr fontId="8" type="noConversion"/>
  </si>
  <si>
    <t>수축
줄눈</t>
    <phoneticPr fontId="8" type="noConversion"/>
  </si>
  <si>
    <t>관매설</t>
    <phoneticPr fontId="13" type="noConversion"/>
  </si>
  <si>
    <t>m</t>
    <phoneticPr fontId="8" type="noConversion"/>
  </si>
  <si>
    <t>m2</t>
    <phoneticPr fontId="8" type="noConversion"/>
  </si>
  <si>
    <t>m</t>
    <phoneticPr fontId="13" type="noConversion"/>
  </si>
  <si>
    <t>전구간</t>
    <phoneticPr fontId="8" type="noConversion"/>
  </si>
  <si>
    <t>합계</t>
    <phoneticPr fontId="8" type="noConversion"/>
  </si>
  <si>
    <t>○.혼합석부설 면적산출서</t>
    <phoneticPr fontId="8" type="noConversion"/>
  </si>
  <si>
    <t>측점</t>
    <phoneticPr fontId="13" type="noConversion"/>
  </si>
  <si>
    <t>거리(m)</t>
    <phoneticPr fontId="8" type="noConversion"/>
  </si>
  <si>
    <t>폭(m)</t>
    <phoneticPr fontId="8" type="noConversion"/>
  </si>
  <si>
    <t>면적(m2)</t>
    <phoneticPr fontId="8" type="noConversion"/>
  </si>
  <si>
    <t>다짐계수
(0.875/1.25)</t>
    <phoneticPr fontId="4" type="noConversion"/>
  </si>
  <si>
    <t>수량(m3)</t>
    <phoneticPr fontId="8" type="noConversion"/>
  </si>
  <si>
    <t>비고</t>
    <phoneticPr fontId="8" type="noConversion"/>
  </si>
  <si>
    <t>~</t>
    <phoneticPr fontId="4" type="noConversion"/>
  </si>
  <si>
    <t>포장구간제외</t>
    <phoneticPr fontId="4" type="noConversion"/>
  </si>
  <si>
    <t>계</t>
    <phoneticPr fontId="8" type="noConversion"/>
  </si>
  <si>
    <t>▶.대피소 개소당 길이 15m 폭 1.5m로 계상</t>
    <phoneticPr fontId="4" type="noConversion"/>
  </si>
  <si>
    <t>○.사방공 집계표</t>
    <phoneticPr fontId="8" type="noConversion"/>
  </si>
  <si>
    <t>측점</t>
  </si>
  <si>
    <t>떼</t>
    <phoneticPr fontId="4" type="noConversion"/>
  </si>
  <si>
    <t>7급줄떼</t>
    <phoneticPr fontId="4" type="noConversion"/>
  </si>
  <si>
    <t>절토구조물</t>
    <phoneticPr fontId="4" type="noConversion"/>
  </si>
  <si>
    <t>m</t>
  </si>
  <si>
    <t>㎡</t>
  </si>
  <si>
    <t>기슭막이</t>
    <phoneticPr fontId="4" type="noConversion"/>
  </si>
  <si>
    <t>전 구 간</t>
    <phoneticPr fontId="4" type="noConversion"/>
  </si>
  <si>
    <t>합계</t>
  </si>
  <si>
    <t>○.총괄자재수량집계표</t>
    <phoneticPr fontId="8" type="noConversion"/>
  </si>
  <si>
    <t>구분</t>
    <phoneticPr fontId="8" type="noConversion"/>
  </si>
  <si>
    <t>규격</t>
    <phoneticPr fontId="8" type="noConversion"/>
  </si>
  <si>
    <t>단위</t>
    <phoneticPr fontId="8" type="noConversion"/>
  </si>
  <si>
    <t>수량</t>
    <phoneticPr fontId="8" type="noConversion"/>
  </si>
  <si>
    <t>할증</t>
    <phoneticPr fontId="8" type="noConversion"/>
  </si>
  <si>
    <t>합계</t>
    <phoneticPr fontId="8" type="noConversion"/>
  </si>
  <si>
    <t>비고</t>
    <phoneticPr fontId="8" type="noConversion"/>
  </si>
  <si>
    <t>모  래</t>
    <phoneticPr fontId="8" type="noConversion"/>
  </si>
  <si>
    <t>㎥</t>
    <phoneticPr fontId="8" type="noConversion"/>
  </si>
  <si>
    <t>자  갈</t>
    <phoneticPr fontId="8" type="noConversion"/>
  </si>
  <si>
    <t>㎥</t>
    <phoneticPr fontId="8" type="noConversion"/>
  </si>
  <si>
    <t>혼합석</t>
    <phoneticPr fontId="8" type="noConversion"/>
  </si>
  <si>
    <t>파쇄암</t>
    <phoneticPr fontId="8" type="noConversion"/>
  </si>
  <si>
    <t>TON</t>
    <phoneticPr fontId="8" type="noConversion"/>
  </si>
  <si>
    <t>계</t>
    <phoneticPr fontId="8" type="noConversion"/>
  </si>
  <si>
    <t>관급</t>
    <phoneticPr fontId="8" type="noConversion"/>
  </si>
  <si>
    <t>ton</t>
    <phoneticPr fontId="8" type="noConversion"/>
  </si>
  <si>
    <t>40kg/대</t>
    <phoneticPr fontId="8" type="noConversion"/>
  </si>
  <si>
    <t>대</t>
    <phoneticPr fontId="8" type="noConversion"/>
  </si>
  <si>
    <t>Φ800mm</t>
    <phoneticPr fontId="8" type="noConversion"/>
  </si>
  <si>
    <t>m</t>
    <phoneticPr fontId="8" type="noConversion"/>
  </si>
  <si>
    <t>○.콘크리트소요자재집계표</t>
    <phoneticPr fontId="8" type="noConversion"/>
  </si>
  <si>
    <t>구분</t>
    <phoneticPr fontId="8" type="noConversion"/>
  </si>
  <si>
    <t>수량</t>
    <phoneticPr fontId="8" type="noConversion"/>
  </si>
  <si>
    <t>시멘트</t>
    <phoneticPr fontId="8" type="noConversion"/>
  </si>
  <si>
    <t>모래</t>
    <phoneticPr fontId="8" type="noConversion"/>
  </si>
  <si>
    <t>자갈</t>
    <phoneticPr fontId="8" type="noConversion"/>
  </si>
  <si>
    <t>m3당</t>
    <phoneticPr fontId="8" type="noConversion"/>
  </si>
  <si>
    <t>콘크리트</t>
    <phoneticPr fontId="8" type="noConversion"/>
  </si>
  <si>
    <t>Φ40mm</t>
    <phoneticPr fontId="8" type="noConversion"/>
  </si>
  <si>
    <t>모르터</t>
    <phoneticPr fontId="8" type="noConversion"/>
  </si>
  <si>
    <t>1:3</t>
    <phoneticPr fontId="8" type="noConversion"/>
  </si>
  <si>
    <t>일반자재집계</t>
    <phoneticPr fontId="8" type="noConversion"/>
  </si>
  <si>
    <t>○.수량집계표</t>
    <phoneticPr fontId="8" type="noConversion"/>
  </si>
  <si>
    <t>규격</t>
    <phoneticPr fontId="8" type="noConversion"/>
  </si>
  <si>
    <t>단위</t>
    <phoneticPr fontId="8" type="noConversion"/>
  </si>
  <si>
    <t>구분</t>
    <phoneticPr fontId="8" type="noConversion"/>
  </si>
  <si>
    <t>레미콘</t>
    <phoneticPr fontId="4" type="noConversion"/>
  </si>
  <si>
    <t>콘크리트</t>
    <phoneticPr fontId="8" type="noConversion"/>
  </si>
  <si>
    <t>모르터</t>
    <phoneticPr fontId="8" type="noConversion"/>
  </si>
  <si>
    <t>파쇄암</t>
    <phoneticPr fontId="8" type="noConversion"/>
  </si>
  <si>
    <t>잔토</t>
    <phoneticPr fontId="4" type="noConversion"/>
  </si>
  <si>
    <t>Φ40무근</t>
    <phoneticPr fontId="8" type="noConversion"/>
  </si>
  <si>
    <t>1:3</t>
    <phoneticPr fontId="8" type="noConversion"/>
  </si>
  <si>
    <t>토사</t>
    <phoneticPr fontId="4" type="noConversion"/>
  </si>
  <si>
    <t>m3</t>
    <phoneticPr fontId="8" type="noConversion"/>
  </si>
  <si>
    <t>kg</t>
    <phoneticPr fontId="8" type="noConversion"/>
  </si>
  <si>
    <t>m2</t>
    <phoneticPr fontId="8" type="noConversion"/>
  </si>
  <si>
    <t>ton</t>
    <phoneticPr fontId="8" type="noConversion"/>
  </si>
  <si>
    <t>단위수량</t>
    <phoneticPr fontId="8" type="noConversion"/>
  </si>
  <si>
    <t>수  량</t>
    <phoneticPr fontId="8" type="noConversion"/>
  </si>
  <si>
    <t>m</t>
    <phoneticPr fontId="8" type="noConversion"/>
  </si>
  <si>
    <t>T=20cm</t>
    <phoneticPr fontId="8" type="noConversion"/>
  </si>
  <si>
    <t>돌붙임</t>
    <phoneticPr fontId="8" type="noConversion"/>
  </si>
  <si>
    <t>토 공  수 량 산 출 서</t>
    <phoneticPr fontId="8" type="noConversion"/>
  </si>
  <si>
    <t>노선명 :</t>
    <phoneticPr fontId="8" type="noConversion"/>
  </si>
  <si>
    <t>○.재적산출서</t>
    <phoneticPr fontId="8" type="noConversion"/>
  </si>
  <si>
    <t>구분</t>
    <phoneticPr fontId="4" type="noConversion"/>
  </si>
  <si>
    <t>단위</t>
    <phoneticPr fontId="4" type="noConversion"/>
  </si>
  <si>
    <t>수량</t>
    <phoneticPr fontId="4" type="noConversion"/>
  </si>
  <si>
    <t>단위중량</t>
    <phoneticPr fontId="4" type="noConversion"/>
  </si>
  <si>
    <t>중량</t>
    <phoneticPr fontId="4" type="noConversion"/>
  </si>
  <si>
    <t>비고</t>
    <phoneticPr fontId="4" type="noConversion"/>
  </si>
  <si>
    <t>벌목면적</t>
    <phoneticPr fontId="4" type="noConversion"/>
  </si>
  <si>
    <t>m2</t>
    <phoneticPr fontId="4" type="noConversion"/>
  </si>
  <si>
    <t>ha당 재적</t>
    <phoneticPr fontId="4" type="noConversion"/>
  </si>
  <si>
    <t>m3</t>
    <phoneticPr fontId="4" type="noConversion"/>
  </si>
  <si>
    <t>줄기재적</t>
    <phoneticPr fontId="4" type="noConversion"/>
  </si>
  <si>
    <t>m3</t>
    <phoneticPr fontId="23" type="noConversion"/>
  </si>
  <si>
    <t>계</t>
    <phoneticPr fontId="4" type="noConversion"/>
  </si>
  <si>
    <t>m3</t>
    <phoneticPr fontId="4" type="noConversion"/>
  </si>
  <si>
    <t>벌목면적 × ha당 재적 ÷ 10,000</t>
    <phoneticPr fontId="23" type="noConversion"/>
  </si>
  <si>
    <t>뿌리재적</t>
    <phoneticPr fontId="4" type="noConversion"/>
  </si>
  <si>
    <t>m3</t>
    <phoneticPr fontId="23" type="noConversion"/>
  </si>
  <si>
    <t>줄기재적의  33.3%(15÷45) 적용</t>
    <phoneticPr fontId="23" type="noConversion"/>
  </si>
  <si>
    <t>계</t>
    <phoneticPr fontId="4" type="noConversion"/>
  </si>
  <si>
    <t>m3</t>
    <phoneticPr fontId="4" type="noConversion"/>
  </si>
  <si>
    <t>가지재적</t>
    <phoneticPr fontId="4" type="noConversion"/>
  </si>
  <si>
    <t>m3</t>
    <phoneticPr fontId="23" type="noConversion"/>
  </si>
  <si>
    <t>줄기재적의  33.3%(15÷45) 적용</t>
    <phoneticPr fontId="23" type="noConversion"/>
  </si>
  <si>
    <t>계</t>
    <phoneticPr fontId="4" type="noConversion"/>
  </si>
  <si>
    <t>m3</t>
    <phoneticPr fontId="4" type="noConversion"/>
  </si>
  <si>
    <t>소계</t>
    <phoneticPr fontId="4" type="noConversion"/>
  </si>
  <si>
    <t>줄기+뿌리+가지</t>
    <phoneticPr fontId="4" type="noConversion"/>
  </si>
  <si>
    <t>뿌리재적</t>
    <phoneticPr fontId="4" type="noConversion"/>
  </si>
  <si>
    <t>여기에 산림생태학에 제시된 분배비(%)를 적용하여 뿌리부 발생량을 산정합니다.</t>
  </si>
  <si>
    <t>줄기 가지 잎 뿌리</t>
  </si>
  <si>
    <t>소나무, 리기다소나무 : 46 17 28 9</t>
  </si>
  <si>
    <t>상수리, 밤나무 : 45 17 25 13</t>
  </si>
  <si>
    <t>아까시나무, 오리나무 : 60 14 15 11</t>
  </si>
  <si>
    <t>지상부에서 나온 중량이 [줄기+가지+잎]의 무게이며, 분배비를 이용해서 뿌리부 무게를 산출</t>
  </si>
  <si>
    <t>지상부와 뿌리부를 합산하여 최종 임목폐기물 발생량을 산정합니다.</t>
  </si>
  <si>
    <t>공 종</t>
    <phoneticPr fontId="4" type="noConversion"/>
  </si>
  <si>
    <t>단 위</t>
    <phoneticPr fontId="4" type="noConversion"/>
  </si>
  <si>
    <t>규 격</t>
    <phoneticPr fontId="4" type="noConversion"/>
  </si>
  <si>
    <t>본 선</t>
    <phoneticPr fontId="8" type="noConversion"/>
  </si>
  <si>
    <t>비 고</t>
    <phoneticPr fontId="4" type="noConversion"/>
  </si>
  <si>
    <t>거 리</t>
    <phoneticPr fontId="8" type="noConversion"/>
  </si>
  <si>
    <t>㎥</t>
    <phoneticPr fontId="4" type="noConversion"/>
  </si>
  <si>
    <t>토  사</t>
    <phoneticPr fontId="4" type="noConversion"/>
  </si>
  <si>
    <t>연  암</t>
    <phoneticPr fontId="4" type="noConversion"/>
  </si>
  <si>
    <t xml:space="preserve">㎥ </t>
    <phoneticPr fontId="4" type="noConversion"/>
  </si>
  <si>
    <t xml:space="preserve">㎡ </t>
    <phoneticPr fontId="4" type="noConversion"/>
  </si>
  <si>
    <t>㎥</t>
  </si>
  <si>
    <t>종단</t>
    <phoneticPr fontId="8" type="noConversion"/>
  </si>
  <si>
    <t>횡단</t>
    <phoneticPr fontId="8" type="noConversion"/>
  </si>
  <si>
    <t>토사</t>
    <phoneticPr fontId="8" type="noConversion"/>
  </si>
  <si>
    <t>암</t>
    <phoneticPr fontId="8" type="noConversion"/>
  </si>
  <si>
    <t xml:space="preserve"> </t>
  </si>
  <si>
    <t>절토면</t>
  </si>
  <si>
    <t>성토면</t>
  </si>
  <si>
    <t>㎥</t>
    <phoneticPr fontId="8" type="noConversion"/>
  </si>
  <si>
    <t>측 점</t>
  </si>
  <si>
    <t>거 리</t>
  </si>
  <si>
    <t>[절토]</t>
  </si>
  <si>
    <t>측구파기</t>
    <phoneticPr fontId="4" type="noConversion"/>
  </si>
  <si>
    <t>보정량계</t>
  </si>
  <si>
    <t>[성토]</t>
  </si>
  <si>
    <t>유용토</t>
  </si>
  <si>
    <t>차인토량</t>
  </si>
  <si>
    <t>누가토량</t>
  </si>
  <si>
    <t>[면고르기]</t>
  </si>
  <si>
    <t>[지장목제거]</t>
  </si>
  <si>
    <t>[노면정리]</t>
    <phoneticPr fontId="23" type="noConversion"/>
  </si>
  <si>
    <t>&lt;토사&gt;</t>
  </si>
  <si>
    <t>&lt;연암&gt;</t>
    <phoneticPr fontId="23" type="noConversion"/>
  </si>
  <si>
    <t>&lt;암&gt;</t>
    <phoneticPr fontId="23" type="noConversion"/>
  </si>
  <si>
    <t>성토</t>
  </si>
  <si>
    <t>절토</t>
  </si>
  <si>
    <t>단면적</t>
  </si>
  <si>
    <t>입적</t>
  </si>
  <si>
    <t>보정량</t>
  </si>
  <si>
    <t>거리</t>
  </si>
  <si>
    <t>면적</t>
  </si>
  <si>
    <t>계</t>
    <phoneticPr fontId="23" type="noConversion"/>
  </si>
  <si>
    <t>구분</t>
  </si>
  <si>
    <t>계</t>
  </si>
  <si>
    <t>비    고</t>
  </si>
  <si>
    <t>포장</t>
  </si>
  <si>
    <t>○.수리 집수면적 유역도</t>
    <phoneticPr fontId="8" type="noConversion"/>
  </si>
  <si>
    <t xml:space="preserve">  축척 : none</t>
    <phoneticPr fontId="8" type="noConversion"/>
  </si>
  <si>
    <t>기호</t>
    <phoneticPr fontId="33" type="noConversion"/>
  </si>
  <si>
    <t>측점</t>
    <phoneticPr fontId="33" type="noConversion"/>
  </si>
  <si>
    <t>배수관크기</t>
    <phoneticPr fontId="33" type="noConversion"/>
  </si>
  <si>
    <t>유역면적
(ha)</t>
    <phoneticPr fontId="33" type="noConversion"/>
  </si>
  <si>
    <t>비고</t>
    <phoneticPr fontId="33" type="noConversion"/>
  </si>
  <si>
    <t>1. 홍 수 량 계 산</t>
    <phoneticPr fontId="37" type="noConversion"/>
  </si>
  <si>
    <t>1-1. Rational Method공식</t>
    <phoneticPr fontId="37" type="noConversion"/>
  </si>
  <si>
    <t>㎥</t>
    <phoneticPr fontId="13" type="noConversion"/>
  </si>
  <si>
    <t>▽</t>
  </si>
  <si>
    <t>%</t>
  </si>
  <si>
    <t>2. 단 면 검 토</t>
    <phoneticPr fontId="37" type="noConversion"/>
  </si>
  <si>
    <t>­ 파형강관 -</t>
    <phoneticPr fontId="13" type="noConversion"/>
  </si>
  <si>
    <t>Q'  :</t>
    <phoneticPr fontId="37" type="noConversion"/>
  </si>
  <si>
    <t>1.2 Q</t>
    <phoneticPr fontId="37" type="noConversion"/>
  </si>
  <si>
    <t xml:space="preserve">  1 . 총 홍 수 량</t>
    <phoneticPr fontId="13" type="noConversion"/>
  </si>
  <si>
    <t>Q  : 홍수량 ㎥/sec</t>
    <phoneticPr fontId="37" type="noConversion"/>
  </si>
  <si>
    <t xml:space="preserve">f  : 유출계수 </t>
    <phoneticPr fontId="37" type="noConversion"/>
  </si>
  <si>
    <t>rt : 평균시간 강우량 mm/hr</t>
    <phoneticPr fontId="37" type="noConversion"/>
  </si>
  <si>
    <t xml:space="preserve">  2 . 유 출 량</t>
    <phoneticPr fontId="13" type="noConversion"/>
  </si>
  <si>
    <t>A  : 유역면적 ㎢</t>
    <phoneticPr fontId="37" type="noConversion"/>
  </si>
  <si>
    <t>단  면 :  D  =</t>
    <phoneticPr fontId="13" type="noConversion"/>
  </si>
  <si>
    <t>mm</t>
  </si>
  <si>
    <t>1-2. 홍수도달시간</t>
    <phoneticPr fontId="37" type="noConversion"/>
  </si>
  <si>
    <r>
      <t>단면적 :  A = π D</t>
    </r>
    <r>
      <rPr>
        <vertAlign val="superscript"/>
        <sz val="10"/>
        <rFont val="굴림체"/>
        <family val="3"/>
        <charset val="129"/>
      </rPr>
      <t>2</t>
    </r>
    <r>
      <rPr>
        <sz val="10"/>
        <rFont val="굴림체"/>
        <family val="3"/>
        <charset val="129"/>
      </rPr>
      <t>/4×240/360+ D/2×sin60×2D×cos60</t>
    </r>
    <phoneticPr fontId="13" type="noConversion"/>
  </si>
  <si>
    <t>산지부 (Kerby 공식)</t>
    <phoneticPr fontId="13" type="noConversion"/>
  </si>
  <si>
    <r>
      <t xml:space="preserve">  =  0.63185 D</t>
    </r>
    <r>
      <rPr>
        <vertAlign val="superscript"/>
        <sz val="10"/>
        <rFont val="굴림체"/>
        <family val="3"/>
        <charset val="129"/>
      </rPr>
      <t xml:space="preserve">2 </t>
    </r>
    <phoneticPr fontId="13" type="noConversion"/>
  </si>
  <si>
    <t>=</t>
  </si>
  <si>
    <r>
      <t xml:space="preserve">T = {2/3×3.28×L×(n/√s)} </t>
    </r>
    <r>
      <rPr>
        <vertAlign val="superscript"/>
        <sz val="10"/>
        <rFont val="굴림체"/>
        <family val="3"/>
        <charset val="129"/>
      </rPr>
      <t>0.467</t>
    </r>
    <phoneticPr fontId="13" type="noConversion"/>
  </si>
  <si>
    <t>윤  변 :  p  =  π D × 240/360</t>
    <phoneticPr fontId="13" type="noConversion"/>
  </si>
  <si>
    <r>
      <t xml:space="preserve">  =  2.0944 D</t>
    </r>
    <r>
      <rPr>
        <vertAlign val="superscript"/>
        <sz val="10"/>
        <rFont val="굴림체"/>
        <family val="3"/>
        <charset val="129"/>
      </rPr>
      <t xml:space="preserve"> </t>
    </r>
    <phoneticPr fontId="13" type="noConversion"/>
  </si>
  <si>
    <t>T : 홍수도달시간 (hr)</t>
    <phoneticPr fontId="37" type="noConversion"/>
  </si>
  <si>
    <t>경  심 :  R  =  A / P  =  0.3018 D</t>
    <phoneticPr fontId="13" type="noConversion"/>
  </si>
  <si>
    <t>L : 산정에서 하천시점까지 거리 (m)</t>
    <phoneticPr fontId="13" type="noConversion"/>
  </si>
  <si>
    <t>하상경사:  S  =  1 /</t>
    <phoneticPr fontId="13" type="noConversion"/>
  </si>
  <si>
    <t>=</t>
    <phoneticPr fontId="13" type="noConversion"/>
  </si>
  <si>
    <t>%</t>
    <phoneticPr fontId="13" type="noConversion"/>
  </si>
  <si>
    <t>s : 지표면경사 (H/L)</t>
    <phoneticPr fontId="13" type="noConversion"/>
  </si>
  <si>
    <t>n : 지체계수(일반적인 산간유역 0.70)</t>
    <phoneticPr fontId="13" type="noConversion"/>
  </si>
  <si>
    <t>H : 산정에서 하천시점까지 표고차(m)</t>
    <phoneticPr fontId="13" type="noConversion"/>
  </si>
  <si>
    <t xml:space="preserve">―  유    속  : </t>
    <phoneticPr fontId="13" type="noConversion"/>
  </si>
  <si>
    <t>1-3. 강우강도rt의 결정</t>
    <phoneticPr fontId="37" type="noConversion"/>
  </si>
  <si>
    <t>m/sec</t>
    <phoneticPr fontId="13" type="noConversion"/>
  </si>
  <si>
    <r>
      <t>rt = (R</t>
    </r>
    <r>
      <rPr>
        <vertAlign val="subscript"/>
        <sz val="10"/>
        <rFont val="굴림체"/>
        <family val="3"/>
        <charset val="129"/>
      </rPr>
      <t>24</t>
    </r>
    <r>
      <rPr>
        <sz val="10"/>
        <rFont val="굴림체"/>
        <family val="3"/>
        <charset val="129"/>
      </rPr>
      <t xml:space="preserve">/24)·(24/T) </t>
    </r>
    <r>
      <rPr>
        <vertAlign val="superscript"/>
        <sz val="10"/>
        <rFont val="굴림체"/>
        <family val="3"/>
        <charset val="129"/>
      </rPr>
      <t>0.557</t>
    </r>
    <phoneticPr fontId="37" type="noConversion"/>
  </si>
  <si>
    <t xml:space="preserve">―  유 출 량  : </t>
    <phoneticPr fontId="13" type="noConversion"/>
  </si>
  <si>
    <t>㎥/sec</t>
    <phoneticPr fontId="13" type="noConversion"/>
  </si>
  <si>
    <r>
      <t>R</t>
    </r>
    <r>
      <rPr>
        <vertAlign val="subscript"/>
        <sz val="10"/>
        <rFont val="굴림체"/>
        <family val="3"/>
        <charset val="129"/>
      </rPr>
      <t>24</t>
    </r>
    <r>
      <rPr>
        <sz val="10"/>
        <rFont val="굴림체"/>
        <family val="3"/>
        <charset val="129"/>
      </rPr>
      <t xml:space="preserve"> :</t>
    </r>
    <phoneticPr fontId="37" type="noConversion"/>
  </si>
  <si>
    <t>mm/day</t>
    <phoneticPr fontId="37" type="noConversion"/>
  </si>
  <si>
    <t>지 역</t>
    <phoneticPr fontId="37" type="noConversion"/>
  </si>
  <si>
    <t>재현기간</t>
    <phoneticPr fontId="37" type="noConversion"/>
  </si>
  <si>
    <t>(건설교통부 2012.12 전국주요지점의 확률강우량 부록편)</t>
    <phoneticPr fontId="37" type="noConversion"/>
  </si>
  <si>
    <t xml:space="preserve">―  유 출 율  : </t>
    <phoneticPr fontId="13" type="noConversion"/>
  </si>
  <si>
    <t>지역</t>
    <phoneticPr fontId="37" type="noConversion"/>
  </si>
  <si>
    <t>강우량</t>
    <phoneticPr fontId="37" type="noConversion"/>
  </si>
  <si>
    <t>울진</t>
    <phoneticPr fontId="37" type="noConversion"/>
  </si>
  <si>
    <t>추풍령</t>
    <phoneticPr fontId="37" type="noConversion"/>
  </si>
  <si>
    <t>안동</t>
    <phoneticPr fontId="37" type="noConversion"/>
  </si>
  <si>
    <t>포항</t>
    <phoneticPr fontId="37" type="noConversion"/>
  </si>
  <si>
    <t>대구</t>
    <phoneticPr fontId="37" type="noConversion"/>
  </si>
  <si>
    <t>춘양</t>
    <phoneticPr fontId="37" type="noConversion"/>
  </si>
  <si>
    <t>영주</t>
    <phoneticPr fontId="37" type="noConversion"/>
  </si>
  <si>
    <t>문경</t>
    <phoneticPr fontId="37" type="noConversion"/>
  </si>
  <si>
    <t>영덕</t>
    <phoneticPr fontId="37" type="noConversion"/>
  </si>
  <si>
    <t>의성</t>
    <phoneticPr fontId="37" type="noConversion"/>
  </si>
  <si>
    <t>구미</t>
    <phoneticPr fontId="37" type="noConversion"/>
  </si>
  <si>
    <t>영천</t>
    <phoneticPr fontId="37" type="noConversion"/>
  </si>
  <si>
    <t>암</t>
    <phoneticPr fontId="4" type="noConversion"/>
  </si>
  <si>
    <t>현장</t>
  </si>
  <si>
    <t>1차선이하</t>
  </si>
  <si>
    <t>중기운반</t>
  </si>
  <si>
    <t>모래운반</t>
  </si>
  <si>
    <t>자갈운반</t>
  </si>
  <si>
    <t>철근, 시멘트운반</t>
  </si>
  <si>
    <t xml:space="preserve">       거   리   이   정   표</t>
    <phoneticPr fontId="4" type="noConversion"/>
  </si>
  <si>
    <t>거리</t>
    <phoneticPr fontId="23" type="noConversion"/>
  </si>
  <si>
    <t>면적</t>
    <phoneticPr fontId="23" type="noConversion"/>
  </si>
  <si>
    <t>25-21-80</t>
    <phoneticPr fontId="8" type="noConversion"/>
  </si>
  <si>
    <r>
      <t xml:space="preserve">※뿌리재적 및 가지 재적 산출은 </t>
    </r>
    <r>
      <rPr>
        <b/>
        <sz val="10"/>
        <rFont val="굴림체"/>
        <family val="3"/>
        <charset val="129"/>
      </rPr>
      <t>환경부고시(제2015-160호)</t>
    </r>
    <r>
      <rPr>
        <sz val="10"/>
        <rFont val="굴림체"/>
        <family val="3"/>
        <charset val="129"/>
      </rPr>
      <t xml:space="preserve"> 분배비 적용하여 산출함.</t>
    </r>
    <phoneticPr fontId="4" type="noConversion"/>
  </si>
  <si>
    <t>※뿌리중량은 건설표준품셈(1-10 재료의 단위 중량 생송재 800kg/m3) 적용하여 산출함.</t>
    <phoneticPr fontId="23" type="noConversion"/>
  </si>
  <si>
    <t>※파쇄량은 파쇄후 생산량으로 계산(생재 1.0ton은 파쇄후 2.3m3 적용--&gt;산림청 임산물 생산조사지침 참조).</t>
    <phoneticPr fontId="23" type="noConversion"/>
  </si>
  <si>
    <t>소나무</t>
  </si>
  <si>
    <t>2. 단 면 검 토</t>
    <phoneticPr fontId="37" type="noConversion"/>
  </si>
  <si>
    <t>1. 홍 수 량 계 산</t>
    <phoneticPr fontId="37" type="noConversion"/>
  </si>
  <si>
    <t>­ 물넘이포장</t>
    <phoneticPr fontId="13" type="noConversion"/>
  </si>
  <si>
    <t>1-1. Rational Method공식</t>
    <phoneticPr fontId="37" type="noConversion"/>
  </si>
  <si>
    <t>­ B O X</t>
    <phoneticPr fontId="13" type="noConversion"/>
  </si>
  <si>
    <t>­ 흄  관</t>
    <phoneticPr fontId="13" type="noConversion"/>
  </si>
  <si>
    <t xml:space="preserve"> 1 . 총 홍 수 량</t>
    <phoneticPr fontId="13" type="noConversion"/>
  </si>
  <si>
    <t>㎥</t>
    <phoneticPr fontId="13" type="noConversion"/>
  </si>
  <si>
    <t xml:space="preserve">  1 . 총 홍 수 량</t>
    <phoneticPr fontId="13" type="noConversion"/>
  </si>
  <si>
    <t>Q'  :</t>
    <phoneticPr fontId="37" type="noConversion"/>
  </si>
  <si>
    <t>1.2 Q</t>
    <phoneticPr fontId="37" type="noConversion"/>
  </si>
  <si>
    <t>홍수위</t>
    <phoneticPr fontId="52" type="noConversion"/>
  </si>
  <si>
    <t>Q  : 홍수량 ㎥/sec</t>
    <phoneticPr fontId="37" type="noConversion"/>
  </si>
  <si>
    <t xml:space="preserve"> 2 . 유 출 량</t>
    <phoneticPr fontId="13" type="noConversion"/>
  </si>
  <si>
    <t xml:space="preserve">  2 . 유 출 량</t>
    <phoneticPr fontId="13" type="noConversion"/>
  </si>
  <si>
    <t xml:space="preserve">f  : 유출계수 </t>
    <phoneticPr fontId="37" type="noConversion"/>
  </si>
  <si>
    <t>단  면 :</t>
    <phoneticPr fontId="13" type="noConversion"/>
  </si>
  <si>
    <t>단  면 :  D  =</t>
    <phoneticPr fontId="13" type="noConversion"/>
  </si>
  <si>
    <t>rt : 평균시간 강우량 mm/hr</t>
    <phoneticPr fontId="37" type="noConversion"/>
  </si>
  <si>
    <r>
      <t>단면적 :  A  =  π D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/4 × 240/360 + D/2 × sin60 × 2D × cos60</t>
    </r>
    <phoneticPr fontId="13" type="noConversion"/>
  </si>
  <si>
    <t>A  : 유역면적 ㎢</t>
    <phoneticPr fontId="37" type="noConversion"/>
  </si>
  <si>
    <t>단면적 :</t>
    <phoneticPr fontId="13" type="noConversion"/>
  </si>
  <si>
    <t>A  =</t>
    <phoneticPr fontId="13" type="noConversion"/>
  </si>
  <si>
    <r>
      <t xml:space="preserve">  =  0.63185 D</t>
    </r>
    <r>
      <rPr>
        <vertAlign val="superscript"/>
        <sz val="10"/>
        <rFont val="굴림"/>
        <family val="3"/>
        <charset val="129"/>
      </rPr>
      <t xml:space="preserve">2 </t>
    </r>
    <phoneticPr fontId="13" type="noConversion"/>
  </si>
  <si>
    <t>윤  변 :</t>
    <phoneticPr fontId="13" type="noConversion"/>
  </si>
  <si>
    <t>P  =</t>
    <phoneticPr fontId="13" type="noConversion"/>
  </si>
  <si>
    <t>윤  변 :  p  =  π D × 240/360</t>
    <phoneticPr fontId="13" type="noConversion"/>
  </si>
  <si>
    <t>1-2. 홍수도달시간</t>
    <phoneticPr fontId="37" type="noConversion"/>
  </si>
  <si>
    <t>경  심 :</t>
    <phoneticPr fontId="13" type="noConversion"/>
  </si>
  <si>
    <t>R  =</t>
    <phoneticPr fontId="13" type="noConversion"/>
  </si>
  <si>
    <t>A / P  =</t>
    <phoneticPr fontId="13" type="noConversion"/>
  </si>
  <si>
    <r>
      <t xml:space="preserve">  =  2.0944 D</t>
    </r>
    <r>
      <rPr>
        <vertAlign val="superscript"/>
        <sz val="10"/>
        <rFont val="굴림"/>
        <family val="3"/>
        <charset val="129"/>
      </rPr>
      <t xml:space="preserve"> </t>
    </r>
    <phoneticPr fontId="13" type="noConversion"/>
  </si>
  <si>
    <r>
      <t>P</t>
    </r>
    <r>
      <rPr>
        <vertAlign val="subscript"/>
        <sz val="10"/>
        <rFont val="굴림"/>
        <family val="3"/>
        <charset val="129"/>
      </rPr>
      <t xml:space="preserve">1  </t>
    </r>
    <r>
      <rPr>
        <sz val="10"/>
        <rFont val="굴림"/>
        <family val="3"/>
        <charset val="129"/>
      </rPr>
      <t>=</t>
    </r>
    <phoneticPr fontId="52" type="noConversion"/>
  </si>
  <si>
    <t>하상경사 :</t>
    <phoneticPr fontId="13" type="noConversion"/>
  </si>
  <si>
    <t>S  =</t>
    <phoneticPr fontId="13" type="noConversion"/>
  </si>
  <si>
    <t>1   /</t>
    <phoneticPr fontId="13" type="noConversion"/>
  </si>
  <si>
    <t>경  심 :  R  =  A / P  =  0.3018 D</t>
    <phoneticPr fontId="13" type="noConversion"/>
  </si>
  <si>
    <t>산지부 (Kerby 공식)</t>
    <phoneticPr fontId="13" type="noConversion"/>
  </si>
  <si>
    <t>S  =</t>
    <phoneticPr fontId="52" type="noConversion"/>
  </si>
  <si>
    <t>1 / 10 =</t>
    <phoneticPr fontId="52" type="noConversion"/>
  </si>
  <si>
    <t>n  =</t>
    <phoneticPr fontId="13" type="noConversion"/>
  </si>
  <si>
    <t>(  N  =</t>
    <phoneticPr fontId="13" type="noConversion"/>
  </si>
  <si>
    <t>)</t>
    <phoneticPr fontId="13" type="noConversion"/>
  </si>
  <si>
    <t>하상경사:  S  =  1 /</t>
    <phoneticPr fontId="13" type="noConversion"/>
  </si>
  <si>
    <t>=</t>
    <phoneticPr fontId="13" type="noConversion"/>
  </si>
  <si>
    <t>%</t>
    <phoneticPr fontId="13" type="noConversion"/>
  </si>
  <si>
    <t>n  =</t>
    <phoneticPr fontId="52" type="noConversion"/>
  </si>
  <si>
    <t xml:space="preserve">   n   =</t>
    <phoneticPr fontId="13" type="noConversion"/>
  </si>
  <si>
    <r>
      <t xml:space="preserve">T = {2/3×3.28×L×(n/√s)} </t>
    </r>
    <r>
      <rPr>
        <vertAlign val="superscript"/>
        <sz val="10"/>
        <rFont val="굴림"/>
        <family val="3"/>
        <charset val="129"/>
      </rPr>
      <t>0.467</t>
    </r>
    <phoneticPr fontId="13" type="noConversion"/>
  </si>
  <si>
    <t>유  속 :</t>
    <phoneticPr fontId="8" type="noConversion"/>
  </si>
  <si>
    <t xml:space="preserve">―  유    속  : </t>
    <phoneticPr fontId="13" type="noConversion"/>
  </si>
  <si>
    <t>T : 홍수도달시간 (hr)</t>
    <phoneticPr fontId="37" type="noConversion"/>
  </si>
  <si>
    <t>m/s</t>
    <phoneticPr fontId="13" type="noConversion"/>
  </si>
  <si>
    <t>m/sec</t>
    <phoneticPr fontId="13" type="noConversion"/>
  </si>
  <si>
    <t>L : 산정에서 하천시점까지 거리 (m)</t>
    <phoneticPr fontId="13" type="noConversion"/>
  </si>
  <si>
    <t>1. 윤    변</t>
    <phoneticPr fontId="13" type="noConversion"/>
  </si>
  <si>
    <t>s : 지표면경사 (H/L)</t>
    <phoneticPr fontId="13" type="noConversion"/>
  </si>
  <si>
    <t>P  =</t>
    <phoneticPr fontId="52" type="noConversion"/>
  </si>
  <si>
    <t>유출량 :</t>
    <phoneticPr fontId="8" type="noConversion"/>
  </si>
  <si>
    <r>
      <t>㎥</t>
    </r>
    <r>
      <rPr>
        <b/>
        <sz val="10"/>
        <rFont val="굴림"/>
        <family val="3"/>
        <charset val="129"/>
      </rPr>
      <t>/s</t>
    </r>
    <phoneticPr fontId="13" type="noConversion"/>
  </si>
  <si>
    <t xml:space="preserve">―  유 출 량  : </t>
    <phoneticPr fontId="13" type="noConversion"/>
  </si>
  <si>
    <t>㎥/sec</t>
    <phoneticPr fontId="13" type="noConversion"/>
  </si>
  <si>
    <t>n : 지체계수(일반적인 산간유역 0.70)</t>
    <phoneticPr fontId="13" type="noConversion"/>
  </si>
  <si>
    <t>H : 산정에서 하천시점까지 표고차(m)</t>
    <phoneticPr fontId="13" type="noConversion"/>
  </si>
  <si>
    <t>2. 단 면 적</t>
    <phoneticPr fontId="13" type="noConversion"/>
  </si>
  <si>
    <t>A  =</t>
    <phoneticPr fontId="52" type="noConversion"/>
  </si>
  <si>
    <t>1-3. 강우강도rt의 결정</t>
    <phoneticPr fontId="37" type="noConversion"/>
  </si>
  <si>
    <t>유출율 :</t>
    <phoneticPr fontId="13" type="noConversion"/>
  </si>
  <si>
    <t xml:space="preserve">―  유 출 율  : </t>
    <phoneticPr fontId="13" type="noConversion"/>
  </si>
  <si>
    <t>3. 경    심</t>
    <phoneticPr fontId="13" type="noConversion"/>
  </si>
  <si>
    <r>
      <t>rt = (R</t>
    </r>
    <r>
      <rPr>
        <vertAlign val="subscript"/>
        <sz val="10"/>
        <rFont val="굴림"/>
        <family val="3"/>
        <charset val="129"/>
      </rPr>
      <t>24</t>
    </r>
    <r>
      <rPr>
        <sz val="10"/>
        <rFont val="굴림"/>
        <family val="3"/>
        <charset val="129"/>
      </rPr>
      <t xml:space="preserve">/24)·(24/T) </t>
    </r>
    <r>
      <rPr>
        <vertAlign val="superscript"/>
        <sz val="10"/>
        <rFont val="굴림"/>
        <family val="3"/>
        <charset val="129"/>
      </rPr>
      <t>0.557</t>
    </r>
    <phoneticPr fontId="37" type="noConversion"/>
  </si>
  <si>
    <t>R  =</t>
    <phoneticPr fontId="52" type="noConversion"/>
  </si>
  <si>
    <r>
      <t>R</t>
    </r>
    <r>
      <rPr>
        <vertAlign val="subscript"/>
        <sz val="10"/>
        <rFont val="굴림"/>
        <family val="3"/>
        <charset val="129"/>
      </rPr>
      <t>24</t>
    </r>
    <r>
      <rPr>
        <sz val="10"/>
        <rFont val="굴림"/>
        <family val="3"/>
        <charset val="129"/>
      </rPr>
      <t xml:space="preserve"> :</t>
    </r>
    <phoneticPr fontId="37" type="noConversion"/>
  </si>
  <si>
    <t>mm/day</t>
    <phoneticPr fontId="37" type="noConversion"/>
  </si>
  <si>
    <t>지 역</t>
    <phoneticPr fontId="37" type="noConversion"/>
  </si>
  <si>
    <t>재현기간</t>
    <phoneticPr fontId="37" type="noConversion"/>
  </si>
  <si>
    <t>4. 유    속</t>
    <phoneticPr fontId="13" type="noConversion"/>
  </si>
  <si>
    <t>V  =</t>
    <phoneticPr fontId="52" type="noConversion"/>
  </si>
  <si>
    <t>5. 유    량</t>
    <phoneticPr fontId="13" type="noConversion"/>
  </si>
  <si>
    <t>% )</t>
    <phoneticPr fontId="13" type="noConversion"/>
  </si>
  <si>
    <t>지역</t>
    <phoneticPr fontId="37" type="noConversion"/>
  </si>
  <si>
    <t>강우량</t>
    <phoneticPr fontId="37" type="noConversion"/>
  </si>
  <si>
    <t>울진</t>
    <phoneticPr fontId="37" type="noConversion"/>
  </si>
  <si>
    <t>추풍령</t>
    <phoneticPr fontId="37" type="noConversion"/>
  </si>
  <si>
    <t>안동</t>
    <phoneticPr fontId="37" type="noConversion"/>
  </si>
  <si>
    <t>포항</t>
    <phoneticPr fontId="37" type="noConversion"/>
  </si>
  <si>
    <t>대구</t>
    <phoneticPr fontId="37" type="noConversion"/>
  </si>
  <si>
    <t>춘양</t>
    <phoneticPr fontId="37" type="noConversion"/>
  </si>
  <si>
    <t>영주</t>
    <phoneticPr fontId="37" type="noConversion"/>
  </si>
  <si>
    <t>문경</t>
    <phoneticPr fontId="37" type="noConversion"/>
  </si>
  <si>
    <t>영덕</t>
    <phoneticPr fontId="37" type="noConversion"/>
  </si>
  <si>
    <t>의성</t>
    <phoneticPr fontId="37" type="noConversion"/>
  </si>
  <si>
    <t>구미</t>
    <phoneticPr fontId="37" type="noConversion"/>
  </si>
  <si>
    <t>영천</t>
    <phoneticPr fontId="37" type="noConversion"/>
  </si>
  <si>
    <t>개소</t>
    <phoneticPr fontId="13" type="noConversion"/>
  </si>
  <si>
    <t>소운반</t>
    <phoneticPr fontId="4" type="noConversion"/>
  </si>
  <si>
    <t>포장구간제외</t>
    <phoneticPr fontId="4" type="noConversion"/>
  </si>
  <si>
    <t>25-18-80</t>
    <phoneticPr fontId="8" type="noConversion"/>
  </si>
  <si>
    <t>50%적용</t>
    <phoneticPr fontId="4" type="noConversion"/>
  </si>
  <si>
    <t>관보호공</t>
    <phoneticPr fontId="4" type="noConversion"/>
  </si>
  <si>
    <t>개소</t>
    <phoneticPr fontId="4" type="noConversion"/>
  </si>
  <si>
    <t>개소</t>
    <phoneticPr fontId="4" type="noConversion"/>
  </si>
  <si>
    <t>이형철근</t>
    <phoneticPr fontId="4" type="noConversion"/>
  </si>
  <si>
    <t>㎥</t>
    <phoneticPr fontId="8" type="noConversion"/>
  </si>
  <si>
    <t>#6,100*100</t>
    <phoneticPr fontId="4" type="noConversion"/>
  </si>
  <si>
    <t>㎡</t>
    <phoneticPr fontId="4" type="noConversion"/>
  </si>
  <si>
    <t>와이어메쉬</t>
    <phoneticPr fontId="4" type="noConversion"/>
  </si>
  <si>
    <t>#6,100×100</t>
    <phoneticPr fontId="4" type="noConversion"/>
  </si>
  <si>
    <t>현장입구</t>
    <phoneticPr fontId="4" type="noConversion"/>
  </si>
  <si>
    <t>SD400</t>
    <phoneticPr fontId="8" type="noConversion"/>
  </si>
  <si>
    <t>비  고</t>
    <phoneticPr fontId="4" type="noConversion"/>
  </si>
  <si>
    <t>HD 16mm</t>
    <phoneticPr fontId="8" type="noConversion"/>
  </si>
  <si>
    <t>국가지점
번호판</t>
    <phoneticPr fontId="4" type="noConversion"/>
  </si>
  <si>
    <t>6. 와이어메쉬</t>
    <phoneticPr fontId="8" type="noConversion"/>
  </si>
  <si>
    <t>7. 떼</t>
    <phoneticPr fontId="4" type="noConversion"/>
  </si>
  <si>
    <t xml:space="preserve">   대피소(지선 NO.4)</t>
    <phoneticPr fontId="4" type="noConversion"/>
  </si>
  <si>
    <t xml:space="preserve">   대피소(지선 NO.10)</t>
    <phoneticPr fontId="4" type="noConversion"/>
  </si>
  <si>
    <t>m</t>
    <phoneticPr fontId="8" type="noConversion"/>
  </si>
  <si>
    <t xml:space="preserve">   대피소(본선 NO.7+11)</t>
    <phoneticPr fontId="4" type="noConversion"/>
  </si>
  <si>
    <t>씨뿌리기
(노견)</t>
    <phoneticPr fontId="4" type="noConversion"/>
  </si>
  <si>
    <t>씨뿌리기</t>
    <phoneticPr fontId="4" type="noConversion"/>
  </si>
  <si>
    <t>절토면</t>
    <phoneticPr fontId="4" type="noConversion"/>
  </si>
  <si>
    <t>㎡</t>
    <phoneticPr fontId="4" type="noConversion"/>
  </si>
  <si>
    <t>성토면</t>
    <phoneticPr fontId="4" type="noConversion"/>
  </si>
  <si>
    <t>계</t>
    <phoneticPr fontId="4" type="noConversion"/>
  </si>
  <si>
    <t>돌기슭막이</t>
    <phoneticPr fontId="8" type="noConversion"/>
  </si>
  <si>
    <t>HD16</t>
    <phoneticPr fontId="8" type="noConversion"/>
  </si>
  <si>
    <t>토 적 집 계 표</t>
    <phoneticPr fontId="8" type="noConversion"/>
  </si>
  <si>
    <t>NO</t>
    <phoneticPr fontId="13" type="noConversion"/>
  </si>
  <si>
    <t>2. 단면검토</t>
    <phoneticPr fontId="37" type="noConversion"/>
  </si>
  <si>
    <t>1-1. Rational Method공식</t>
    <phoneticPr fontId="37" type="noConversion"/>
  </si>
  <si>
    <t>­ B O X</t>
    <phoneticPr fontId="13" type="noConversion"/>
  </si>
  <si>
    <t xml:space="preserve"> 1 . 총 홍 수 량</t>
    <phoneticPr fontId="13" type="noConversion"/>
  </si>
  <si>
    <t>㎥</t>
    <phoneticPr fontId="13" type="noConversion"/>
  </si>
  <si>
    <t>Qd : 홍수량 × 1.5</t>
    <phoneticPr fontId="37" type="noConversion"/>
  </si>
  <si>
    <t>Q  : 홍수량 ㎥/sec</t>
    <phoneticPr fontId="37" type="noConversion"/>
  </si>
  <si>
    <t xml:space="preserve"> 2 . 유 출 량</t>
    <phoneticPr fontId="13" type="noConversion"/>
  </si>
  <si>
    <t xml:space="preserve">f  : 유출계수 </t>
    <phoneticPr fontId="37" type="noConversion"/>
  </si>
  <si>
    <t>단  면 :</t>
    <phoneticPr fontId="13" type="noConversion"/>
  </si>
  <si>
    <t>rt : 평균시간 강우량 mm/hr</t>
    <phoneticPr fontId="37" type="noConversion"/>
  </si>
  <si>
    <t>A  : 유역면적 ㎢</t>
    <phoneticPr fontId="37" type="noConversion"/>
  </si>
  <si>
    <t>단면적 :</t>
    <phoneticPr fontId="13" type="noConversion"/>
  </si>
  <si>
    <t>A  =</t>
    <phoneticPr fontId="13" type="noConversion"/>
  </si>
  <si>
    <t>1-2. 홍수도달시간</t>
    <phoneticPr fontId="37" type="noConversion"/>
  </si>
  <si>
    <t>경  심 :</t>
    <phoneticPr fontId="13" type="noConversion"/>
  </si>
  <si>
    <t>R  =</t>
    <phoneticPr fontId="13" type="noConversion"/>
  </si>
  <si>
    <r>
      <t xml:space="preserve">T = </t>
    </r>
    <r>
      <rPr>
        <sz val="10"/>
        <rFont val="돋움체"/>
        <family val="3"/>
        <charset val="129"/>
      </rPr>
      <t>{2/3×3.28×L×(n/√s)}</t>
    </r>
    <r>
      <rPr>
        <sz val="10"/>
        <rFont val="돋움체"/>
        <family val="3"/>
        <charset val="129"/>
      </rPr>
      <t xml:space="preserve"> </t>
    </r>
    <r>
      <rPr>
        <vertAlign val="superscript"/>
        <sz val="10"/>
        <rFont val="돋움체"/>
        <family val="3"/>
        <charset val="129"/>
      </rPr>
      <t>0.467</t>
    </r>
    <phoneticPr fontId="13" type="noConversion"/>
  </si>
  <si>
    <r>
      <t>T</t>
    </r>
    <r>
      <rPr>
        <sz val="10"/>
        <rFont val="돋움체"/>
        <family val="3"/>
        <charset val="129"/>
      </rPr>
      <t xml:space="preserve"> : 홍수도달시간 (hr)</t>
    </r>
    <phoneticPr fontId="37" type="noConversion"/>
  </si>
  <si>
    <r>
      <t>㎥</t>
    </r>
    <r>
      <rPr>
        <b/>
        <sz val="10"/>
        <rFont val="돋움체"/>
        <family val="3"/>
        <charset val="129"/>
      </rPr>
      <t>/s</t>
    </r>
    <phoneticPr fontId="13" type="noConversion"/>
  </si>
  <si>
    <t>n : 지체계수(일반적인 산간유역 0.70)</t>
    <phoneticPr fontId="13" type="noConversion"/>
  </si>
  <si>
    <t>H : 산정에서 하천시점까지 표고차(m)</t>
    <phoneticPr fontId="13" type="noConversion"/>
  </si>
  <si>
    <t>1-3. 강우강도rt의 결정</t>
    <phoneticPr fontId="37" type="noConversion"/>
  </si>
  <si>
    <t>유출율 :</t>
    <phoneticPr fontId="13" type="noConversion"/>
  </si>
  <si>
    <r>
      <t>rt = (R</t>
    </r>
    <r>
      <rPr>
        <vertAlign val="subscript"/>
        <sz val="10"/>
        <rFont val="돋움체"/>
        <family val="3"/>
        <charset val="129"/>
      </rPr>
      <t>24</t>
    </r>
    <r>
      <rPr>
        <sz val="10"/>
        <rFont val="돋움체"/>
        <family val="3"/>
        <charset val="129"/>
      </rPr>
      <t xml:space="preserve">/24)·(24/T) </t>
    </r>
    <r>
      <rPr>
        <vertAlign val="superscript"/>
        <sz val="10"/>
        <rFont val="돋움체"/>
        <family val="3"/>
        <charset val="129"/>
      </rPr>
      <t>0.557</t>
    </r>
    <phoneticPr fontId="37" type="noConversion"/>
  </si>
  <si>
    <r>
      <t>R</t>
    </r>
    <r>
      <rPr>
        <vertAlign val="subscript"/>
        <sz val="10"/>
        <rFont val="돋움체"/>
        <family val="3"/>
        <charset val="129"/>
      </rPr>
      <t>24</t>
    </r>
    <r>
      <rPr>
        <sz val="10"/>
        <rFont val="돋움체"/>
        <family val="3"/>
        <charset val="129"/>
      </rPr>
      <t xml:space="preserve"> :</t>
    </r>
    <phoneticPr fontId="37" type="noConversion"/>
  </si>
  <si>
    <t>mm/day</t>
    <phoneticPr fontId="37" type="noConversion"/>
  </si>
  <si>
    <t>지 역</t>
    <phoneticPr fontId="37" type="noConversion"/>
  </si>
  <si>
    <t>재현기간</t>
    <phoneticPr fontId="37" type="noConversion"/>
  </si>
  <si>
    <t>지역</t>
    <phoneticPr fontId="37" type="noConversion"/>
  </si>
  <si>
    <t>강우량</t>
    <phoneticPr fontId="37" type="noConversion"/>
  </si>
  <si>
    <t>울진</t>
    <phoneticPr fontId="37" type="noConversion"/>
  </si>
  <si>
    <t>추풍령</t>
    <phoneticPr fontId="37" type="noConversion"/>
  </si>
  <si>
    <t>안동</t>
    <phoneticPr fontId="37" type="noConversion"/>
  </si>
  <si>
    <t>포항</t>
    <phoneticPr fontId="37" type="noConversion"/>
  </si>
  <si>
    <t>대구</t>
    <phoneticPr fontId="37" type="noConversion"/>
  </si>
  <si>
    <t>춘양</t>
    <phoneticPr fontId="37" type="noConversion"/>
  </si>
  <si>
    <t>영주</t>
    <phoneticPr fontId="37" type="noConversion"/>
  </si>
  <si>
    <t>문경</t>
    <phoneticPr fontId="37" type="noConversion"/>
  </si>
  <si>
    <t>영덕</t>
    <phoneticPr fontId="37" type="noConversion"/>
  </si>
  <si>
    <t>의성</t>
    <phoneticPr fontId="37" type="noConversion"/>
  </si>
  <si>
    <t>구미</t>
    <phoneticPr fontId="37" type="noConversion"/>
  </si>
  <si>
    <t>영천</t>
    <phoneticPr fontId="37" type="noConversion"/>
  </si>
  <si>
    <t>NO.8+7</t>
    <phoneticPr fontId="37" type="noConversion"/>
  </si>
  <si>
    <t>구미</t>
  </si>
  <si>
    <t xml:space="preserve">   n =</t>
    <phoneticPr fontId="13" type="noConversion"/>
  </si>
  <si>
    <t>[제근]</t>
    <phoneticPr fontId="23" type="noConversion"/>
  </si>
  <si>
    <t>HD13</t>
    <phoneticPr fontId="8" type="noConversion"/>
  </si>
  <si>
    <t>HD 13mm</t>
    <phoneticPr fontId="8" type="noConversion"/>
  </si>
  <si>
    <t>관보호공</t>
    <phoneticPr fontId="4" type="noConversion"/>
  </si>
  <si>
    <t>떼붙임
(평떼)</t>
    <phoneticPr fontId="4" type="noConversion"/>
  </si>
  <si>
    <t>관보호공</t>
    <phoneticPr fontId="4" type="noConversion"/>
  </si>
  <si>
    <t>파쇄암 운반거리 및 단가 비교표</t>
    <phoneticPr fontId="4" type="noConversion"/>
  </si>
  <si>
    <t>상호(법인명)</t>
    <phoneticPr fontId="4" type="noConversion"/>
  </si>
  <si>
    <t>위 치</t>
    <phoneticPr fontId="4" type="noConversion"/>
  </si>
  <si>
    <t>거리(km)</t>
    <phoneticPr fontId="4" type="noConversion"/>
  </si>
  <si>
    <t>단가(원)</t>
    <phoneticPr fontId="4" type="noConversion"/>
  </si>
  <si>
    <t>운반비(원)</t>
    <phoneticPr fontId="4" type="noConversion"/>
  </si>
  <si>
    <t>합계(원)</t>
    <phoneticPr fontId="4" type="noConversion"/>
  </si>
  <si>
    <t>비고</t>
    <phoneticPr fontId="4" type="noConversion"/>
  </si>
  <si>
    <t>파쇄석운반</t>
    <phoneticPr fontId="4" type="noConversion"/>
  </si>
  <si>
    <t>동물이동통로 돌집수정ㄷ형</t>
    <phoneticPr fontId="4" type="noConversion"/>
  </si>
  <si>
    <t>H=1.5m</t>
    <phoneticPr fontId="8" type="noConversion"/>
  </si>
  <si>
    <t>수로형
토사개거</t>
    <phoneticPr fontId="8" type="noConversion"/>
  </si>
  <si>
    <t>메붙임</t>
    <phoneticPr fontId="4" type="noConversion"/>
  </si>
  <si>
    <t>콘크리트
포장</t>
    <phoneticPr fontId="4" type="noConversion"/>
  </si>
  <si>
    <t>동물이동통로
돌집수정ㄷ형</t>
    <phoneticPr fontId="4" type="noConversion"/>
  </si>
  <si>
    <t>동물이동통로
돌집수정ㄴ형</t>
    <phoneticPr fontId="4" type="noConversion"/>
  </si>
  <si>
    <t>메붙임
L3=45cm내외</t>
    <phoneticPr fontId="8" type="noConversion"/>
  </si>
  <si>
    <t>찰붙임
L3=45cm내외</t>
    <phoneticPr fontId="8" type="noConversion"/>
  </si>
  <si>
    <t>신갈나무</t>
    <phoneticPr fontId="4" type="noConversion"/>
  </si>
  <si>
    <t>폐뿌리파쇄</t>
    <phoneticPr fontId="4" type="noConversion"/>
  </si>
  <si>
    <t>굴참나무</t>
    <phoneticPr fontId="4" type="noConversion"/>
  </si>
  <si>
    <t>기타활엽수</t>
    <phoneticPr fontId="4" type="noConversion"/>
  </si>
  <si>
    <t>Φ800m/m</t>
  </si>
  <si>
    <t>위 치</t>
    <phoneticPr fontId="4" type="noConversion"/>
  </si>
  <si>
    <t>현장입구까지
거리(km)</t>
    <phoneticPr fontId="4" type="noConversion"/>
  </si>
  <si>
    <t>영주시청</t>
    <phoneticPr fontId="13" type="noConversion"/>
  </si>
  <si>
    <t>적용</t>
    <phoneticPr fontId="13" type="noConversion"/>
  </si>
  <si>
    <t>안동시청</t>
    <phoneticPr fontId="4" type="noConversion"/>
  </si>
  <si>
    <t>자갈 운반거리 및 단가 비교표</t>
    <phoneticPr fontId="4" type="noConversion"/>
  </si>
  <si>
    <t>줄기재적의  33.3%(15÷45) 적용</t>
    <phoneticPr fontId="23" type="noConversion"/>
  </si>
  <si>
    <t>줄기재적의  33.3%(15÷45) 적용</t>
    <phoneticPr fontId="4" type="noConversion"/>
  </si>
  <si>
    <t>1.벌  목</t>
  </si>
  <si>
    <t>2.절  토</t>
    <phoneticPr fontId="4" type="noConversion"/>
  </si>
  <si>
    <t>구조물터파기</t>
    <phoneticPr fontId="8" type="noConversion"/>
  </si>
  <si>
    <t>구조물
되메우기</t>
    <phoneticPr fontId="4" type="noConversion"/>
  </si>
  <si>
    <t>5.측구파기</t>
    <phoneticPr fontId="4" type="noConversion"/>
  </si>
  <si>
    <t>6.성  토</t>
    <phoneticPr fontId="4" type="noConversion"/>
  </si>
  <si>
    <t>7.노면정리</t>
    <phoneticPr fontId="4" type="noConversion"/>
  </si>
  <si>
    <t>8.제    근</t>
    <phoneticPr fontId="4" type="noConversion"/>
  </si>
  <si>
    <t>9.무 대</t>
    <phoneticPr fontId="8" type="noConversion"/>
  </si>
  <si>
    <t>10.도 자</t>
    <phoneticPr fontId="8" type="noConversion"/>
  </si>
  <si>
    <t>11.덤 프</t>
    <phoneticPr fontId="4" type="noConversion"/>
  </si>
  <si>
    <t>12.보호공</t>
    <phoneticPr fontId="4" type="noConversion"/>
  </si>
  <si>
    <t>Φ800m/m</t>
    <phoneticPr fontId="13" type="noConversion"/>
  </si>
  <si>
    <t>찰붙임</t>
    <phoneticPr fontId="4" type="noConversion"/>
  </si>
  <si>
    <t>동물이동통로
돌집수정ㄴ형</t>
    <phoneticPr fontId="8" type="noConversion"/>
  </si>
  <si>
    <t>3.구조물터파기</t>
    <phoneticPr fontId="4" type="noConversion"/>
  </si>
  <si>
    <t>4.구조물되메우기</t>
    <phoneticPr fontId="4" type="noConversion"/>
  </si>
  <si>
    <t>13.사  토</t>
    <phoneticPr fontId="8" type="noConversion"/>
  </si>
  <si>
    <t>1. 골재</t>
    <phoneticPr fontId="8" type="noConversion"/>
  </si>
  <si>
    <t>2. 레미콘</t>
    <phoneticPr fontId="8" type="noConversion"/>
  </si>
  <si>
    <t>찰쌓기(기초무)</t>
    <phoneticPr fontId="8" type="noConversion"/>
  </si>
  <si>
    <t>메쌓기(기초무)</t>
    <phoneticPr fontId="8" type="noConversion"/>
  </si>
  <si>
    <t>돌기슭막이
(찰쌓기)</t>
    <phoneticPr fontId="4" type="noConversion"/>
  </si>
  <si>
    <t>돌기슭막이
(메쌓기)</t>
    <phoneticPr fontId="4" type="noConversion"/>
  </si>
  <si>
    <t>Φ1000m/m</t>
  </si>
  <si>
    <t>Φ1000m/m</t>
    <phoneticPr fontId="13" type="noConversion"/>
  </si>
  <si>
    <t>Φ1000mm</t>
    <phoneticPr fontId="8" type="noConversion"/>
  </si>
  <si>
    <t>취수정</t>
    <phoneticPr fontId="4" type="noConversion"/>
  </si>
  <si>
    <t>울진군청</t>
    <phoneticPr fontId="4" type="noConversion"/>
  </si>
  <si>
    <t>울진 근남</t>
    <phoneticPr fontId="4" type="noConversion"/>
  </si>
  <si>
    <t>울진</t>
  </si>
  <si>
    <t>암발파</t>
    <phoneticPr fontId="4" type="noConversion"/>
  </si>
  <si>
    <t>2. 이형철근</t>
    <phoneticPr fontId="8" type="noConversion"/>
  </si>
  <si>
    <t>3. 시멘트</t>
    <phoneticPr fontId="8" type="noConversion"/>
  </si>
  <si>
    <t>4. 파형강관</t>
    <phoneticPr fontId="8" type="noConversion"/>
  </si>
  <si>
    <t>울진 울진 대흥 산65</t>
    <phoneticPr fontId="4" type="noConversion"/>
  </si>
  <si>
    <t>H=2.0m</t>
    <phoneticPr fontId="8" type="noConversion"/>
  </si>
  <si>
    <t>H=2.5m</t>
    <phoneticPr fontId="8" type="noConversion"/>
  </si>
  <si>
    <t>울진군 울진읍 대흥리 산65임</t>
    <phoneticPr fontId="4" type="noConversion"/>
  </si>
  <si>
    <t>수리계산</t>
  </si>
  <si>
    <t>명진개발</t>
    <phoneticPr fontId="4" type="noConversion"/>
  </si>
  <si>
    <t>주식회사 삼일산업</t>
    <phoneticPr fontId="4" type="noConversion"/>
  </si>
  <si>
    <t>㈜ 와이앤피산업</t>
    <phoneticPr fontId="4" type="noConversion"/>
  </si>
  <si>
    <t>경북 영덕군 축산면 고경길 120</t>
    <phoneticPr fontId="4" type="noConversion"/>
  </si>
  <si>
    <t>1차선이하</t>
    <phoneticPr fontId="4" type="noConversion"/>
  </si>
  <si>
    <t>울진군청</t>
    <phoneticPr fontId="4" type="noConversion"/>
  </si>
  <si>
    <t>경북 영주시 여륵리 산32-1</t>
    <phoneticPr fontId="4" type="noConversion"/>
  </si>
  <si>
    <t>135+14</t>
  </si>
  <si>
    <t>NO.135+14</t>
    <phoneticPr fontId="4" type="noConversion"/>
  </si>
  <si>
    <t>136+13</t>
  </si>
  <si>
    <t>138+17</t>
  </si>
  <si>
    <t>NO.120+18</t>
    <phoneticPr fontId="4" type="noConversion"/>
  </si>
  <si>
    <t>NO.125+15</t>
    <phoneticPr fontId="4" type="noConversion"/>
  </si>
  <si>
    <t>NO.126+10~126+16</t>
    <phoneticPr fontId="4" type="noConversion"/>
  </si>
  <si>
    <t>NO.135+10~136+15</t>
    <phoneticPr fontId="4" type="noConversion"/>
  </si>
  <si>
    <t>NO.136+13</t>
    <phoneticPr fontId="4" type="noConversion"/>
  </si>
  <si>
    <t>NO.138+17</t>
    <phoneticPr fontId="4" type="noConversion"/>
  </si>
  <si>
    <t>NO.154+00~154+10</t>
    <phoneticPr fontId="4" type="noConversion"/>
  </si>
  <si>
    <t>NO.155+12</t>
    <phoneticPr fontId="4" type="noConversion"/>
  </si>
  <si>
    <t>NO.165+15~166+05</t>
    <phoneticPr fontId="4" type="noConversion"/>
  </si>
  <si>
    <t>NO.170+00~171+00</t>
    <phoneticPr fontId="4" type="noConversion"/>
  </si>
  <si>
    <t>NO.170+05~170+15</t>
    <phoneticPr fontId="4" type="noConversion"/>
  </si>
  <si>
    <t>NO.170+12</t>
    <phoneticPr fontId="4" type="noConversion"/>
  </si>
  <si>
    <t>H=2.0m</t>
    <phoneticPr fontId="8" type="noConversion"/>
  </si>
  <si>
    <t>(확폭)</t>
    <phoneticPr fontId="4" type="noConversion"/>
  </si>
  <si>
    <t>콘크리트
개거</t>
    <phoneticPr fontId="8" type="noConversion"/>
  </si>
  <si>
    <t>물넘이
집수부</t>
    <phoneticPr fontId="8" type="noConversion"/>
  </si>
  <si>
    <t>m</t>
    <phoneticPr fontId="13" type="noConversion"/>
  </si>
  <si>
    <t>콘크리트
개거</t>
    <phoneticPr fontId="4" type="noConversion"/>
  </si>
  <si>
    <t>물넘이
집수부</t>
    <phoneticPr fontId="4" type="noConversion"/>
  </si>
  <si>
    <t>m</t>
    <phoneticPr fontId="8" type="noConversion"/>
  </si>
  <si>
    <t>개소</t>
    <phoneticPr fontId="8" type="noConversion"/>
  </si>
  <si>
    <t>150*200</t>
    <phoneticPr fontId="4" type="noConversion"/>
  </si>
  <si>
    <t>120+18</t>
  </si>
  <si>
    <t>125+15</t>
  </si>
  <si>
    <t>126+12</t>
  </si>
  <si>
    <t>143+10</t>
  </si>
  <si>
    <t>144+10</t>
  </si>
  <si>
    <t>149+10</t>
  </si>
  <si>
    <t>154+06</t>
  </si>
  <si>
    <t>155+12</t>
  </si>
  <si>
    <t>156+10</t>
  </si>
  <si>
    <t>161+12</t>
  </si>
  <si>
    <t>162+10</t>
  </si>
  <si>
    <t>165+10</t>
  </si>
  <si>
    <t>170+12</t>
  </si>
  <si>
    <t>176+10</t>
  </si>
  <si>
    <t>(3공구)</t>
    <phoneticPr fontId="8" type="noConversion"/>
  </si>
  <si>
    <t>포항시 남구 호미곶면 강사리 산151</t>
    <phoneticPr fontId="4" type="noConversion"/>
  </si>
  <si>
    <t>영덕 축산</t>
    <phoneticPr fontId="4" type="noConversion"/>
  </si>
  <si>
    <t>5. 파형강관 커플링밴드</t>
    <phoneticPr fontId="8" type="noConversion"/>
  </si>
  <si>
    <t>커플링밴드</t>
    <phoneticPr fontId="4" type="noConversion"/>
  </si>
  <si>
    <t>커플링밴드</t>
    <phoneticPr fontId="4" type="noConversion"/>
  </si>
  <si>
    <t>개</t>
    <phoneticPr fontId="4" type="noConversion"/>
  </si>
  <si>
    <t>개</t>
    <phoneticPr fontId="4" type="noConversion"/>
  </si>
  <si>
    <t>개</t>
    <phoneticPr fontId="8" type="noConversion"/>
  </si>
  <si>
    <t>개</t>
    <phoneticPr fontId="8" type="noConversion"/>
  </si>
  <si>
    <t>적용</t>
    <phoneticPr fontId="4" type="noConversion"/>
  </si>
  <si>
    <t>최소관</t>
  </si>
  <si>
    <t>Φ800m/m</t>
    <phoneticPr fontId="4" type="noConversion"/>
  </si>
  <si>
    <t>물넘이포장</t>
    <phoneticPr fontId="4" type="noConversion"/>
  </si>
  <si>
    <t>1. 홍 수 량 계 산 (최소관)</t>
    <phoneticPr fontId="37" type="noConversion"/>
  </si>
  <si>
    <t>2. 단면검토</t>
    <phoneticPr fontId="37" type="noConversion"/>
  </si>
  <si>
    <t>강우량</t>
    <phoneticPr fontId="37" type="noConversion"/>
  </si>
  <si>
    <t>울진</t>
    <phoneticPr fontId="37" type="noConversion"/>
  </si>
  <si>
    <t>­ 파형강관</t>
    <phoneticPr fontId="13" type="noConversion"/>
  </si>
  <si>
    <t>Qd : 홍수량 × 1.5</t>
    <phoneticPr fontId="37" type="noConversion"/>
  </si>
  <si>
    <t>홍수위</t>
    <phoneticPr fontId="52" type="noConversion"/>
  </si>
  <si>
    <t>E L:홍수위</t>
    <phoneticPr fontId="52" type="noConversion"/>
  </si>
  <si>
    <t xml:space="preserve">  1 . 총 홍 수 량</t>
    <phoneticPr fontId="13" type="noConversion"/>
  </si>
  <si>
    <t>㎥</t>
    <phoneticPr fontId="13" type="noConversion"/>
  </si>
  <si>
    <t>Q  : 홍수량 ㎥/sec</t>
    <phoneticPr fontId="37" type="noConversion"/>
  </si>
  <si>
    <t>1 : 2.0</t>
    <phoneticPr fontId="13" type="noConversion"/>
  </si>
  <si>
    <t xml:space="preserve">f  : 유출계수 </t>
    <phoneticPr fontId="37" type="noConversion"/>
  </si>
  <si>
    <t>1:0.3</t>
    <phoneticPr fontId="13" type="noConversion"/>
  </si>
  <si>
    <t xml:space="preserve">  2 . 유 출 량</t>
    <phoneticPr fontId="13" type="noConversion"/>
  </si>
  <si>
    <t>rt : 평균시간 강우량 mm/hr</t>
    <phoneticPr fontId="37" type="noConversion"/>
  </si>
  <si>
    <t>단  면 :  D  =</t>
    <phoneticPr fontId="13" type="noConversion"/>
  </si>
  <si>
    <t>mm     x</t>
    <phoneticPr fontId="37" type="noConversion"/>
  </si>
  <si>
    <t>열</t>
    <phoneticPr fontId="37" type="noConversion"/>
  </si>
  <si>
    <t>A  : 유역면적 ㎢</t>
    <phoneticPr fontId="37" type="noConversion"/>
  </si>
  <si>
    <r>
      <t>단면적 :  A  =  π D</t>
    </r>
    <r>
      <rPr>
        <vertAlign val="superscript"/>
        <sz val="10"/>
        <rFont val="돋움체"/>
        <family val="3"/>
        <charset val="129"/>
      </rPr>
      <t>2</t>
    </r>
    <r>
      <rPr>
        <sz val="12"/>
        <rFont val="바탕체"/>
        <family val="1"/>
        <charset val="129"/>
      </rPr>
      <t>/4</t>
    </r>
    <phoneticPr fontId="13" type="noConversion"/>
  </si>
  <si>
    <r>
      <t xml:space="preserve">  =  0.785 D</t>
    </r>
    <r>
      <rPr>
        <vertAlign val="superscript"/>
        <sz val="10"/>
        <rFont val="돋움체"/>
        <family val="3"/>
        <charset val="129"/>
      </rPr>
      <t xml:space="preserve">2 </t>
    </r>
    <phoneticPr fontId="13" type="noConversion"/>
  </si>
  <si>
    <t>1-2. 홍수도달시간</t>
    <phoneticPr fontId="37" type="noConversion"/>
  </si>
  <si>
    <t>윤  변 :  p  =  π D</t>
    <phoneticPr fontId="13" type="noConversion"/>
  </si>
  <si>
    <t>추풍령</t>
    <phoneticPr fontId="37" type="noConversion"/>
  </si>
  <si>
    <r>
      <t>P</t>
    </r>
    <r>
      <rPr>
        <vertAlign val="subscript"/>
        <sz val="10"/>
        <rFont val="돋움체"/>
        <family val="3"/>
        <charset val="129"/>
      </rPr>
      <t xml:space="preserve">1  </t>
    </r>
    <r>
      <rPr>
        <sz val="12"/>
        <rFont val="바탕체"/>
        <family val="1"/>
        <charset val="129"/>
      </rPr>
      <t>=</t>
    </r>
    <phoneticPr fontId="52" type="noConversion"/>
  </si>
  <si>
    <t>D</t>
    <phoneticPr fontId="37" type="noConversion"/>
  </si>
  <si>
    <r>
      <t xml:space="preserve">  =  3.14 D</t>
    </r>
    <r>
      <rPr>
        <vertAlign val="superscript"/>
        <sz val="10"/>
        <rFont val="돋움체"/>
        <family val="3"/>
        <charset val="129"/>
      </rPr>
      <t xml:space="preserve"> </t>
    </r>
    <phoneticPr fontId="13" type="noConversion"/>
  </si>
  <si>
    <t>산지부 (Kerby 공식)</t>
    <phoneticPr fontId="13" type="noConversion"/>
  </si>
  <si>
    <t>S  =</t>
    <phoneticPr fontId="52" type="noConversion"/>
  </si>
  <si>
    <t>1 /33 =</t>
    <phoneticPr fontId="52" type="noConversion"/>
  </si>
  <si>
    <t>1 /150  =</t>
    <phoneticPr fontId="52" type="noConversion"/>
  </si>
  <si>
    <t>경  심 :  R  =  A / P</t>
    <phoneticPr fontId="13" type="noConversion"/>
  </si>
  <si>
    <r>
      <t xml:space="preserve">T = </t>
    </r>
    <r>
      <rPr>
        <sz val="12"/>
        <rFont val="바탕체"/>
        <family val="1"/>
        <charset val="129"/>
      </rPr>
      <t>{2/3×3.28×L×(n/√s)}</t>
    </r>
    <r>
      <rPr>
        <sz val="12"/>
        <rFont val="바탕체"/>
        <family val="1"/>
        <charset val="129"/>
      </rPr>
      <t xml:space="preserve"> </t>
    </r>
    <r>
      <rPr>
        <vertAlign val="superscript"/>
        <sz val="10"/>
        <rFont val="돋움체"/>
        <family val="3"/>
        <charset val="129"/>
      </rPr>
      <t>0.467</t>
    </r>
    <phoneticPr fontId="13" type="noConversion"/>
  </si>
  <si>
    <t>하상경사:  S  =  1 /</t>
    <phoneticPr fontId="13" type="noConversion"/>
  </si>
  <si>
    <t>=</t>
    <phoneticPr fontId="13" type="noConversion"/>
  </si>
  <si>
    <t>%</t>
    <phoneticPr fontId="13" type="noConversion"/>
  </si>
  <si>
    <r>
      <t>T</t>
    </r>
    <r>
      <rPr>
        <sz val="12"/>
        <rFont val="바탕체"/>
        <family val="1"/>
        <charset val="129"/>
      </rPr>
      <t xml:space="preserve"> : 홍수도달시간 (hr)</t>
    </r>
    <phoneticPr fontId="37" type="noConversion"/>
  </si>
  <si>
    <t xml:space="preserve">   n   =</t>
    <phoneticPr fontId="13" type="noConversion"/>
  </si>
  <si>
    <t>안동</t>
    <phoneticPr fontId="37" type="noConversion"/>
  </si>
  <si>
    <t>L : 산정에서 하천시점까지 거리 (m)</t>
    <phoneticPr fontId="13" type="noConversion"/>
  </si>
  <si>
    <t>1. 윤    변</t>
    <phoneticPr fontId="13" type="noConversion"/>
  </si>
  <si>
    <t>1. 윤    변</t>
    <phoneticPr fontId="13" type="noConversion"/>
  </si>
  <si>
    <t>s : 지표면경사 (H/L)</t>
    <phoneticPr fontId="13" type="noConversion"/>
  </si>
  <si>
    <t>P  =</t>
    <phoneticPr fontId="52" type="noConversion"/>
  </si>
  <si>
    <t xml:space="preserve">―  유    속  : </t>
    <phoneticPr fontId="13" type="noConversion"/>
  </si>
  <si>
    <t>n : 지체계수(일반적인 산간유역 0.70)</t>
    <phoneticPr fontId="13" type="noConversion"/>
  </si>
  <si>
    <r>
      <t>m</t>
    </r>
    <r>
      <rPr>
        <sz val="12"/>
        <rFont val="바탕체"/>
        <family val="1"/>
        <charset val="129"/>
      </rPr>
      <t>/sec</t>
    </r>
    <phoneticPr fontId="13" type="noConversion"/>
  </si>
  <si>
    <t>H : 산정에서 하천시점까지 표고차(m)</t>
    <phoneticPr fontId="13" type="noConversion"/>
  </si>
  <si>
    <t>2. 단 면 적</t>
    <phoneticPr fontId="13" type="noConversion"/>
  </si>
  <si>
    <t>A  =</t>
    <phoneticPr fontId="52" type="noConversion"/>
  </si>
  <si>
    <t xml:space="preserve">―  유 출 량  : </t>
    <phoneticPr fontId="13" type="noConversion"/>
  </si>
  <si>
    <t>㎥/sec</t>
    <phoneticPr fontId="13" type="noConversion"/>
  </si>
  <si>
    <t>1-3. 강우강도rt의 결정</t>
    <phoneticPr fontId="37" type="noConversion"/>
  </si>
  <si>
    <t>포항</t>
    <phoneticPr fontId="37" type="noConversion"/>
  </si>
  <si>
    <r>
      <t>rt = (R</t>
    </r>
    <r>
      <rPr>
        <vertAlign val="subscript"/>
        <sz val="10"/>
        <rFont val="돋움체"/>
        <family val="3"/>
        <charset val="129"/>
      </rPr>
      <t>24</t>
    </r>
    <r>
      <rPr>
        <sz val="12"/>
        <rFont val="바탕체"/>
        <family val="1"/>
        <charset val="129"/>
      </rPr>
      <t xml:space="preserve">/24)·(24/T) </t>
    </r>
    <r>
      <rPr>
        <vertAlign val="superscript"/>
        <sz val="10"/>
        <rFont val="돋움체"/>
        <family val="3"/>
        <charset val="129"/>
      </rPr>
      <t>0.557</t>
    </r>
    <phoneticPr fontId="37" type="noConversion"/>
  </si>
  <si>
    <t>R  =</t>
    <phoneticPr fontId="52" type="noConversion"/>
  </si>
  <si>
    <r>
      <t>R</t>
    </r>
    <r>
      <rPr>
        <vertAlign val="subscript"/>
        <sz val="10"/>
        <rFont val="돋움체"/>
        <family val="3"/>
        <charset val="129"/>
      </rPr>
      <t>24</t>
    </r>
    <r>
      <rPr>
        <sz val="12"/>
        <rFont val="바탕체"/>
        <family val="1"/>
        <charset val="129"/>
      </rPr>
      <t xml:space="preserve"> :</t>
    </r>
    <phoneticPr fontId="37" type="noConversion"/>
  </si>
  <si>
    <t>mm/day</t>
    <phoneticPr fontId="37" type="noConversion"/>
  </si>
  <si>
    <t>지 역</t>
    <phoneticPr fontId="37" type="noConversion"/>
  </si>
  <si>
    <t>재현기간</t>
    <phoneticPr fontId="37" type="noConversion"/>
  </si>
  <si>
    <t>4. 유    속</t>
    <phoneticPr fontId="13" type="noConversion"/>
  </si>
  <si>
    <t>4. 유    속</t>
    <phoneticPr fontId="13" type="noConversion"/>
  </si>
  <si>
    <t xml:space="preserve">―  유 출 율  : </t>
    <phoneticPr fontId="13" type="noConversion"/>
  </si>
  <si>
    <t>%</t>
    <phoneticPr fontId="13" type="noConversion"/>
  </si>
  <si>
    <t>V  =</t>
    <phoneticPr fontId="52" type="noConversion"/>
  </si>
  <si>
    <t>m/s</t>
    <phoneticPr fontId="13" type="noConversion"/>
  </si>
  <si>
    <t>m/s</t>
    <phoneticPr fontId="13" type="noConversion"/>
  </si>
  <si>
    <t>포항</t>
    <phoneticPr fontId="37" type="noConversion"/>
  </si>
  <si>
    <t>(RFARD_수문해석프로그램 적용)</t>
    <phoneticPr fontId="37" type="noConversion"/>
  </si>
  <si>
    <t xml:space="preserve"> </t>
    <phoneticPr fontId="37" type="noConversion"/>
  </si>
  <si>
    <t>대구</t>
    <phoneticPr fontId="37" type="noConversion"/>
  </si>
  <si>
    <t>대구</t>
    <phoneticPr fontId="37" type="noConversion"/>
  </si>
  <si>
    <t>대구</t>
    <phoneticPr fontId="37" type="noConversion"/>
  </si>
  <si>
    <t>춘양</t>
    <phoneticPr fontId="37" type="noConversion"/>
  </si>
  <si>
    <t>영주</t>
    <phoneticPr fontId="37" type="noConversion"/>
  </si>
  <si>
    <t>문경</t>
    <phoneticPr fontId="37" type="noConversion"/>
  </si>
  <si>
    <t>문경</t>
    <phoneticPr fontId="37" type="noConversion"/>
  </si>
  <si>
    <t>영덕</t>
    <phoneticPr fontId="37" type="noConversion"/>
  </si>
  <si>
    <t>영덕</t>
    <phoneticPr fontId="37" type="noConversion"/>
  </si>
  <si>
    <t>의성</t>
    <phoneticPr fontId="37" type="noConversion"/>
  </si>
  <si>
    <t>의성</t>
    <phoneticPr fontId="37" type="noConversion"/>
  </si>
  <si>
    <t>의성</t>
    <phoneticPr fontId="37" type="noConversion"/>
  </si>
  <si>
    <t>구미</t>
    <phoneticPr fontId="37" type="noConversion"/>
  </si>
  <si>
    <t>영천</t>
    <phoneticPr fontId="37" type="noConversion"/>
  </si>
  <si>
    <t>1. 홍 수 량 계 산</t>
    <phoneticPr fontId="37" type="noConversion"/>
  </si>
  <si>
    <t>135+14</t>
    <phoneticPr fontId="37" type="noConversion"/>
  </si>
  <si>
    <t>지역</t>
    <phoneticPr fontId="37" type="noConversion"/>
  </si>
  <si>
    <t>재현기간</t>
    <phoneticPr fontId="37" type="noConversion"/>
  </si>
  <si>
    <t>강우량</t>
    <phoneticPr fontId="37" type="noConversion"/>
  </si>
  <si>
    <t>울진</t>
    <phoneticPr fontId="37" type="noConversion"/>
  </si>
  <si>
    <t>1-1. Rational Method공식</t>
    <phoneticPr fontId="37" type="noConversion"/>
  </si>
  <si>
    <t>울진</t>
    <phoneticPr fontId="37" type="noConversion"/>
  </si>
  <si>
    <t>홍수위</t>
    <phoneticPr fontId="52" type="noConversion"/>
  </si>
  <si>
    <t>E L:홍수위</t>
    <phoneticPr fontId="52" type="noConversion"/>
  </si>
  <si>
    <t xml:space="preserve">  1 . 총 홍 수 량</t>
    <phoneticPr fontId="13" type="noConversion"/>
  </si>
  <si>
    <t>㎥</t>
    <phoneticPr fontId="13" type="noConversion"/>
  </si>
  <si>
    <t>울진</t>
    <phoneticPr fontId="37" type="noConversion"/>
  </si>
  <si>
    <t>Q  : 홍수량 ㎥/sec</t>
    <phoneticPr fontId="37" type="noConversion"/>
  </si>
  <si>
    <t>1 : 2.0</t>
    <phoneticPr fontId="13" type="noConversion"/>
  </si>
  <si>
    <t xml:space="preserve">  2 . 유 출 량</t>
    <phoneticPr fontId="13" type="noConversion"/>
  </si>
  <si>
    <t>rt : 평균시간 강우량 mm/hr</t>
    <phoneticPr fontId="37" type="noConversion"/>
  </si>
  <si>
    <t>단  면 :  D  =</t>
    <phoneticPr fontId="13" type="noConversion"/>
  </si>
  <si>
    <t>mm     x</t>
    <phoneticPr fontId="37" type="noConversion"/>
  </si>
  <si>
    <t>열</t>
    <phoneticPr fontId="37" type="noConversion"/>
  </si>
  <si>
    <t>A  : 유역면적 ㎢</t>
    <phoneticPr fontId="37" type="noConversion"/>
  </si>
  <si>
    <r>
      <t>단면적 :  A  =  π D</t>
    </r>
    <r>
      <rPr>
        <vertAlign val="superscript"/>
        <sz val="10"/>
        <rFont val="돋움체"/>
        <family val="3"/>
        <charset val="129"/>
      </rPr>
      <t>2</t>
    </r>
    <r>
      <rPr>
        <sz val="12"/>
        <rFont val="바탕체"/>
        <family val="1"/>
        <charset val="129"/>
      </rPr>
      <t>/4</t>
    </r>
    <phoneticPr fontId="13" type="noConversion"/>
  </si>
  <si>
    <r>
      <t xml:space="preserve">  =  0.785 D</t>
    </r>
    <r>
      <rPr>
        <vertAlign val="superscript"/>
        <sz val="10"/>
        <rFont val="돋움체"/>
        <family val="3"/>
        <charset val="129"/>
      </rPr>
      <t xml:space="preserve">2 </t>
    </r>
    <phoneticPr fontId="13" type="noConversion"/>
  </si>
  <si>
    <t>1-2. 홍수도달시간</t>
    <phoneticPr fontId="37" type="noConversion"/>
  </si>
  <si>
    <r>
      <t>P</t>
    </r>
    <r>
      <rPr>
        <vertAlign val="subscript"/>
        <sz val="10"/>
        <rFont val="돋움체"/>
        <family val="3"/>
        <charset val="129"/>
      </rPr>
      <t xml:space="preserve">1  </t>
    </r>
    <r>
      <rPr>
        <sz val="12"/>
        <rFont val="바탕체"/>
        <family val="1"/>
        <charset val="129"/>
      </rPr>
      <t>=</t>
    </r>
    <phoneticPr fontId="52" type="noConversion"/>
  </si>
  <si>
    <t>D</t>
    <phoneticPr fontId="37" type="noConversion"/>
  </si>
  <si>
    <r>
      <t xml:space="preserve">  =  3.14 D</t>
    </r>
    <r>
      <rPr>
        <vertAlign val="superscript"/>
        <sz val="10"/>
        <rFont val="돋움체"/>
        <family val="3"/>
        <charset val="129"/>
      </rPr>
      <t xml:space="preserve"> </t>
    </r>
    <phoneticPr fontId="13" type="noConversion"/>
  </si>
  <si>
    <t>산지부 (Kerby 공식)</t>
    <phoneticPr fontId="13" type="noConversion"/>
  </si>
  <si>
    <t>1 /33 =</t>
    <phoneticPr fontId="52" type="noConversion"/>
  </si>
  <si>
    <t>S  =</t>
    <phoneticPr fontId="52" type="noConversion"/>
  </si>
  <si>
    <t>1 /150  =</t>
    <phoneticPr fontId="52" type="noConversion"/>
  </si>
  <si>
    <t>경  심 :  R  =  A / P</t>
    <phoneticPr fontId="13" type="noConversion"/>
  </si>
  <si>
    <t>추풍령</t>
    <phoneticPr fontId="37" type="noConversion"/>
  </si>
  <si>
    <r>
      <t xml:space="preserve">T = </t>
    </r>
    <r>
      <rPr>
        <sz val="12"/>
        <rFont val="바탕체"/>
        <family val="1"/>
        <charset val="129"/>
      </rPr>
      <t>{2/3×3.28×L×(n/√s)}</t>
    </r>
    <r>
      <rPr>
        <sz val="12"/>
        <rFont val="바탕체"/>
        <family val="1"/>
        <charset val="129"/>
      </rPr>
      <t xml:space="preserve"> </t>
    </r>
    <r>
      <rPr>
        <vertAlign val="superscript"/>
        <sz val="10"/>
        <rFont val="돋움체"/>
        <family val="3"/>
        <charset val="129"/>
      </rPr>
      <t>0.467</t>
    </r>
    <phoneticPr fontId="13" type="noConversion"/>
  </si>
  <si>
    <t>하상경사:  S  =  1 /</t>
    <phoneticPr fontId="13" type="noConversion"/>
  </si>
  <si>
    <t>=</t>
    <phoneticPr fontId="13" type="noConversion"/>
  </si>
  <si>
    <t>%</t>
    <phoneticPr fontId="13" type="noConversion"/>
  </si>
  <si>
    <t>추풍령</t>
    <phoneticPr fontId="37" type="noConversion"/>
  </si>
  <si>
    <r>
      <t>T</t>
    </r>
    <r>
      <rPr>
        <sz val="12"/>
        <rFont val="바탕체"/>
        <family val="1"/>
        <charset val="129"/>
      </rPr>
      <t xml:space="preserve"> : 홍수도달시간 (hr)</t>
    </r>
    <phoneticPr fontId="37" type="noConversion"/>
  </si>
  <si>
    <t xml:space="preserve">   n   =</t>
    <phoneticPr fontId="13" type="noConversion"/>
  </si>
  <si>
    <t>안동</t>
    <phoneticPr fontId="37" type="noConversion"/>
  </si>
  <si>
    <t>L : 산정에서 하천시점까지 거리 (m)</t>
    <phoneticPr fontId="13" type="noConversion"/>
  </si>
  <si>
    <t>1. 윤    변</t>
    <phoneticPr fontId="13" type="noConversion"/>
  </si>
  <si>
    <t>s : 지표면경사 (H/L)</t>
    <phoneticPr fontId="13" type="noConversion"/>
  </si>
  <si>
    <t>P  =</t>
    <phoneticPr fontId="52" type="noConversion"/>
  </si>
  <si>
    <t>P  =</t>
    <phoneticPr fontId="52" type="noConversion"/>
  </si>
  <si>
    <t xml:space="preserve">―  유    속  : </t>
    <phoneticPr fontId="13" type="noConversion"/>
  </si>
  <si>
    <t>안동</t>
    <phoneticPr fontId="37" type="noConversion"/>
  </si>
  <si>
    <t>n : 지체계수(일반적인 산간유역 0.70)</t>
    <phoneticPr fontId="13" type="noConversion"/>
  </si>
  <si>
    <t>안동</t>
    <phoneticPr fontId="37" type="noConversion"/>
  </si>
  <si>
    <t>H : 산정에서 하천시점까지 표고차(m)</t>
    <phoneticPr fontId="13" type="noConversion"/>
  </si>
  <si>
    <t>2. 단 면 적</t>
    <phoneticPr fontId="13" type="noConversion"/>
  </si>
  <si>
    <t>A  =</t>
    <phoneticPr fontId="52" type="noConversion"/>
  </si>
  <si>
    <t>A  =</t>
    <phoneticPr fontId="52" type="noConversion"/>
  </si>
  <si>
    <t>㎥/sec</t>
    <phoneticPr fontId="13" type="noConversion"/>
  </si>
  <si>
    <t>안동</t>
    <phoneticPr fontId="37" type="noConversion"/>
  </si>
  <si>
    <t>포항</t>
    <phoneticPr fontId="37" type="noConversion"/>
  </si>
  <si>
    <r>
      <t>rt = (R</t>
    </r>
    <r>
      <rPr>
        <vertAlign val="subscript"/>
        <sz val="10"/>
        <rFont val="돋움체"/>
        <family val="3"/>
        <charset val="129"/>
      </rPr>
      <t>24</t>
    </r>
    <r>
      <rPr>
        <sz val="12"/>
        <rFont val="바탕체"/>
        <family val="1"/>
        <charset val="129"/>
      </rPr>
      <t xml:space="preserve">/24)·(24/T) </t>
    </r>
    <r>
      <rPr>
        <vertAlign val="superscript"/>
        <sz val="10"/>
        <rFont val="돋움체"/>
        <family val="3"/>
        <charset val="129"/>
      </rPr>
      <t>0.557</t>
    </r>
    <phoneticPr fontId="37" type="noConversion"/>
  </si>
  <si>
    <t>R  =</t>
    <phoneticPr fontId="52" type="noConversion"/>
  </si>
  <si>
    <r>
      <t>R</t>
    </r>
    <r>
      <rPr>
        <vertAlign val="subscript"/>
        <sz val="10"/>
        <rFont val="돋움체"/>
        <family val="3"/>
        <charset val="129"/>
      </rPr>
      <t>24</t>
    </r>
    <r>
      <rPr>
        <sz val="12"/>
        <rFont val="바탕체"/>
        <family val="1"/>
        <charset val="129"/>
      </rPr>
      <t xml:space="preserve"> :</t>
    </r>
    <phoneticPr fontId="37" type="noConversion"/>
  </si>
  <si>
    <t>mm/day</t>
    <phoneticPr fontId="37" type="noConversion"/>
  </si>
  <si>
    <t>지 역</t>
    <phoneticPr fontId="37" type="noConversion"/>
  </si>
  <si>
    <t>재현기간</t>
    <phoneticPr fontId="37" type="noConversion"/>
  </si>
  <si>
    <t>4. 유    속</t>
    <phoneticPr fontId="13" type="noConversion"/>
  </si>
  <si>
    <t>4. 유    속</t>
    <phoneticPr fontId="13" type="noConversion"/>
  </si>
  <si>
    <t>V  =</t>
    <phoneticPr fontId="52" type="noConversion"/>
  </si>
  <si>
    <t>m/s</t>
    <phoneticPr fontId="13" type="noConversion"/>
  </si>
  <si>
    <t>V  =</t>
    <phoneticPr fontId="52" type="noConversion"/>
  </si>
  <si>
    <t>m/s</t>
    <phoneticPr fontId="13" type="noConversion"/>
  </si>
  <si>
    <t>포항</t>
    <phoneticPr fontId="37" type="noConversion"/>
  </si>
  <si>
    <t>(RFARD_수문해석프로그램 적용)</t>
    <phoneticPr fontId="37" type="noConversion"/>
  </si>
  <si>
    <t xml:space="preserve"> </t>
    <phoneticPr fontId="37" type="noConversion"/>
  </si>
  <si>
    <t>춘양</t>
    <phoneticPr fontId="37" type="noConversion"/>
  </si>
  <si>
    <t>영주</t>
    <phoneticPr fontId="37" type="noConversion"/>
  </si>
  <si>
    <t>영주</t>
    <phoneticPr fontId="37" type="noConversion"/>
  </si>
  <si>
    <t>영주</t>
    <phoneticPr fontId="37" type="noConversion"/>
  </si>
  <si>
    <t>문경</t>
    <phoneticPr fontId="37" type="noConversion"/>
  </si>
  <si>
    <t>영덕</t>
    <phoneticPr fontId="37" type="noConversion"/>
  </si>
  <si>
    <t>영덕</t>
    <phoneticPr fontId="37" type="noConversion"/>
  </si>
  <si>
    <t>의성</t>
    <phoneticPr fontId="37" type="noConversion"/>
  </si>
  <si>
    <t>구미</t>
    <phoneticPr fontId="37" type="noConversion"/>
  </si>
  <si>
    <t>구미</t>
    <phoneticPr fontId="37" type="noConversion"/>
  </si>
  <si>
    <t>구미</t>
    <phoneticPr fontId="37" type="noConversion"/>
  </si>
  <si>
    <t>영천</t>
    <phoneticPr fontId="37" type="noConversion"/>
  </si>
  <si>
    <t>138+17</t>
    <phoneticPr fontId="37" type="noConversion"/>
  </si>
  <si>
    <t>2. 단 면 검 토</t>
    <phoneticPr fontId="37" type="noConversion"/>
  </si>
  <si>
    <t>울진</t>
    <phoneticPr fontId="37" type="noConversion"/>
  </si>
  <si>
    <t>1-1. Rational Method공식</t>
    <phoneticPr fontId="37" type="noConversion"/>
  </si>
  <si>
    <t>물넘이포장</t>
    <phoneticPr fontId="13" type="noConversion"/>
  </si>
  <si>
    <t>­ B O X</t>
    <phoneticPr fontId="13" type="noConversion"/>
  </si>
  <si>
    <t>­ 흄  관</t>
    <phoneticPr fontId="13" type="noConversion"/>
  </si>
  <si>
    <t>Q'  :</t>
    <phoneticPr fontId="37" type="noConversion"/>
  </si>
  <si>
    <t>1.2 Q</t>
    <phoneticPr fontId="37" type="noConversion"/>
  </si>
  <si>
    <t>`</t>
    <phoneticPr fontId="37" type="noConversion"/>
  </si>
  <si>
    <t>Q  : 홍수량 ㎥/sec</t>
    <phoneticPr fontId="37" type="noConversion"/>
  </si>
  <si>
    <t xml:space="preserve"> 1 . 총 홍 수 량</t>
    <phoneticPr fontId="13" type="noConversion"/>
  </si>
  <si>
    <t xml:space="preserve">f  : 유출계수 </t>
    <phoneticPr fontId="37" type="noConversion"/>
  </si>
  <si>
    <t>rt : 평균시간 강우량 mm/hr</t>
    <phoneticPr fontId="37" type="noConversion"/>
  </si>
  <si>
    <t xml:space="preserve">  2 . 유 출 량</t>
    <phoneticPr fontId="13" type="noConversion"/>
  </si>
  <si>
    <t>윤  변 :</t>
    <phoneticPr fontId="13" type="noConversion"/>
  </si>
  <si>
    <t>P  =</t>
    <phoneticPr fontId="13" type="noConversion"/>
  </si>
  <si>
    <t>A / P  =</t>
    <phoneticPr fontId="13" type="noConversion"/>
  </si>
  <si>
    <r>
      <t xml:space="preserve">  =  2.0944 D</t>
    </r>
    <r>
      <rPr>
        <vertAlign val="superscript"/>
        <sz val="10"/>
        <rFont val="돋움체"/>
        <family val="3"/>
        <charset val="129"/>
      </rPr>
      <t xml:space="preserve"> </t>
    </r>
    <phoneticPr fontId="13" type="noConversion"/>
  </si>
  <si>
    <t>산지부 (Kerby 공식)</t>
    <phoneticPr fontId="13" type="noConversion"/>
  </si>
  <si>
    <r>
      <t>P</t>
    </r>
    <r>
      <rPr>
        <vertAlign val="subscript"/>
        <sz val="10"/>
        <rFont val="돋움체"/>
        <family val="3"/>
        <charset val="129"/>
      </rPr>
      <t xml:space="preserve">1  </t>
    </r>
    <r>
      <rPr>
        <sz val="12"/>
        <rFont val="바탕체"/>
        <family val="1"/>
        <charset val="129"/>
      </rPr>
      <t>=</t>
    </r>
    <phoneticPr fontId="52" type="noConversion"/>
  </si>
  <si>
    <t>n  =</t>
    <phoneticPr fontId="13" type="noConversion"/>
  </si>
  <si>
    <t>(  N  =</t>
    <phoneticPr fontId="13" type="noConversion"/>
  </si>
  <si>
    <t>)</t>
    <phoneticPr fontId="13" type="noConversion"/>
  </si>
  <si>
    <t>=</t>
    <phoneticPr fontId="13" type="noConversion"/>
  </si>
  <si>
    <t>%</t>
    <phoneticPr fontId="13" type="noConversion"/>
  </si>
  <si>
    <r>
      <t xml:space="preserve">T = </t>
    </r>
    <r>
      <rPr>
        <sz val="12"/>
        <rFont val="바탕체"/>
        <family val="1"/>
        <charset val="129"/>
      </rPr>
      <t>{2/3×3.28×L×(n/√s)}</t>
    </r>
    <r>
      <rPr>
        <sz val="12"/>
        <rFont val="바탕체"/>
        <family val="1"/>
        <charset val="129"/>
      </rPr>
      <t xml:space="preserve"> </t>
    </r>
    <r>
      <rPr>
        <vertAlign val="superscript"/>
        <sz val="10"/>
        <rFont val="돋움체"/>
        <family val="3"/>
        <charset val="129"/>
      </rPr>
      <t>0.467</t>
    </r>
    <phoneticPr fontId="13" type="noConversion"/>
  </si>
  <si>
    <t>S  =</t>
    <phoneticPr fontId="52" type="noConversion"/>
  </si>
  <si>
    <r>
      <t>T</t>
    </r>
    <r>
      <rPr>
        <sz val="12"/>
        <rFont val="바탕체"/>
        <family val="1"/>
        <charset val="129"/>
      </rPr>
      <t xml:space="preserve"> : 홍수도달시간 (hr)</t>
    </r>
    <phoneticPr fontId="37" type="noConversion"/>
  </si>
  <si>
    <t>n  =</t>
    <phoneticPr fontId="52" type="noConversion"/>
  </si>
  <si>
    <r>
      <t>m</t>
    </r>
    <r>
      <rPr>
        <sz val="12"/>
        <rFont val="바탕체"/>
        <family val="1"/>
        <charset val="129"/>
      </rPr>
      <t>/sec</t>
    </r>
    <phoneticPr fontId="13" type="noConversion"/>
  </si>
  <si>
    <t>추풍령</t>
    <phoneticPr fontId="37" type="noConversion"/>
  </si>
  <si>
    <t>L : 산정에서 하천시점까지 거리 (m)</t>
    <phoneticPr fontId="13" type="noConversion"/>
  </si>
  <si>
    <t>s : 지표면경사 (H/L)</t>
    <phoneticPr fontId="13" type="noConversion"/>
  </si>
  <si>
    <r>
      <t xml:space="preserve"> </t>
    </r>
    <r>
      <rPr>
        <sz val="12"/>
        <rFont val="바탕체"/>
        <family val="1"/>
        <charset val="129"/>
      </rPr>
      <t xml:space="preserve">  </t>
    </r>
    <r>
      <rPr>
        <sz val="12"/>
        <rFont val="바탕체"/>
        <family val="1"/>
        <charset val="129"/>
      </rPr>
      <t>1. 윤    변</t>
    </r>
    <phoneticPr fontId="13" type="noConversion"/>
  </si>
  <si>
    <t>유출량 :</t>
    <phoneticPr fontId="8" type="noConversion"/>
  </si>
  <si>
    <r>
      <t>㎥</t>
    </r>
    <r>
      <rPr>
        <b/>
        <sz val="10"/>
        <rFont val="돋움체"/>
        <family val="3"/>
        <charset val="129"/>
      </rPr>
      <t>/s</t>
    </r>
    <phoneticPr fontId="13" type="noConversion"/>
  </si>
  <si>
    <t xml:space="preserve">―  유 출 량  : </t>
    <phoneticPr fontId="13" type="noConversion"/>
  </si>
  <si>
    <t>㎥/sec</t>
    <phoneticPr fontId="13" type="noConversion"/>
  </si>
  <si>
    <t>P  =</t>
    <phoneticPr fontId="52" type="noConversion"/>
  </si>
  <si>
    <r>
      <t xml:space="preserve"> </t>
    </r>
    <r>
      <rPr>
        <sz val="12"/>
        <rFont val="바탕체"/>
        <family val="1"/>
        <charset val="129"/>
      </rPr>
      <t xml:space="preserve">  </t>
    </r>
    <r>
      <rPr>
        <sz val="12"/>
        <rFont val="바탕체"/>
        <family val="1"/>
        <charset val="129"/>
      </rPr>
      <t>2. 단 면 적</t>
    </r>
    <phoneticPr fontId="13" type="noConversion"/>
  </si>
  <si>
    <r>
      <t xml:space="preserve"> </t>
    </r>
    <r>
      <rPr>
        <sz val="12"/>
        <rFont val="바탕체"/>
        <family val="1"/>
        <charset val="129"/>
      </rPr>
      <t xml:space="preserve">  </t>
    </r>
    <r>
      <rPr>
        <sz val="12"/>
        <rFont val="바탕체"/>
        <family val="1"/>
        <charset val="129"/>
      </rPr>
      <t>3. 경    심</t>
    </r>
    <phoneticPr fontId="13" type="noConversion"/>
  </si>
  <si>
    <t>유출율 :</t>
    <phoneticPr fontId="13" type="noConversion"/>
  </si>
  <si>
    <t xml:space="preserve">―  유 출 율  : </t>
    <phoneticPr fontId="13" type="noConversion"/>
  </si>
  <si>
    <t>R  =</t>
    <phoneticPr fontId="52" type="noConversion"/>
  </si>
  <si>
    <r>
      <t xml:space="preserve"> </t>
    </r>
    <r>
      <rPr>
        <sz val="12"/>
        <rFont val="바탕체"/>
        <family val="1"/>
        <charset val="129"/>
      </rPr>
      <t xml:space="preserve">  </t>
    </r>
    <r>
      <rPr>
        <sz val="12"/>
        <rFont val="바탕체"/>
        <family val="1"/>
        <charset val="129"/>
      </rPr>
      <t>4. 유    속</t>
    </r>
    <phoneticPr fontId="13" type="noConversion"/>
  </si>
  <si>
    <r>
      <t>R</t>
    </r>
    <r>
      <rPr>
        <vertAlign val="subscript"/>
        <sz val="10"/>
        <rFont val="돋움체"/>
        <family val="3"/>
        <charset val="129"/>
      </rPr>
      <t>24</t>
    </r>
    <r>
      <rPr>
        <sz val="12"/>
        <rFont val="바탕체"/>
        <family val="1"/>
        <charset val="129"/>
      </rPr>
      <t xml:space="preserve"> :</t>
    </r>
    <phoneticPr fontId="37" type="noConversion"/>
  </si>
  <si>
    <r>
      <t xml:space="preserve"> </t>
    </r>
    <r>
      <rPr>
        <sz val="12"/>
        <rFont val="바탕체"/>
        <family val="1"/>
        <charset val="129"/>
      </rPr>
      <t xml:space="preserve">  </t>
    </r>
    <r>
      <rPr>
        <sz val="12"/>
        <rFont val="바탕체"/>
        <family val="1"/>
        <charset val="129"/>
      </rPr>
      <t>5. 유    량</t>
    </r>
    <phoneticPr fontId="13" type="noConversion"/>
  </si>
  <si>
    <t>포항</t>
    <phoneticPr fontId="37" type="noConversion"/>
  </si>
  <si>
    <t>춘양</t>
    <phoneticPr fontId="37" type="noConversion"/>
  </si>
  <si>
    <t>춘양</t>
    <phoneticPr fontId="37" type="noConversion"/>
  </si>
  <si>
    <t>문경</t>
    <phoneticPr fontId="37" type="noConversion"/>
  </si>
  <si>
    <t>영덕</t>
    <phoneticPr fontId="37" type="noConversion"/>
  </si>
  <si>
    <t>영덕</t>
    <phoneticPr fontId="37" type="noConversion"/>
  </si>
  <si>
    <t>의성</t>
    <phoneticPr fontId="37" type="noConversion"/>
  </si>
  <si>
    <t>의성</t>
    <phoneticPr fontId="37" type="noConversion"/>
  </si>
  <si>
    <t>영천</t>
    <phoneticPr fontId="37" type="noConversion"/>
  </si>
  <si>
    <t>170+12</t>
    <phoneticPr fontId="37" type="noConversion"/>
  </si>
  <si>
    <t>지역</t>
    <phoneticPr fontId="37" type="noConversion"/>
  </si>
  <si>
    <t>1-1. Rational Method공식</t>
    <phoneticPr fontId="37" type="noConversion"/>
  </si>
  <si>
    <t>­ 파형강관</t>
    <phoneticPr fontId="13" type="noConversion"/>
  </si>
  <si>
    <t>울진</t>
    <phoneticPr fontId="37" type="noConversion"/>
  </si>
  <si>
    <t>Qd : 홍수량 × 1.5</t>
    <phoneticPr fontId="37" type="noConversion"/>
  </si>
  <si>
    <t>홍수위</t>
    <phoneticPr fontId="52" type="noConversion"/>
  </si>
  <si>
    <t>1 : 2.0</t>
    <phoneticPr fontId="13" type="noConversion"/>
  </si>
  <si>
    <t xml:space="preserve">f  : 유출계수 </t>
    <phoneticPr fontId="37" type="noConversion"/>
  </si>
  <si>
    <t>1:0.3</t>
    <phoneticPr fontId="13" type="noConversion"/>
  </si>
  <si>
    <t>rt : 평균시간 강우량 mm/hr</t>
    <phoneticPr fontId="37" type="noConversion"/>
  </si>
  <si>
    <t>단  면 :  D  =</t>
    <phoneticPr fontId="13" type="noConversion"/>
  </si>
  <si>
    <t>mm     x</t>
    <phoneticPr fontId="37" type="noConversion"/>
  </si>
  <si>
    <t>열</t>
    <phoneticPr fontId="37" type="noConversion"/>
  </si>
  <si>
    <t>A  : 유역면적 ㎢</t>
    <phoneticPr fontId="37" type="noConversion"/>
  </si>
  <si>
    <r>
      <t>단면적 :  A  =  π D</t>
    </r>
    <r>
      <rPr>
        <vertAlign val="superscript"/>
        <sz val="10"/>
        <rFont val="돋움체"/>
        <family val="3"/>
        <charset val="129"/>
      </rPr>
      <t>2</t>
    </r>
    <r>
      <rPr>
        <sz val="12"/>
        <rFont val="바탕체"/>
        <family val="1"/>
        <charset val="129"/>
      </rPr>
      <t>/4</t>
    </r>
    <phoneticPr fontId="13" type="noConversion"/>
  </si>
  <si>
    <r>
      <t xml:space="preserve">  =  0.785 D</t>
    </r>
    <r>
      <rPr>
        <vertAlign val="superscript"/>
        <sz val="10"/>
        <rFont val="돋움체"/>
        <family val="3"/>
        <charset val="129"/>
      </rPr>
      <t xml:space="preserve">2 </t>
    </r>
    <phoneticPr fontId="13" type="noConversion"/>
  </si>
  <si>
    <t>1-2. 홍수도달시간</t>
    <phoneticPr fontId="37" type="noConversion"/>
  </si>
  <si>
    <t>윤  변 :  p  =  π D</t>
    <phoneticPr fontId="13" type="noConversion"/>
  </si>
  <si>
    <t>추풍령</t>
    <phoneticPr fontId="37" type="noConversion"/>
  </si>
  <si>
    <t>D</t>
    <phoneticPr fontId="37" type="noConversion"/>
  </si>
  <si>
    <r>
      <t xml:space="preserve">  =  3.14 D</t>
    </r>
    <r>
      <rPr>
        <vertAlign val="superscript"/>
        <sz val="10"/>
        <rFont val="돋움체"/>
        <family val="3"/>
        <charset val="129"/>
      </rPr>
      <t xml:space="preserve"> </t>
    </r>
    <phoneticPr fontId="13" type="noConversion"/>
  </si>
  <si>
    <t>S  =</t>
    <phoneticPr fontId="52" type="noConversion"/>
  </si>
  <si>
    <t>1 /33 =</t>
    <phoneticPr fontId="52" type="noConversion"/>
  </si>
  <si>
    <t>1 /150  =</t>
    <phoneticPr fontId="52" type="noConversion"/>
  </si>
  <si>
    <t>경  심 :  R  =  A / P</t>
    <phoneticPr fontId="13" type="noConversion"/>
  </si>
  <si>
    <t>추풍령</t>
    <phoneticPr fontId="37" type="noConversion"/>
  </si>
  <si>
    <t>하상경사:  S  =  1 /</t>
    <phoneticPr fontId="13" type="noConversion"/>
  </si>
  <si>
    <t>%</t>
    <phoneticPr fontId="13" type="noConversion"/>
  </si>
  <si>
    <r>
      <t>T</t>
    </r>
    <r>
      <rPr>
        <sz val="12"/>
        <rFont val="바탕체"/>
        <family val="1"/>
        <charset val="129"/>
      </rPr>
      <t xml:space="preserve"> : 홍수도달시간 (hr)</t>
    </r>
    <phoneticPr fontId="37" type="noConversion"/>
  </si>
  <si>
    <t xml:space="preserve">   n   =</t>
    <phoneticPr fontId="13" type="noConversion"/>
  </si>
  <si>
    <t>1. 윤    변</t>
    <phoneticPr fontId="13" type="noConversion"/>
  </si>
  <si>
    <t>s : 지표면경사 (H/L)</t>
    <phoneticPr fontId="13" type="noConversion"/>
  </si>
  <si>
    <t>안동</t>
    <phoneticPr fontId="37" type="noConversion"/>
  </si>
  <si>
    <t>n : 지체계수(일반적인 산간유역 0.70)</t>
    <phoneticPr fontId="13" type="noConversion"/>
  </si>
  <si>
    <r>
      <t>m</t>
    </r>
    <r>
      <rPr>
        <sz val="12"/>
        <rFont val="바탕체"/>
        <family val="1"/>
        <charset val="129"/>
      </rPr>
      <t>/sec</t>
    </r>
    <phoneticPr fontId="13" type="noConversion"/>
  </si>
  <si>
    <t>H : 산정에서 하천시점까지 표고차(m)</t>
    <phoneticPr fontId="13" type="noConversion"/>
  </si>
  <si>
    <t>2. 단 면 적</t>
    <phoneticPr fontId="13" type="noConversion"/>
  </si>
  <si>
    <t xml:space="preserve">―  유 출 량  : </t>
    <phoneticPr fontId="13" type="noConversion"/>
  </si>
  <si>
    <t>1-3. 강우강도rt의 결정</t>
    <phoneticPr fontId="37" type="noConversion"/>
  </si>
  <si>
    <t>안동</t>
    <phoneticPr fontId="37" type="noConversion"/>
  </si>
  <si>
    <t>포항</t>
    <phoneticPr fontId="37" type="noConversion"/>
  </si>
  <si>
    <r>
      <t>rt = (R</t>
    </r>
    <r>
      <rPr>
        <vertAlign val="subscript"/>
        <sz val="10"/>
        <rFont val="돋움체"/>
        <family val="3"/>
        <charset val="129"/>
      </rPr>
      <t>24</t>
    </r>
    <r>
      <rPr>
        <sz val="12"/>
        <rFont val="바탕체"/>
        <family val="1"/>
        <charset val="129"/>
      </rPr>
      <t xml:space="preserve">/24)·(24/T) </t>
    </r>
    <r>
      <rPr>
        <vertAlign val="superscript"/>
        <sz val="10"/>
        <rFont val="돋움체"/>
        <family val="3"/>
        <charset val="129"/>
      </rPr>
      <t>0.557</t>
    </r>
    <phoneticPr fontId="37" type="noConversion"/>
  </si>
  <si>
    <t>R  =</t>
    <phoneticPr fontId="52" type="noConversion"/>
  </si>
  <si>
    <t>R  =</t>
    <phoneticPr fontId="52" type="noConversion"/>
  </si>
  <si>
    <r>
      <t>R</t>
    </r>
    <r>
      <rPr>
        <vertAlign val="subscript"/>
        <sz val="10"/>
        <rFont val="돋움체"/>
        <family val="3"/>
        <charset val="129"/>
      </rPr>
      <t>24</t>
    </r>
    <r>
      <rPr>
        <sz val="12"/>
        <rFont val="바탕체"/>
        <family val="1"/>
        <charset val="129"/>
      </rPr>
      <t xml:space="preserve"> :</t>
    </r>
    <phoneticPr fontId="37" type="noConversion"/>
  </si>
  <si>
    <t>mm/day</t>
    <phoneticPr fontId="37" type="noConversion"/>
  </si>
  <si>
    <t>재현기간</t>
    <phoneticPr fontId="37" type="noConversion"/>
  </si>
  <si>
    <t>4. 유    속</t>
    <phoneticPr fontId="13" type="noConversion"/>
  </si>
  <si>
    <t xml:space="preserve">―  유 출 율  : </t>
    <phoneticPr fontId="13" type="noConversion"/>
  </si>
  <si>
    <t>m/s</t>
    <phoneticPr fontId="13" type="noConversion"/>
  </si>
  <si>
    <t>V  =</t>
    <phoneticPr fontId="52" type="noConversion"/>
  </si>
  <si>
    <t>m/s</t>
    <phoneticPr fontId="13" type="noConversion"/>
  </si>
  <si>
    <t>포항</t>
    <phoneticPr fontId="37" type="noConversion"/>
  </si>
  <si>
    <t>(RFARD_수문해석프로그램 적용)</t>
    <phoneticPr fontId="37" type="noConversion"/>
  </si>
  <si>
    <t>대구</t>
    <phoneticPr fontId="37" type="noConversion"/>
  </si>
  <si>
    <t>대구</t>
    <phoneticPr fontId="37" type="noConversion"/>
  </si>
  <si>
    <t>춘양</t>
    <phoneticPr fontId="37" type="noConversion"/>
  </si>
  <si>
    <t>춘양</t>
    <phoneticPr fontId="37" type="noConversion"/>
  </si>
  <si>
    <t>영주</t>
    <phoneticPr fontId="37" type="noConversion"/>
  </si>
  <si>
    <t>영덕</t>
    <phoneticPr fontId="37" type="noConversion"/>
  </si>
  <si>
    <t>영덕</t>
    <phoneticPr fontId="37" type="noConversion"/>
  </si>
  <si>
    <t>의성</t>
    <phoneticPr fontId="37" type="noConversion"/>
  </si>
  <si>
    <t>의성</t>
    <phoneticPr fontId="37" type="noConversion"/>
  </si>
  <si>
    <t>의성</t>
    <phoneticPr fontId="37" type="noConversion"/>
  </si>
  <si>
    <t>구미</t>
    <phoneticPr fontId="37" type="noConversion"/>
  </si>
  <si>
    <t>구미</t>
    <phoneticPr fontId="37" type="noConversion"/>
  </si>
  <si>
    <t>영천</t>
    <phoneticPr fontId="37" type="noConversion"/>
  </si>
  <si>
    <t>영천</t>
    <phoneticPr fontId="3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</si>
</sst>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0">
    <numFmt numFmtId="41" formatCode="_-* #,##0_-;\-* #,##0_-;_-* &quot;-&quot;_-;_-@_-"/>
    <numFmt numFmtId="176" formatCode="mm&quot;월&quot;\ dd&quot;일&quot;"/>
    <numFmt numFmtId="177" formatCode="0.0000"/>
    <numFmt numFmtId="178" formatCode="_ * #,##0.0_ ;_ * \-#,##0.0_ ;_ * &quot;-&quot;_ ;_ @_ "/>
    <numFmt numFmtId="179" formatCode="_ * #,##0_ ;_ * \-#,##0_ ;_ * &quot;-&quot;_ ;_ @_ "/>
    <numFmt numFmtId="180" formatCode="&quot;T = &quot;#&quot;cm&quot;"/>
    <numFmt numFmtId="181" formatCode="#,##0;[Red]#,##0"/>
    <numFmt numFmtId="182" formatCode="_ * #,##0.00_ ;_ * \-#,##0.00_ ;_ * &quot;-&quot;_ ;_ @_ "/>
    <numFmt numFmtId="183" formatCode="0.0"/>
    <numFmt numFmtId="184" formatCode="#&quot;개소&quot;"/>
    <numFmt numFmtId="185" formatCode="0.0000_);[Red]\(0.0000\)"/>
    <numFmt numFmtId="186" formatCode="0_ "/>
    <numFmt numFmtId="187" formatCode="_ * #,##0.000_ ;_ * \-#,##0.000_ ;_ * &quot;-&quot;_ ;_ @_ "/>
    <numFmt numFmtId="188" formatCode="0.00_ "/>
    <numFmt numFmtId="189" formatCode="0.00_);[Red]\(0.00\)"/>
    <numFmt numFmtId="190" formatCode="0.000_);[Red]\(0.000\)"/>
    <numFmt numFmtId="191" formatCode="_-* #,##0.00_-;\-* #,##0.00_-;_-* &quot;-&quot;_-;_-@_-"/>
    <numFmt numFmtId="192" formatCode="0.0_);[Red]\(0.0\)"/>
    <numFmt numFmtId="193" formatCode="_ &quot;₩&quot;* #,##0.00_ ;_ &quot;₩&quot;* \-#,##0.00_ ;_ &quot;₩&quot;* &quot;-&quot;??_ ;_ @_ "/>
    <numFmt numFmtId="194" formatCode="#,##0_ "/>
    <numFmt numFmtId="195" formatCode="_-* #,##0.0_-;\-* #,##0.0_-;_-* &quot;-&quot;_-;_-@_-"/>
    <numFmt numFmtId="196" formatCode="#,##0.00_ "/>
    <numFmt numFmtId="197" formatCode="0.00&quot;  ×&quot;"/>
    <numFmt numFmtId="198" formatCode="#,##0&quot; @&quot;"/>
    <numFmt numFmtId="199" formatCode="#,##0&quot;%&quot;"/>
    <numFmt numFmtId="200" formatCode="_-* #,##0.000_-;\-* #,##0.000_-;_-* &quot;-&quot;_-;_-@_-"/>
    <numFmt numFmtId="201" formatCode="0.00&quot;ha&quot;"/>
    <numFmt numFmtId="202" formatCode="0.00&quot;  =&quot;"/>
    <numFmt numFmtId="203" formatCode="#,##0.000"/>
    <numFmt numFmtId="204" formatCode="0.00&quot;  +&quot;"/>
    <numFmt numFmtId="205" formatCode="0&quot;  =&quot;"/>
    <numFmt numFmtId="206" formatCode="_-* #,##0.0000_-;\-* #,##0.0000_-;_-* &quot;-&quot;_-;_-@_-"/>
    <numFmt numFmtId="207" formatCode="#,##0.000&quot;  ×&quot;"/>
    <numFmt numFmtId="208" formatCode="_-* #,##0.0_-;\-* #,##0.0_-;_-* &quot;-&quot;?_-;_-@_-"/>
    <numFmt numFmtId="209" formatCode="#,##0;[Red]&quot;-&quot;#,##0"/>
    <numFmt numFmtId="210" formatCode="#,##0.00;[Red]&quot;-&quot;#,##0.00"/>
    <numFmt numFmtId="211" formatCode="_(&quot;$&quot;* #,##0_);_(&quot;$&quot;* \(#,##0\);_(&quot;$&quot;* &quot;-&quot;_);_(@_)"/>
    <numFmt numFmtId="212" formatCode="_(&quot;$&quot;* #,##0.00_);_(&quot;$&quot;* \(#,##0.00\);_(&quot;$&quot;* &quot;-&quot;??_);_(@_)"/>
    <numFmt numFmtId="213" formatCode="&quot;No.&quot;@"/>
    <numFmt numFmtId="214" formatCode="#,##0.0"/>
  </numFmts>
  <fonts count="99">
    <font>
      <sz val="12"/>
      <name val="바탕체"/>
      <family val="1"/>
      <charset val="129"/>
    </font>
    <font>
      <sz val="11"/>
      <name val="돋움"/>
      <family val="3"/>
      <charset val="129"/>
    </font>
    <font>
      <sz val="11"/>
      <name val="돋움"/>
      <family val="3"/>
      <charset val="129"/>
    </font>
    <font>
      <sz val="12"/>
      <name val="바탕체"/>
      <family val="1"/>
      <charset val="129"/>
    </font>
    <font>
      <sz val="8"/>
      <name val="바탕체"/>
      <family val="1"/>
      <charset val="129"/>
    </font>
    <font>
      <sz val="12"/>
      <name val="굴림체"/>
      <family val="3"/>
      <charset val="129"/>
    </font>
    <font>
      <sz val="12"/>
      <name val="굴림"/>
      <family val="3"/>
      <charset val="129"/>
    </font>
    <font>
      <b/>
      <sz val="28"/>
      <name val="굴림체"/>
      <family val="3"/>
      <charset val="129"/>
    </font>
    <font>
      <sz val="8"/>
      <name val="바탕"/>
      <family val="1"/>
      <charset val="129"/>
    </font>
    <font>
      <b/>
      <sz val="14"/>
      <name val="굴림체"/>
      <family val="3"/>
      <charset val="129"/>
    </font>
    <font>
      <sz val="14"/>
      <name val="굴림체"/>
      <family val="3"/>
      <charset val="129"/>
    </font>
    <font>
      <sz val="10"/>
      <name val="굴림체"/>
      <family val="3"/>
      <charset val="129"/>
    </font>
    <font>
      <sz val="9"/>
      <name val="굴림"/>
      <family val="3"/>
      <charset val="129"/>
    </font>
    <font>
      <sz val="8"/>
      <name val="돋움"/>
      <family val="3"/>
      <charset val="129"/>
    </font>
    <font>
      <b/>
      <sz val="10"/>
      <name val="굴림체"/>
      <family val="3"/>
      <charset val="129"/>
    </font>
    <font>
      <sz val="10"/>
      <name val="굴림"/>
      <family val="3"/>
      <charset val="129"/>
    </font>
    <font>
      <sz val="11"/>
      <name val="굴림"/>
      <family val="3"/>
      <charset val="129"/>
    </font>
    <font>
      <sz val="11"/>
      <name val="굴림체"/>
      <family val="3"/>
      <charset val="129"/>
    </font>
    <font>
      <sz val="9"/>
      <name val="굴림체"/>
      <family val="3"/>
      <charset val="129"/>
    </font>
    <font>
      <b/>
      <sz val="20"/>
      <name val="굴림체"/>
      <family val="3"/>
      <charset val="129"/>
    </font>
    <font>
      <sz val="10"/>
      <color indexed="10"/>
      <name val="굴림체"/>
      <family val="3"/>
      <charset val="129"/>
    </font>
    <font>
      <b/>
      <sz val="12"/>
      <name val="굴림체"/>
      <family val="3"/>
      <charset val="129"/>
    </font>
    <font>
      <b/>
      <sz val="10"/>
      <color indexed="10"/>
      <name val="굴림체"/>
      <family val="3"/>
      <charset val="129"/>
    </font>
    <font>
      <sz val="8"/>
      <name val="맑은 고딕"/>
      <family val="3"/>
      <charset val="129"/>
    </font>
    <font>
      <i/>
      <sz val="10"/>
      <name val="굴림체"/>
      <family val="3"/>
      <charset val="129"/>
    </font>
    <font>
      <sz val="10"/>
      <color indexed="63"/>
      <name val="굴림체"/>
      <family val="3"/>
      <charset val="129"/>
    </font>
    <font>
      <b/>
      <sz val="18"/>
      <name val="굴림체"/>
      <family val="3"/>
      <charset val="129"/>
    </font>
    <font>
      <sz val="11"/>
      <color indexed="8"/>
      <name val="맑은 고딕"/>
      <family val="3"/>
      <charset val="129"/>
    </font>
    <font>
      <sz val="12"/>
      <name val="가는으뜸체"/>
      <family val="1"/>
      <charset val="129"/>
    </font>
    <font>
      <b/>
      <sz val="22"/>
      <name val="굴림체"/>
      <family val="3"/>
      <charset val="129"/>
    </font>
    <font>
      <sz val="10"/>
      <name val="가는으뜸체"/>
      <family val="1"/>
      <charset val="129"/>
    </font>
    <font>
      <sz val="11"/>
      <name val="가을체"/>
      <family val="1"/>
      <charset val="129"/>
    </font>
    <font>
      <b/>
      <sz val="16"/>
      <name val="굴림체"/>
      <family val="3"/>
      <charset val="129"/>
    </font>
    <font>
      <sz val="8"/>
      <name val="가을체"/>
      <family val="1"/>
      <charset val="129"/>
    </font>
    <font>
      <sz val="10"/>
      <name val="돋움체"/>
      <family val="3"/>
      <charset val="129"/>
    </font>
    <font>
      <sz val="11"/>
      <name val="돋움체"/>
      <family val="3"/>
      <charset val="129"/>
    </font>
    <font>
      <b/>
      <sz val="12"/>
      <name val="돋움체"/>
      <family val="3"/>
      <charset val="129"/>
    </font>
    <font>
      <sz val="8"/>
      <name val="돋움체"/>
      <family val="3"/>
      <charset val="129"/>
    </font>
    <font>
      <b/>
      <sz val="10"/>
      <name val="돋움체"/>
      <family val="3"/>
      <charset val="129"/>
    </font>
    <font>
      <sz val="10"/>
      <color indexed="12"/>
      <name val="돋움체"/>
      <family val="3"/>
      <charset val="129"/>
    </font>
    <font>
      <b/>
      <sz val="9"/>
      <color indexed="81"/>
      <name val="굴림"/>
      <family val="3"/>
      <charset val="129"/>
    </font>
    <font>
      <sz val="9"/>
      <color indexed="81"/>
      <name val="굴림"/>
      <family val="3"/>
      <charset val="129"/>
    </font>
    <font>
      <sz val="10"/>
      <color indexed="12"/>
      <name val="굴림체"/>
      <family val="3"/>
      <charset val="129"/>
    </font>
    <font>
      <vertAlign val="superscript"/>
      <sz val="10"/>
      <name val="굴림체"/>
      <family val="3"/>
      <charset val="129"/>
    </font>
    <font>
      <vertAlign val="subscript"/>
      <sz val="10"/>
      <name val="굴림체"/>
      <family val="3"/>
      <charset val="129"/>
    </font>
    <font>
      <sz val="10"/>
      <color indexed="39"/>
      <name val="굴림체"/>
      <family val="3"/>
      <charset val="129"/>
    </font>
    <font>
      <b/>
      <sz val="10"/>
      <name val="굴림"/>
      <family val="3"/>
      <charset val="129"/>
    </font>
    <font>
      <b/>
      <sz val="18"/>
      <name val="굴림"/>
      <family val="3"/>
      <charset val="129"/>
    </font>
    <font>
      <b/>
      <sz val="12"/>
      <name val="굴림"/>
      <family val="3"/>
      <charset val="129"/>
    </font>
    <font>
      <b/>
      <sz val="12"/>
      <color indexed="10"/>
      <name val="굴림"/>
      <family val="3"/>
      <charset val="129"/>
    </font>
    <font>
      <sz val="10"/>
      <color indexed="10"/>
      <name val="굴림"/>
      <family val="3"/>
      <charset val="129"/>
    </font>
    <font>
      <sz val="10"/>
      <color indexed="12"/>
      <name val="굴림"/>
      <family val="3"/>
      <charset val="129"/>
    </font>
    <font>
      <sz val="8"/>
      <name val="굴림"/>
      <family val="3"/>
      <charset val="129"/>
    </font>
    <font>
      <vertAlign val="superscript"/>
      <sz val="10"/>
      <name val="굴림"/>
      <family val="3"/>
      <charset val="129"/>
    </font>
    <font>
      <vertAlign val="subscript"/>
      <sz val="10"/>
      <name val="굴림"/>
      <family val="3"/>
      <charset val="129"/>
    </font>
    <font>
      <b/>
      <sz val="11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10"/>
      <color indexed="39"/>
      <name val="굴림"/>
      <family val="3"/>
      <charset val="129"/>
    </font>
    <font>
      <sz val="11"/>
      <color indexed="8"/>
      <name val="굴림체"/>
      <family val="3"/>
      <charset val="129"/>
    </font>
    <font>
      <sz val="10"/>
      <name val="Arial"/>
      <family val="2"/>
    </font>
    <font>
      <sz val="10"/>
      <name val="Times New Roman"/>
      <family val="1"/>
    </font>
    <font>
      <b/>
      <sz val="18"/>
      <name val="돋움체"/>
      <family val="3"/>
      <charset val="129"/>
    </font>
    <font>
      <b/>
      <sz val="12"/>
      <color indexed="10"/>
      <name val="돋움체"/>
      <family val="3"/>
      <charset val="129"/>
    </font>
    <font>
      <b/>
      <sz val="10"/>
      <color indexed="10"/>
      <name val="돋움체"/>
      <family val="3"/>
      <charset val="129"/>
    </font>
    <font>
      <sz val="10"/>
      <color indexed="10"/>
      <name val="돋움체"/>
      <family val="3"/>
      <charset val="129"/>
    </font>
    <font>
      <sz val="12"/>
      <name val="돋움체"/>
      <family val="3"/>
      <charset val="129"/>
    </font>
    <font>
      <sz val="10"/>
      <color indexed="10"/>
      <name val="돋움"/>
      <family val="3"/>
      <charset val="129"/>
    </font>
    <font>
      <sz val="10"/>
      <color indexed="8"/>
      <name val="돋움체"/>
      <family val="3"/>
      <charset val="129"/>
    </font>
    <font>
      <vertAlign val="superscript"/>
      <sz val="10"/>
      <name val="돋움체"/>
      <family val="3"/>
      <charset val="129"/>
    </font>
    <font>
      <b/>
      <sz val="11"/>
      <name val="돋움체"/>
      <family val="3"/>
      <charset val="129"/>
    </font>
    <font>
      <vertAlign val="subscript"/>
      <sz val="10"/>
      <name val="돋움체"/>
      <family val="3"/>
      <charset val="129"/>
    </font>
    <font>
      <sz val="8"/>
      <name val="굴림체"/>
      <family val="3"/>
      <charset val="129"/>
    </font>
    <font>
      <sz val="11"/>
      <color indexed="8"/>
      <name val="맑은 고딕"/>
      <family val="3"/>
      <charset val="129"/>
    </font>
    <font>
      <sz val="10"/>
      <color indexed="10"/>
      <name val="굴림체"/>
      <family val="3"/>
      <charset val="129"/>
    </font>
    <font>
      <sz val="11"/>
      <color indexed="10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FF0000"/>
      <name val="굴림체"/>
      <family val="3"/>
      <charset val="129"/>
    </font>
    <font>
      <sz val="11"/>
      <color theme="1"/>
      <name val="굴림체"/>
      <family val="3"/>
      <charset val="129"/>
    </font>
    <font>
      <sz val="10"/>
      <color rgb="FFFF0000"/>
      <name val="굴림체"/>
      <family val="3"/>
      <charset val="129"/>
    </font>
    <font>
      <sz val="10"/>
      <color rgb="FFFF0000"/>
      <name val="돋움체"/>
      <family val="3"/>
      <charset val="129"/>
    </font>
    <font>
      <sz val="10"/>
      <name val="돋움"/>
      <family val="3"/>
      <charset val="129"/>
    </font>
    <font>
      <sz val="10"/>
      <color indexed="39"/>
      <name val="돋움체"/>
      <family val="3"/>
      <charset val="129"/>
    </font>
    <font>
      <sz val="10"/>
      <color theme="0"/>
      <name val="돋움체"/>
      <family val="3"/>
      <charset val="129"/>
    </font>
  </fonts>
  <fills count="3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hair">
        <color indexed="64"/>
      </top>
      <bottom style="hair">
        <color indexed="64"/>
      </bottom>
      <diagonal/>
    </border>
    <border>
      <left style="thin">
        <color indexed="12"/>
      </left>
      <right style="thin">
        <color indexed="12"/>
      </right>
      <top style="hair">
        <color indexed="64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hair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Dashed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</borders>
  <cellStyleXfs count="1629">
    <xf numFmtId="0" fontId="0" fillId="0" borderId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5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9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1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2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3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4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8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211" fontId="59" fillId="0" borderId="0" applyFont="0" applyFill="0" applyBorder="0" applyAlignment="0" applyProtection="0"/>
    <xf numFmtId="212" fontId="59" fillId="0" borderId="0" applyFont="0" applyFill="0" applyBorder="0" applyAlignment="0" applyProtection="0"/>
    <xf numFmtId="0" fontId="60" fillId="0" borderId="0"/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8" fillId="28" borderId="113" applyNumberFormat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5" fillId="30" borderId="114" applyNumberFormat="0" applyFont="0" applyAlignment="0" applyProtection="0">
      <alignment vertical="center"/>
    </xf>
    <xf numFmtId="0" fontId="75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0" fontId="72" fillId="30" borderId="114" applyNumberFormat="0" applyFon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0" fontId="82" fillId="32" borderId="115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93" fontId="3" fillId="0" borderId="0" applyFont="0" applyFill="0" applyBorder="0" applyAlignment="0" applyProtection="0"/>
    <xf numFmtId="41" fontId="34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3" fillId="0" borderId="116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4" fillId="0" borderId="117" applyNumberFormat="0" applyFill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5" fillId="33" borderId="113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7" fillId="0" borderId="11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8" fillId="0" borderId="119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120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0" fillId="34" borderId="0" applyNumberFormat="0" applyBorder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0" fontId="91" fillId="28" borderId="121" applyNumberFormat="0" applyAlignment="0" applyProtection="0">
      <alignment vertical="center"/>
    </xf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58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" fillId="0" borderId="0"/>
    <xf numFmtId="0" fontId="75" fillId="0" borderId="0">
      <alignment vertical="center"/>
    </xf>
    <xf numFmtId="0" fontId="3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3" fillId="0" borderId="0"/>
    <xf numFmtId="0" fontId="3" fillId="0" borderId="0" applyAlignment="0"/>
    <xf numFmtId="0" fontId="34" fillId="0" borderId="0">
      <alignment vertical="center"/>
    </xf>
    <xf numFmtId="0" fontId="31" fillId="0" borderId="0"/>
    <xf numFmtId="0" fontId="34" fillId="0" borderId="0">
      <alignment vertical="center"/>
    </xf>
    <xf numFmtId="0" fontId="31" fillId="0" borderId="0"/>
    <xf numFmtId="0" fontId="3" fillId="0" borderId="0"/>
    <xf numFmtId="0" fontId="34" fillId="0" borderId="0">
      <alignment vertical="center"/>
    </xf>
    <xf numFmtId="0" fontId="34" fillId="0" borderId="0">
      <alignment vertical="center"/>
    </xf>
  </cellStyleXfs>
  <cellXfs count="1366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Border="1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0" fontId="7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10" fillId="0" borderId="0" xfId="0" applyFont="1" applyBorder="1">
      <alignment vertical="center"/>
    </xf>
    <xf numFmtId="2" fontId="5" fillId="0" borderId="0" xfId="0" applyNumberFormat="1" applyFont="1" applyBorder="1">
      <alignment vertical="center"/>
    </xf>
    <xf numFmtId="177" fontId="5" fillId="0" borderId="0" xfId="0" applyNumberFormat="1" applyFont="1" applyBorder="1">
      <alignment vertical="center"/>
    </xf>
    <xf numFmtId="0" fontId="11" fillId="0" borderId="1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0" borderId="1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178" fontId="11" fillId="0" borderId="3" xfId="1196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179" fontId="11" fillId="0" borderId="12" xfId="1196" applyNumberFormat="1" applyFont="1" applyFill="1" applyBorder="1" applyAlignment="1">
      <alignment horizontal="center" vertical="center"/>
    </xf>
    <xf numFmtId="179" fontId="11" fillId="0" borderId="11" xfId="1196" applyNumberFormat="1" applyFont="1" applyFill="1" applyBorder="1" applyAlignment="1">
      <alignment horizontal="center" vertical="center"/>
    </xf>
    <xf numFmtId="179" fontId="11" fillId="0" borderId="13" xfId="1196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1" fillId="0" borderId="0" xfId="0" applyFont="1" applyFill="1" applyAlignment="1">
      <alignment horizontal="center" vertical="center"/>
    </xf>
    <xf numFmtId="180" fontId="11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14" xfId="0" applyFont="1" applyFill="1" applyBorder="1" applyAlignment="1">
      <alignment horizontal="center" vertical="center"/>
    </xf>
    <xf numFmtId="181" fontId="11" fillId="0" borderId="15" xfId="0" applyNumberFormat="1" applyFont="1" applyFill="1" applyBorder="1" applyAlignment="1">
      <alignment horizontal="center" vertical="center"/>
    </xf>
    <xf numFmtId="176" fontId="11" fillId="0" borderId="16" xfId="0" applyNumberFormat="1" applyFont="1" applyFill="1" applyBorder="1" applyAlignment="1">
      <alignment horizontal="center" vertical="center"/>
    </xf>
    <xf numFmtId="181" fontId="11" fillId="0" borderId="17" xfId="0" applyNumberFormat="1" applyFont="1" applyFill="1" applyBorder="1" applyAlignment="1">
      <alignment horizontal="center" vertical="center"/>
    </xf>
    <xf numFmtId="178" fontId="11" fillId="0" borderId="10" xfId="1196" applyNumberFormat="1" applyFont="1" applyFill="1" applyBorder="1" applyAlignment="1">
      <alignment horizontal="center" vertical="center"/>
    </xf>
    <xf numFmtId="41" fontId="11" fillId="0" borderId="10" xfId="1196" applyFont="1" applyFill="1" applyBorder="1" applyAlignment="1">
      <alignment horizontal="center" vertical="center"/>
    </xf>
    <xf numFmtId="182" fontId="11" fillId="0" borderId="10" xfId="1196" applyNumberFormat="1" applyFont="1" applyFill="1" applyBorder="1" applyAlignment="1">
      <alignment horizontal="center" vertical="center"/>
    </xf>
    <xf numFmtId="183" fontId="11" fillId="0" borderId="10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vertical="center"/>
    </xf>
    <xf numFmtId="0" fontId="5" fillId="0" borderId="8" xfId="0" applyFont="1" applyFill="1" applyBorder="1" applyAlignment="1">
      <alignment vertical="center"/>
    </xf>
    <xf numFmtId="0" fontId="11" fillId="0" borderId="3" xfId="1196" applyNumberFormat="1" applyFont="1" applyFill="1" applyBorder="1" applyAlignment="1">
      <alignment horizontal="center" vertical="center"/>
    </xf>
    <xf numFmtId="184" fontId="11" fillId="0" borderId="20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vertical="center"/>
    </xf>
    <xf numFmtId="179" fontId="11" fillId="0" borderId="11" xfId="0" applyNumberFormat="1" applyFont="1" applyFill="1" applyBorder="1" applyAlignment="1">
      <alignment horizontal="center" vertical="center"/>
    </xf>
    <xf numFmtId="178" fontId="11" fillId="0" borderId="11" xfId="0" applyNumberFormat="1" applyFont="1" applyFill="1" applyBorder="1" applyAlignment="1">
      <alignment horizontal="center" vertical="center"/>
    </xf>
    <xf numFmtId="179" fontId="11" fillId="0" borderId="13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185" fontId="11" fillId="0" borderId="0" xfId="0" applyNumberFormat="1" applyFont="1" applyFill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179" fontId="11" fillId="0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11" fillId="0" borderId="13" xfId="0" applyFont="1" applyFill="1" applyBorder="1" applyAlignment="1">
      <alignment horizontal="center" vertical="center"/>
    </xf>
    <xf numFmtId="9" fontId="11" fillId="0" borderId="10" xfId="1082" applyFont="1" applyFill="1" applyBorder="1" applyAlignment="1">
      <alignment horizontal="center" vertical="center"/>
    </xf>
    <xf numFmtId="179" fontId="11" fillId="0" borderId="10" xfId="1196" applyNumberFormat="1" applyFont="1" applyFill="1" applyBorder="1" applyAlignment="1">
      <alignment horizontal="center" vertical="center"/>
    </xf>
    <xf numFmtId="182" fontId="11" fillId="0" borderId="3" xfId="1196" applyNumberFormat="1" applyFont="1" applyFill="1" applyBorder="1" applyAlignment="1">
      <alignment horizontal="center" vertical="center"/>
    </xf>
    <xf numFmtId="9" fontId="11" fillId="0" borderId="3" xfId="1082" applyFont="1" applyFill="1" applyBorder="1" applyAlignment="1">
      <alignment horizontal="center" vertical="center"/>
    </xf>
    <xf numFmtId="179" fontId="11" fillId="0" borderId="3" xfId="1196" applyNumberFormat="1" applyFont="1" applyFill="1" applyBorder="1" applyAlignment="1">
      <alignment horizontal="center" vertical="center"/>
    </xf>
    <xf numFmtId="179" fontId="11" fillId="0" borderId="3" xfId="1082" applyNumberFormat="1" applyFont="1" applyFill="1" applyBorder="1" applyAlignment="1">
      <alignment horizontal="center" vertical="center"/>
    </xf>
    <xf numFmtId="187" fontId="11" fillId="0" borderId="3" xfId="1196" applyNumberFormat="1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41" fontId="11" fillId="0" borderId="25" xfId="1196" applyFont="1" applyFill="1" applyBorder="1" applyAlignment="1">
      <alignment horizontal="center" vertical="center"/>
    </xf>
    <xf numFmtId="9" fontId="11" fillId="0" borderId="25" xfId="1082" applyFont="1" applyFill="1" applyBorder="1" applyAlignment="1">
      <alignment horizontal="center" vertical="center"/>
    </xf>
    <xf numFmtId="9" fontId="11" fillId="0" borderId="24" xfId="1082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2" fontId="11" fillId="0" borderId="5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41" fontId="11" fillId="0" borderId="8" xfId="1196" applyFont="1" applyBorder="1" applyAlignment="1">
      <alignment horizontal="center" vertical="center"/>
    </xf>
    <xf numFmtId="182" fontId="11" fillId="0" borderId="8" xfId="1196" applyNumberFormat="1" applyFont="1" applyBorder="1" applyAlignment="1">
      <alignment horizontal="center" vertical="center"/>
    </xf>
    <xf numFmtId="20" fontId="11" fillId="0" borderId="5" xfId="0" quotePrefix="1" applyNumberFormat="1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20" fontId="11" fillId="0" borderId="29" xfId="0" quotePrefix="1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182" fontId="11" fillId="0" borderId="19" xfId="1196" applyNumberFormat="1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41" fontId="11" fillId="0" borderId="13" xfId="1196" applyFont="1" applyBorder="1" applyAlignment="1">
      <alignment horizontal="center" vertical="center"/>
    </xf>
    <xf numFmtId="182" fontId="11" fillId="0" borderId="13" xfId="1196" applyNumberFormat="1" applyFont="1" applyBorder="1" applyAlignment="1">
      <alignment horizontal="center" vertical="center"/>
    </xf>
    <xf numFmtId="0" fontId="11" fillId="0" borderId="0" xfId="0" applyFont="1" applyFill="1" applyAlignment="1">
      <alignment horizontal="right" vertical="center"/>
    </xf>
    <xf numFmtId="0" fontId="11" fillId="0" borderId="26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/>
    </xf>
    <xf numFmtId="189" fontId="20" fillId="0" borderId="22" xfId="0" applyNumberFormat="1" applyFont="1" applyFill="1" applyBorder="1" applyAlignment="1">
      <alignment vertical="center"/>
    </xf>
    <xf numFmtId="189" fontId="20" fillId="0" borderId="34" xfId="0" applyNumberFormat="1" applyFont="1" applyFill="1" applyBorder="1" applyAlignment="1">
      <alignment vertical="center"/>
    </xf>
    <xf numFmtId="189" fontId="20" fillId="0" borderId="35" xfId="0" applyNumberFormat="1" applyFont="1" applyFill="1" applyBorder="1" applyAlignment="1">
      <alignment vertical="center"/>
    </xf>
    <xf numFmtId="189" fontId="20" fillId="0" borderId="26" xfId="0" applyNumberFormat="1" applyFont="1" applyFill="1" applyBorder="1" applyAlignment="1">
      <alignment vertical="center"/>
    </xf>
    <xf numFmtId="189" fontId="20" fillId="0" borderId="36" xfId="0" applyNumberFormat="1" applyFont="1" applyFill="1" applyBorder="1" applyAlignment="1">
      <alignment vertical="center"/>
    </xf>
    <xf numFmtId="189" fontId="11" fillId="0" borderId="21" xfId="0" applyNumberFormat="1" applyFont="1" applyFill="1" applyBorder="1" applyAlignment="1">
      <alignment vertical="center"/>
    </xf>
    <xf numFmtId="189" fontId="11" fillId="0" borderId="4" xfId="0" applyNumberFormat="1" applyFont="1" applyFill="1" applyBorder="1" applyAlignment="1">
      <alignment vertical="center"/>
    </xf>
    <xf numFmtId="189" fontId="11" fillId="0" borderId="24" xfId="1196" applyNumberFormat="1" applyFont="1" applyFill="1" applyBorder="1" applyAlignment="1">
      <alignment vertical="center"/>
    </xf>
    <xf numFmtId="189" fontId="11" fillId="0" borderId="27" xfId="0" applyNumberFormat="1" applyFont="1" applyFill="1" applyBorder="1" applyAlignment="1">
      <alignment vertical="center"/>
    </xf>
    <xf numFmtId="189" fontId="11" fillId="0" borderId="23" xfId="0" applyNumberFormat="1" applyFont="1" applyFill="1" applyBorder="1" applyAlignment="1">
      <alignment vertical="center"/>
    </xf>
    <xf numFmtId="191" fontId="20" fillId="0" borderId="22" xfId="0" applyNumberFormat="1" applyFont="1" applyFill="1" applyBorder="1" applyAlignment="1">
      <alignment vertical="center"/>
    </xf>
    <xf numFmtId="191" fontId="20" fillId="0" borderId="35" xfId="1196" applyNumberFormat="1" applyFont="1" applyFill="1" applyBorder="1" applyAlignment="1">
      <alignment vertical="center"/>
    </xf>
    <xf numFmtId="191" fontId="20" fillId="0" borderId="37" xfId="1196" applyNumberFormat="1" applyFont="1" applyFill="1" applyBorder="1" applyAlignment="1">
      <alignment vertical="center"/>
    </xf>
    <xf numFmtId="189" fontId="20" fillId="0" borderId="38" xfId="0" applyNumberFormat="1" applyFont="1" applyFill="1" applyBorder="1" applyAlignment="1">
      <alignment vertical="center"/>
    </xf>
    <xf numFmtId="190" fontId="20" fillId="0" borderId="39" xfId="0" applyNumberFormat="1" applyFont="1" applyFill="1" applyBorder="1" applyAlignment="1">
      <alignment vertical="center"/>
    </xf>
    <xf numFmtId="189" fontId="20" fillId="0" borderId="37" xfId="0" applyNumberFormat="1" applyFont="1" applyFill="1" applyBorder="1" applyAlignment="1">
      <alignment vertical="center"/>
    </xf>
    <xf numFmtId="191" fontId="11" fillId="0" borderId="24" xfId="0" applyNumberFormat="1" applyFont="1" applyBorder="1" applyAlignment="1">
      <alignment vertical="center"/>
    </xf>
    <xf numFmtId="191" fontId="11" fillId="0" borderId="4" xfId="1196" applyNumberFormat="1" applyFont="1" applyBorder="1" applyAlignment="1">
      <alignment vertical="center"/>
    </xf>
    <xf numFmtId="191" fontId="11" fillId="0" borderId="23" xfId="0" applyNumberFormat="1" applyFont="1" applyBorder="1" applyAlignment="1">
      <alignment vertical="center"/>
    </xf>
    <xf numFmtId="191" fontId="11" fillId="0" borderId="21" xfId="0" applyNumberFormat="1" applyFont="1" applyBorder="1" applyAlignment="1">
      <alignment vertical="center"/>
    </xf>
    <xf numFmtId="189" fontId="11" fillId="0" borderId="4" xfId="0" applyNumberFormat="1" applyFont="1" applyBorder="1" applyAlignment="1">
      <alignment vertical="center"/>
    </xf>
    <xf numFmtId="0" fontId="21" fillId="0" borderId="0" xfId="1621" applyFont="1" applyAlignment="1">
      <alignment horizontal="left" vertical="center"/>
    </xf>
    <xf numFmtId="0" fontId="5" fillId="0" borderId="0" xfId="1620" applyFont="1" applyAlignment="1">
      <alignment horizontal="center" vertical="center"/>
    </xf>
    <xf numFmtId="0" fontId="5" fillId="0" borderId="0" xfId="1620" applyFont="1" applyAlignment="1">
      <alignment vertical="center"/>
    </xf>
    <xf numFmtId="0" fontId="5" fillId="0" borderId="0" xfId="1620" applyFont="1" applyFill="1" applyAlignment="1">
      <alignment vertical="center"/>
    </xf>
    <xf numFmtId="0" fontId="11" fillId="0" borderId="11" xfId="1620" applyFont="1" applyFill="1" applyBorder="1" applyAlignment="1">
      <alignment horizontal="center" vertical="center"/>
    </xf>
    <xf numFmtId="0" fontId="11" fillId="0" borderId="40" xfId="1620" applyFont="1" applyFill="1" applyBorder="1" applyAlignment="1">
      <alignment horizontal="center" vertical="center"/>
    </xf>
    <xf numFmtId="0" fontId="11" fillId="0" borderId="13" xfId="1620" applyFont="1" applyFill="1" applyBorder="1" applyAlignment="1">
      <alignment horizontal="center" vertical="center"/>
    </xf>
    <xf numFmtId="0" fontId="5" fillId="0" borderId="0" xfId="1620" applyFont="1" applyFill="1" applyAlignment="1">
      <alignment horizontal="center" vertical="center"/>
    </xf>
    <xf numFmtId="179" fontId="22" fillId="0" borderId="11" xfId="1203" applyNumberFormat="1" applyFont="1" applyFill="1" applyBorder="1" applyAlignment="1">
      <alignment vertical="center"/>
    </xf>
    <xf numFmtId="179" fontId="22" fillId="0" borderId="40" xfId="1203" applyNumberFormat="1" applyFont="1" applyFill="1" applyBorder="1" applyAlignment="1">
      <alignment vertical="center"/>
    </xf>
    <xf numFmtId="178" fontId="11" fillId="0" borderId="11" xfId="1203" applyNumberFormat="1" applyFont="1" applyFill="1" applyBorder="1" applyAlignment="1">
      <alignment horizontal="center" vertical="center"/>
    </xf>
    <xf numFmtId="182" fontId="11" fillId="0" borderId="11" xfId="1203" applyNumberFormat="1" applyFont="1" applyFill="1" applyBorder="1" applyAlignment="1">
      <alignment vertical="center"/>
    </xf>
    <xf numFmtId="178" fontId="11" fillId="0" borderId="11" xfId="1203" applyNumberFormat="1" applyFont="1" applyFill="1" applyBorder="1" applyAlignment="1">
      <alignment vertical="center"/>
    </xf>
    <xf numFmtId="178" fontId="11" fillId="0" borderId="13" xfId="1203" applyNumberFormat="1" applyFont="1" applyFill="1" applyBorder="1" applyAlignment="1">
      <alignment horizontal="center" vertical="center"/>
    </xf>
    <xf numFmtId="178" fontId="11" fillId="0" borderId="10" xfId="1203" applyNumberFormat="1" applyFont="1" applyFill="1" applyBorder="1" applyAlignment="1">
      <alignment horizontal="center" vertical="center"/>
    </xf>
    <xf numFmtId="41" fontId="11" fillId="0" borderId="10" xfId="1196" applyFont="1" applyFill="1" applyBorder="1" applyAlignment="1">
      <alignment vertical="center"/>
    </xf>
    <xf numFmtId="41" fontId="11" fillId="0" borderId="20" xfId="1196" applyFont="1" applyFill="1" applyBorder="1" applyAlignment="1">
      <alignment vertical="center"/>
    </xf>
    <xf numFmtId="178" fontId="11" fillId="0" borderId="7" xfId="1203" applyNumberFormat="1" applyFont="1" applyFill="1" applyBorder="1" applyAlignment="1">
      <alignment vertical="center"/>
    </xf>
    <xf numFmtId="182" fontId="5" fillId="0" borderId="0" xfId="1196" applyNumberFormat="1" applyFont="1" applyAlignment="1">
      <alignment horizontal="center" vertical="center"/>
    </xf>
    <xf numFmtId="9" fontId="5" fillId="0" borderId="0" xfId="1082" applyFont="1" applyAlignment="1">
      <alignment vertical="center"/>
    </xf>
    <xf numFmtId="178" fontId="11" fillId="0" borderId="3" xfId="1203" applyNumberFormat="1" applyFont="1" applyFill="1" applyBorder="1" applyAlignment="1">
      <alignment horizontal="center" vertical="center"/>
    </xf>
    <xf numFmtId="41" fontId="11" fillId="0" borderId="3" xfId="1196" applyFont="1" applyFill="1" applyBorder="1" applyAlignment="1">
      <alignment vertical="center"/>
    </xf>
    <xf numFmtId="178" fontId="11" fillId="0" borderId="8" xfId="1203" applyNumberFormat="1" applyFont="1" applyFill="1" applyBorder="1" applyAlignment="1">
      <alignment vertical="center"/>
    </xf>
    <xf numFmtId="182" fontId="5" fillId="0" borderId="0" xfId="1196" applyNumberFormat="1" applyFont="1" applyFill="1" applyAlignment="1">
      <alignment horizontal="center" vertical="center"/>
    </xf>
    <xf numFmtId="41" fontId="24" fillId="0" borderId="40" xfId="1196" applyFont="1" applyFill="1" applyBorder="1" applyAlignment="1">
      <alignment vertical="center"/>
    </xf>
    <xf numFmtId="0" fontId="11" fillId="0" borderId="3" xfId="1620" applyFont="1" applyFill="1" applyBorder="1" applyAlignment="1">
      <alignment horizontal="center" vertical="center"/>
    </xf>
    <xf numFmtId="182" fontId="11" fillId="0" borderId="3" xfId="1203" applyNumberFormat="1" applyFont="1" applyFill="1" applyBorder="1" applyAlignment="1">
      <alignment vertical="center"/>
    </xf>
    <xf numFmtId="0" fontId="11" fillId="0" borderId="8" xfId="1620" applyFont="1" applyFill="1" applyBorder="1" applyAlignment="1">
      <alignment horizontal="center" vertical="center"/>
    </xf>
    <xf numFmtId="182" fontId="24" fillId="0" borderId="40" xfId="1203" applyNumberFormat="1" applyFont="1" applyFill="1" applyBorder="1" applyAlignment="1">
      <alignment vertical="center"/>
    </xf>
    <xf numFmtId="182" fontId="14" fillId="0" borderId="11" xfId="1196" applyNumberFormat="1" applyFont="1" applyFill="1" applyBorder="1" applyAlignment="1">
      <alignment vertical="center"/>
    </xf>
    <xf numFmtId="41" fontId="14" fillId="0" borderId="40" xfId="1196" applyFont="1" applyFill="1" applyBorder="1" applyAlignment="1">
      <alignment vertical="center"/>
    </xf>
    <xf numFmtId="178" fontId="14" fillId="0" borderId="40" xfId="1203" applyNumberFormat="1" applyFont="1" applyFill="1" applyBorder="1" applyAlignment="1">
      <alignment vertical="center"/>
    </xf>
    <xf numFmtId="182" fontId="14" fillId="0" borderId="40" xfId="1203" applyNumberFormat="1" applyFont="1" applyFill="1" applyBorder="1" applyAlignment="1">
      <alignment vertical="center"/>
    </xf>
    <xf numFmtId="0" fontId="11" fillId="0" borderId="0" xfId="1620" applyFont="1" applyFill="1" applyAlignment="1">
      <alignment horizontal="left" vertical="center"/>
    </xf>
    <xf numFmtId="0" fontId="11" fillId="0" borderId="0" xfId="1620" applyFont="1" applyFill="1" applyAlignment="1">
      <alignment horizontal="center" vertical="center"/>
    </xf>
    <xf numFmtId="0" fontId="5" fillId="0" borderId="0" xfId="1620" applyNumberFormat="1" applyFont="1" applyFill="1" applyAlignment="1">
      <alignment horizontal="center" vertical="center"/>
    </xf>
    <xf numFmtId="0" fontId="17" fillId="0" borderId="41" xfId="1590" applyFont="1" applyFill="1" applyBorder="1">
      <alignment vertical="center"/>
    </xf>
    <xf numFmtId="0" fontId="25" fillId="0" borderId="41" xfId="1590" applyFont="1" applyFill="1" applyBorder="1">
      <alignment vertical="center"/>
    </xf>
    <xf numFmtId="0" fontId="25" fillId="0" borderId="41" xfId="1590" applyFont="1" applyBorder="1">
      <alignment vertical="center"/>
    </xf>
    <xf numFmtId="0" fontId="17" fillId="0" borderId="41" xfId="1590" applyFont="1" applyBorder="1">
      <alignment vertical="center"/>
    </xf>
    <xf numFmtId="0" fontId="11" fillId="0" borderId="42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179" fontId="11" fillId="0" borderId="24" xfId="1196" applyNumberFormat="1" applyFont="1" applyFill="1" applyBorder="1" applyAlignment="1">
      <alignment vertical="center"/>
    </xf>
    <xf numFmtId="0" fontId="11" fillId="0" borderId="22" xfId="0" applyFont="1" applyFill="1" applyBorder="1" applyAlignment="1">
      <alignment vertical="center"/>
    </xf>
    <xf numFmtId="179" fontId="14" fillId="0" borderId="22" xfId="1196" applyNumberFormat="1" applyFont="1" applyFill="1" applyBorder="1" applyAlignment="1">
      <alignment vertical="center"/>
    </xf>
    <xf numFmtId="179" fontId="11" fillId="0" borderId="22" xfId="1196" applyNumberFormat="1" applyFont="1" applyFill="1" applyBorder="1" applyAlignment="1">
      <alignment vertical="center"/>
    </xf>
    <xf numFmtId="188" fontId="11" fillId="0" borderId="34" xfId="0" applyNumberFormat="1" applyFont="1" applyFill="1" applyBorder="1" applyAlignment="1">
      <alignment vertical="center"/>
    </xf>
    <xf numFmtId="179" fontId="11" fillId="0" borderId="3" xfId="1196" applyNumberFormat="1" applyFont="1" applyFill="1" applyBorder="1" applyAlignment="1">
      <alignment vertical="center"/>
    </xf>
    <xf numFmtId="188" fontId="11" fillId="0" borderId="8" xfId="0" applyNumberFormat="1" applyFont="1" applyFill="1" applyBorder="1" applyAlignment="1">
      <alignment vertical="center"/>
    </xf>
    <xf numFmtId="188" fontId="11" fillId="0" borderId="21" xfId="0" applyNumberFormat="1" applyFont="1" applyFill="1" applyBorder="1" applyAlignment="1">
      <alignment vertical="center"/>
    </xf>
    <xf numFmtId="179" fontId="11" fillId="0" borderId="14" xfId="1196" applyNumberFormat="1" applyFont="1" applyFill="1" applyBorder="1" applyAlignment="1">
      <alignment vertical="center"/>
    </xf>
    <xf numFmtId="188" fontId="11" fillId="0" borderId="45" xfId="0" applyNumberFormat="1" applyFont="1" applyFill="1" applyBorder="1" applyAlignment="1">
      <alignment vertical="center"/>
    </xf>
    <xf numFmtId="179" fontId="11" fillId="0" borderId="11" xfId="1196" applyNumberFormat="1" applyFont="1" applyFill="1" applyBorder="1" applyAlignment="1">
      <alignment vertical="center"/>
    </xf>
    <xf numFmtId="179" fontId="11" fillId="0" borderId="10" xfId="1196" applyNumberFormat="1" applyFont="1" applyFill="1" applyBorder="1" applyAlignment="1">
      <alignment vertical="center"/>
    </xf>
    <xf numFmtId="0" fontId="11" fillId="0" borderId="12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vertical="center"/>
    </xf>
    <xf numFmtId="188" fontId="11" fillId="0" borderId="13" xfId="0" applyNumberFormat="1" applyFont="1" applyFill="1" applyBorder="1" applyAlignment="1">
      <alignment vertical="center"/>
    </xf>
    <xf numFmtId="182" fontId="14" fillId="0" borderId="22" xfId="1196" applyNumberFormat="1" applyFont="1" applyFill="1" applyBorder="1" applyAlignment="1">
      <alignment vertical="center"/>
    </xf>
    <xf numFmtId="191" fontId="11" fillId="0" borderId="8" xfId="0" applyNumberFormat="1" applyFont="1" applyFill="1" applyBorder="1" applyAlignment="1">
      <alignment vertical="center"/>
    </xf>
    <xf numFmtId="191" fontId="11" fillId="0" borderId="21" xfId="0" applyNumberFormat="1" applyFont="1" applyFill="1" applyBorder="1" applyAlignment="1">
      <alignment vertical="center"/>
    </xf>
    <xf numFmtId="191" fontId="11" fillId="0" borderId="34" xfId="0" applyNumberFormat="1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NumberFormat="1" applyFont="1" applyAlignment="1">
      <alignment horizontal="center"/>
    </xf>
    <xf numFmtId="183" fontId="5" fillId="0" borderId="0" xfId="0" applyNumberFormat="1" applyFont="1" applyAlignment="1">
      <alignment horizontal="center"/>
    </xf>
    <xf numFmtId="0" fontId="28" fillId="0" borderId="0" xfId="1626" applyFont="1" applyAlignment="1">
      <alignment vertical="center"/>
    </xf>
    <xf numFmtId="0" fontId="11" fillId="0" borderId="0" xfId="1626" applyFont="1" applyBorder="1" applyAlignment="1">
      <alignment horizontal="center" vertical="center"/>
    </xf>
    <xf numFmtId="0" fontId="5" fillId="0" borderId="0" xfId="1625" applyFont="1"/>
    <xf numFmtId="0" fontId="32" fillId="0" borderId="0" xfId="1625" applyFont="1" applyAlignment="1">
      <alignment horizontal="center"/>
    </xf>
    <xf numFmtId="0" fontId="6" fillId="0" borderId="0" xfId="1625" applyFont="1"/>
    <xf numFmtId="0" fontId="11" fillId="0" borderId="0" xfId="1625" applyFont="1"/>
    <xf numFmtId="0" fontId="11" fillId="0" borderId="0" xfId="1625" applyFont="1" applyAlignment="1">
      <alignment horizontal="right"/>
    </xf>
    <xf numFmtId="0" fontId="11" fillId="0" borderId="12" xfId="1625" applyFont="1" applyBorder="1" applyAlignment="1">
      <alignment horizontal="center" vertical="center"/>
    </xf>
    <xf numFmtId="0" fontId="11" fillId="0" borderId="11" xfId="1625" applyFont="1" applyBorder="1" applyAlignment="1">
      <alignment horizontal="center" vertical="center"/>
    </xf>
    <xf numFmtId="0" fontId="11" fillId="0" borderId="11" xfId="1625" applyFont="1" applyBorder="1" applyAlignment="1">
      <alignment horizontal="center" vertical="center" wrapText="1"/>
    </xf>
    <xf numFmtId="0" fontId="11" fillId="0" borderId="13" xfId="1625" applyFont="1" applyBorder="1" applyAlignment="1">
      <alignment horizontal="center" vertical="center"/>
    </xf>
    <xf numFmtId="0" fontId="34" fillId="0" borderId="0" xfId="1624">
      <alignment vertical="center"/>
    </xf>
    <xf numFmtId="0" fontId="34" fillId="0" borderId="0" xfId="1624" applyFont="1" applyAlignment="1">
      <alignment vertical="center"/>
    </xf>
    <xf numFmtId="0" fontId="34" fillId="0" borderId="46" xfId="1624" applyBorder="1" applyAlignment="1">
      <alignment vertical="center"/>
    </xf>
    <xf numFmtId="0" fontId="34" fillId="0" borderId="47" xfId="1624" applyFont="1" applyBorder="1" applyAlignment="1">
      <alignment vertical="center"/>
    </xf>
    <xf numFmtId="0" fontId="34" fillId="0" borderId="46" xfId="1624" applyFont="1" applyBorder="1" applyAlignment="1">
      <alignment vertical="center"/>
    </xf>
    <xf numFmtId="0" fontId="34" fillId="0" borderId="48" xfId="1624" applyFont="1" applyBorder="1" applyAlignment="1">
      <alignment vertical="center"/>
    </xf>
    <xf numFmtId="195" fontId="34" fillId="0" borderId="46" xfId="1206" applyNumberFormat="1" applyFont="1" applyBorder="1" applyAlignment="1">
      <alignment vertical="center" shrinkToFit="1"/>
    </xf>
    <xf numFmtId="195" fontId="34" fillId="0" borderId="48" xfId="1206" applyNumberFormat="1" applyFont="1" applyBorder="1" applyAlignment="1">
      <alignment vertical="center" shrinkToFit="1"/>
    </xf>
    <xf numFmtId="195" fontId="34" fillId="0" borderId="47" xfId="1206" applyNumberFormat="1" applyFont="1" applyBorder="1" applyAlignment="1">
      <alignment vertical="center" shrinkToFit="1"/>
    </xf>
    <xf numFmtId="0" fontId="11" fillId="0" borderId="0" xfId="1624" applyFont="1">
      <alignment vertical="center"/>
    </xf>
    <xf numFmtId="0" fontId="11" fillId="0" borderId="0" xfId="1624" applyFont="1" applyAlignment="1">
      <alignment vertical="center"/>
    </xf>
    <xf numFmtId="0" fontId="11" fillId="0" borderId="49" xfId="1624" applyFont="1" applyBorder="1">
      <alignment vertical="center"/>
    </xf>
    <xf numFmtId="0" fontId="14" fillId="0" borderId="50" xfId="1624" applyFont="1" applyBorder="1">
      <alignment vertical="center"/>
    </xf>
    <xf numFmtId="0" fontId="11" fillId="0" borderId="50" xfId="1624" applyFont="1" applyBorder="1">
      <alignment vertical="center"/>
    </xf>
    <xf numFmtId="0" fontId="22" fillId="0" borderId="50" xfId="1624" applyFont="1" applyBorder="1">
      <alignment vertical="center"/>
    </xf>
    <xf numFmtId="0" fontId="14" fillId="0" borderId="50" xfId="1624" applyFont="1" applyBorder="1" applyAlignment="1">
      <alignment horizontal="center" vertical="center"/>
    </xf>
    <xf numFmtId="0" fontId="14" fillId="0" borderId="51" xfId="1624" applyFont="1" applyBorder="1" applyAlignment="1">
      <alignment horizontal="center" vertical="center"/>
    </xf>
    <xf numFmtId="0" fontId="11" fillId="0" borderId="52" xfId="1624" applyFont="1" applyBorder="1">
      <alignment vertical="center"/>
    </xf>
    <xf numFmtId="0" fontId="11" fillId="0" borderId="0" xfId="1624" applyFont="1" applyBorder="1">
      <alignment vertical="center"/>
    </xf>
    <xf numFmtId="0" fontId="14" fillId="0" borderId="0" xfId="1624" applyFont="1" applyBorder="1">
      <alignment vertical="center"/>
    </xf>
    <xf numFmtId="0" fontId="11" fillId="0" borderId="53" xfId="1624" applyFont="1" applyBorder="1">
      <alignment vertical="center"/>
    </xf>
    <xf numFmtId="0" fontId="14" fillId="0" borderId="0" xfId="1624" applyFont="1" applyBorder="1" applyAlignment="1">
      <alignment horizontal="center" vertical="center"/>
    </xf>
    <xf numFmtId="0" fontId="14" fillId="0" borderId="0" xfId="1624" applyFont="1" applyBorder="1" applyAlignment="1">
      <alignment horizontal="left" vertical="center"/>
    </xf>
    <xf numFmtId="0" fontId="22" fillId="0" borderId="0" xfId="1624" applyFont="1" applyBorder="1" applyAlignment="1">
      <alignment vertical="center"/>
    </xf>
    <xf numFmtId="0" fontId="11" fillId="0" borderId="0" xfId="1624" applyFont="1" applyBorder="1" applyAlignment="1">
      <alignment horizontal="center" vertical="center"/>
    </xf>
    <xf numFmtId="0" fontId="11" fillId="0" borderId="54" xfId="1624" applyFont="1" applyBorder="1" applyAlignment="1">
      <alignment horizontal="center" vertical="center"/>
    </xf>
    <xf numFmtId="191" fontId="42" fillId="0" borderId="55" xfId="1206" applyNumberFormat="1" applyFont="1" applyBorder="1" applyAlignment="1">
      <alignment vertical="center"/>
    </xf>
    <xf numFmtId="191" fontId="42" fillId="0" borderId="0" xfId="1206" applyNumberFormat="1" applyFont="1" applyBorder="1" applyAlignment="1">
      <alignment vertical="center"/>
    </xf>
    <xf numFmtId="191" fontId="42" fillId="0" borderId="53" xfId="1206" applyNumberFormat="1" applyFont="1" applyBorder="1" applyAlignment="1">
      <alignment vertical="center"/>
    </xf>
    <xf numFmtId="0" fontId="14" fillId="0" borderId="0" xfId="1624" applyFont="1" applyBorder="1" applyAlignment="1">
      <alignment vertical="center"/>
    </xf>
    <xf numFmtId="188" fontId="14" fillId="0" borderId="0" xfId="1624" applyNumberFormat="1" applyFont="1" applyBorder="1" applyAlignment="1">
      <alignment horizontal="center" vertical="center"/>
    </xf>
    <xf numFmtId="191" fontId="42" fillId="0" borderId="56" xfId="1206" applyNumberFormat="1" applyFont="1" applyBorder="1" applyAlignment="1">
      <alignment vertical="center"/>
    </xf>
    <xf numFmtId="0" fontId="11" fillId="0" borderId="0" xfId="1624" applyFont="1" applyBorder="1" applyAlignment="1">
      <alignment vertical="center"/>
    </xf>
    <xf numFmtId="2" fontId="20" fillId="0" borderId="0" xfId="1624" applyNumberFormat="1" applyFont="1" applyBorder="1" applyAlignment="1">
      <alignment horizontal="center" vertical="center"/>
    </xf>
    <xf numFmtId="0" fontId="11" fillId="0" borderId="54" xfId="1624" applyFont="1" applyBorder="1">
      <alignment vertical="center"/>
    </xf>
    <xf numFmtId="191" fontId="20" fillId="0" borderId="56" xfId="1206" applyNumberFormat="1" applyFont="1" applyBorder="1" applyAlignment="1">
      <alignment vertical="center"/>
    </xf>
    <xf numFmtId="0" fontId="11" fillId="0" borderId="0" xfId="1624" applyFont="1" applyFill="1" applyBorder="1">
      <alignment vertical="center"/>
    </xf>
    <xf numFmtId="206" fontId="20" fillId="0" borderId="57" xfId="1206" applyNumberFormat="1" applyFont="1" applyFill="1" applyBorder="1" applyAlignment="1">
      <alignment vertical="center"/>
    </xf>
    <xf numFmtId="201" fontId="11" fillId="0" borderId="0" xfId="1624" applyNumberFormat="1" applyFont="1" applyFill="1" applyBorder="1">
      <alignment vertical="center"/>
    </xf>
    <xf numFmtId="0" fontId="11" fillId="0" borderId="53" xfId="1624" applyFont="1" applyFill="1" applyBorder="1">
      <alignment vertical="center"/>
    </xf>
    <xf numFmtId="0" fontId="11" fillId="0" borderId="0" xfId="1624" applyFont="1" applyFill="1" applyBorder="1" applyAlignment="1">
      <alignment horizontal="center" vertical="center"/>
    </xf>
    <xf numFmtId="0" fontId="11" fillId="0" borderId="0" xfId="1624" applyFont="1" applyFill="1" applyBorder="1" applyAlignment="1">
      <alignment vertical="center"/>
    </xf>
    <xf numFmtId="3" fontId="20" fillId="0" borderId="0" xfId="1624" applyNumberFormat="1" applyFont="1" applyFill="1" applyBorder="1" applyAlignment="1">
      <alignment horizontal="center" vertical="center"/>
    </xf>
    <xf numFmtId="0" fontId="11" fillId="0" borderId="0" xfId="1624" applyFont="1" applyFill="1" applyBorder="1" applyAlignment="1">
      <alignment horizontal="left" vertical="center"/>
    </xf>
    <xf numFmtId="0" fontId="11" fillId="0" borderId="54" xfId="1624" applyFont="1" applyFill="1" applyBorder="1" applyAlignment="1">
      <alignment horizontal="center" vertical="center"/>
    </xf>
    <xf numFmtId="0" fontId="11" fillId="0" borderId="0" xfId="1624" applyFont="1" applyFill="1">
      <alignment vertical="center"/>
    </xf>
    <xf numFmtId="0" fontId="34" fillId="0" borderId="0" xfId="1624" applyFill="1">
      <alignment vertical="center"/>
    </xf>
    <xf numFmtId="0" fontId="11" fillId="0" borderId="54" xfId="1624" applyFont="1" applyFill="1" applyBorder="1" applyAlignment="1">
      <alignment vertical="center"/>
    </xf>
    <xf numFmtId="203" fontId="11" fillId="0" borderId="0" xfId="1624" applyNumberFormat="1" applyFont="1" applyFill="1" applyBorder="1" applyAlignment="1">
      <alignment horizontal="center" vertical="center"/>
    </xf>
    <xf numFmtId="0" fontId="11" fillId="0" borderId="54" xfId="1624" applyFont="1" applyFill="1" applyBorder="1" applyAlignment="1">
      <alignment horizontal="left" vertical="center"/>
    </xf>
    <xf numFmtId="12" fontId="11" fillId="0" borderId="0" xfId="1624" applyNumberFormat="1" applyFont="1" applyBorder="1" applyAlignment="1">
      <alignment horizontal="left" vertical="center"/>
    </xf>
    <xf numFmtId="12" fontId="11" fillId="0" borderId="0" xfId="1624" applyNumberFormat="1" applyFont="1" applyFill="1" applyBorder="1" applyAlignment="1">
      <alignment horizontal="center" vertical="center"/>
    </xf>
    <xf numFmtId="12" fontId="11" fillId="0" borderId="0" xfId="1624" applyNumberFormat="1" applyFont="1" applyFill="1" applyBorder="1" applyAlignment="1">
      <alignment horizontal="left" vertical="center"/>
    </xf>
    <xf numFmtId="191" fontId="42" fillId="0" borderId="58" xfId="1206" applyNumberFormat="1" applyFont="1" applyFill="1" applyBorder="1" applyAlignment="1">
      <alignment vertical="center"/>
    </xf>
    <xf numFmtId="191" fontId="20" fillId="0" borderId="56" xfId="1206" applyNumberFormat="1" applyFont="1" applyFill="1" applyBorder="1" applyAlignment="1">
      <alignment vertical="center"/>
    </xf>
    <xf numFmtId="1" fontId="20" fillId="0" borderId="0" xfId="1624" applyNumberFormat="1" applyFont="1" applyFill="1" applyBorder="1" applyAlignment="1">
      <alignment horizontal="left" vertical="center"/>
    </xf>
    <xf numFmtId="4" fontId="11" fillId="0" borderId="0" xfId="1624" applyNumberFormat="1" applyFont="1" applyFill="1" applyBorder="1" applyAlignment="1">
      <alignment horizontal="center" vertical="center"/>
    </xf>
    <xf numFmtId="191" fontId="42" fillId="0" borderId="56" xfId="1206" applyNumberFormat="1" applyFont="1" applyFill="1" applyBorder="1" applyAlignment="1">
      <alignment vertical="center"/>
    </xf>
    <xf numFmtId="191" fontId="20" fillId="0" borderId="57" xfId="1206" applyNumberFormat="1" applyFont="1" applyFill="1" applyBorder="1" applyAlignment="1">
      <alignment vertical="center"/>
    </xf>
    <xf numFmtId="0" fontId="14" fillId="0" borderId="0" xfId="1624" applyFont="1" applyFill="1" applyBorder="1" applyAlignment="1">
      <alignment horizontal="right" vertical="center"/>
    </xf>
    <xf numFmtId="0" fontId="11" fillId="0" borderId="0" xfId="1624" quotePrefix="1" applyFont="1" applyFill="1" applyBorder="1" applyAlignment="1">
      <alignment vertical="center"/>
    </xf>
    <xf numFmtId="0" fontId="14" fillId="0" borderId="0" xfId="1624" applyFont="1" applyFill="1" applyBorder="1" applyAlignment="1">
      <alignment horizontal="center" vertical="center"/>
    </xf>
    <xf numFmtId="191" fontId="42" fillId="0" borderId="59" xfId="1206" applyNumberFormat="1" applyFont="1" applyFill="1" applyBorder="1" applyAlignment="1">
      <alignment vertical="center"/>
    </xf>
    <xf numFmtId="207" fontId="11" fillId="0" borderId="0" xfId="1624" applyNumberFormat="1" applyFont="1" applyFill="1" applyBorder="1" applyAlignment="1">
      <alignment horizontal="center" vertical="center"/>
    </xf>
    <xf numFmtId="0" fontId="42" fillId="0" borderId="0" xfId="1624" applyFont="1" applyFill="1" applyBorder="1" applyAlignment="1">
      <alignment vertical="center"/>
    </xf>
    <xf numFmtId="0" fontId="20" fillId="0" borderId="0" xfId="1624" applyFont="1" applyFill="1" applyBorder="1" applyAlignment="1">
      <alignment vertical="center"/>
    </xf>
    <xf numFmtId="0" fontId="11" fillId="0" borderId="30" xfId="1624" applyFont="1" applyFill="1" applyBorder="1" applyAlignment="1">
      <alignment horizontal="center" vertical="center"/>
    </xf>
    <xf numFmtId="0" fontId="11" fillId="0" borderId="0" xfId="1624" applyFont="1" applyFill="1" applyBorder="1" applyAlignment="1">
      <alignment horizontal="right" vertical="center"/>
    </xf>
    <xf numFmtId="191" fontId="42" fillId="0" borderId="30" xfId="1206" applyNumberFormat="1" applyFont="1" applyFill="1" applyBorder="1" applyAlignment="1">
      <alignment horizontal="center" vertical="center"/>
    </xf>
    <xf numFmtId="41" fontId="42" fillId="0" borderId="30" xfId="1206" applyNumberFormat="1" applyFont="1" applyFill="1" applyBorder="1" applyAlignment="1">
      <alignment horizontal="center" vertical="center"/>
    </xf>
    <xf numFmtId="0" fontId="11" fillId="0" borderId="60" xfId="1624" applyFont="1" applyFill="1" applyBorder="1" applyAlignment="1">
      <alignment vertical="center"/>
    </xf>
    <xf numFmtId="191" fontId="42" fillId="0" borderId="0" xfId="1206" applyNumberFormat="1" applyFont="1" applyFill="1" applyBorder="1" applyAlignment="1">
      <alignment horizontal="center" vertical="center"/>
    </xf>
    <xf numFmtId="203" fontId="14" fillId="0" borderId="0" xfId="1624" applyNumberFormat="1" applyFont="1" applyFill="1" applyBorder="1" applyAlignment="1">
      <alignment horizontal="center" vertical="center"/>
    </xf>
    <xf numFmtId="0" fontId="45" fillId="0" borderId="0" xfId="1624" applyFont="1" applyFill="1" applyBorder="1" applyAlignment="1">
      <alignment horizontal="center" vertical="center"/>
    </xf>
    <xf numFmtId="0" fontId="11" fillId="0" borderId="61" xfId="1624" applyFont="1" applyBorder="1">
      <alignment vertical="center"/>
    </xf>
    <xf numFmtId="0" fontId="11" fillId="0" borderId="62" xfId="1624" applyFont="1" applyBorder="1">
      <alignment vertical="center"/>
    </xf>
    <xf numFmtId="0" fontId="11" fillId="0" borderId="63" xfId="1624" applyFont="1" applyBorder="1">
      <alignment vertical="center"/>
    </xf>
    <xf numFmtId="0" fontId="11" fillId="0" borderId="62" xfId="1624" applyFont="1" applyBorder="1" applyAlignment="1">
      <alignment vertical="center"/>
    </xf>
    <xf numFmtId="0" fontId="11" fillId="0" borderId="64" xfId="1624" applyFont="1" applyBorder="1" applyAlignment="1">
      <alignment vertical="center"/>
    </xf>
    <xf numFmtId="0" fontId="15" fillId="0" borderId="0" xfId="1624" applyFont="1">
      <alignment vertical="center"/>
    </xf>
    <xf numFmtId="0" fontId="15" fillId="0" borderId="46" xfId="1624" applyFont="1" applyBorder="1" applyAlignment="1">
      <alignment vertical="center"/>
    </xf>
    <xf numFmtId="0" fontId="15" fillId="0" borderId="47" xfId="1624" applyFont="1" applyBorder="1" applyAlignment="1">
      <alignment vertical="center"/>
    </xf>
    <xf numFmtId="0" fontId="15" fillId="0" borderId="48" xfId="1624" applyFont="1" applyBorder="1" applyAlignment="1">
      <alignment vertical="center"/>
    </xf>
    <xf numFmtId="195" fontId="15" fillId="0" borderId="46" xfId="1206" applyNumberFormat="1" applyFont="1" applyBorder="1" applyAlignment="1">
      <alignment vertical="center" shrinkToFit="1"/>
    </xf>
    <xf numFmtId="195" fontId="15" fillId="0" borderId="48" xfId="1206" applyNumberFormat="1" applyFont="1" applyBorder="1" applyAlignment="1">
      <alignment vertical="center" shrinkToFit="1"/>
    </xf>
    <xf numFmtId="195" fontId="15" fillId="0" borderId="47" xfId="1206" applyNumberFormat="1" applyFont="1" applyBorder="1" applyAlignment="1">
      <alignment vertical="center" shrinkToFit="1"/>
    </xf>
    <xf numFmtId="186" fontId="5" fillId="0" borderId="0" xfId="1620" applyNumberFormat="1" applyFont="1" applyFill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6" fillId="0" borderId="0" xfId="1626" applyFont="1" applyAlignment="1">
      <alignment vertical="center"/>
    </xf>
    <xf numFmtId="0" fontId="5" fillId="0" borderId="0" xfId="1626" applyFont="1" applyAlignment="1">
      <alignment vertical="center"/>
    </xf>
    <xf numFmtId="0" fontId="5" fillId="0" borderId="0" xfId="1626" applyFont="1" applyBorder="1" applyAlignment="1">
      <alignment vertical="center"/>
    </xf>
    <xf numFmtId="0" fontId="6" fillId="0" borderId="0" xfId="1626" applyFont="1" applyBorder="1" applyAlignment="1">
      <alignment vertical="center"/>
    </xf>
    <xf numFmtId="0" fontId="28" fillId="0" borderId="0" xfId="1626" applyFont="1" applyBorder="1" applyAlignment="1">
      <alignment vertical="center"/>
    </xf>
    <xf numFmtId="0" fontId="11" fillId="0" borderId="0" xfId="1626" applyFont="1" applyAlignment="1">
      <alignment vertical="center"/>
    </xf>
    <xf numFmtId="0" fontId="11" fillId="0" borderId="16" xfId="1626" applyFont="1" applyBorder="1" applyAlignment="1">
      <alignment vertical="center"/>
    </xf>
    <xf numFmtId="0" fontId="15" fillId="0" borderId="0" xfId="1626" applyFont="1" applyBorder="1" applyAlignment="1">
      <alignment horizontal="center" vertical="center"/>
    </xf>
    <xf numFmtId="0" fontId="15" fillId="0" borderId="0" xfId="1626" applyFont="1" applyBorder="1" applyAlignment="1">
      <alignment horizontal="right" vertical="center"/>
    </xf>
    <xf numFmtId="0" fontId="15" fillId="0" borderId="0" xfId="1626" applyFont="1" applyBorder="1" applyAlignment="1">
      <alignment vertical="center"/>
    </xf>
    <xf numFmtId="0" fontId="30" fillId="0" borderId="0" xfId="1626" applyFont="1" applyBorder="1" applyAlignment="1">
      <alignment vertical="center"/>
    </xf>
    <xf numFmtId="0" fontId="28" fillId="0" borderId="0" xfId="1626" applyFont="1" applyBorder="1" applyAlignment="1">
      <alignment horizontal="center" vertical="center"/>
    </xf>
    <xf numFmtId="0" fontId="11" fillId="0" borderId="65" xfId="1626" applyFont="1" applyBorder="1" applyAlignment="1">
      <alignment vertical="center"/>
    </xf>
    <xf numFmtId="0" fontId="11" fillId="0" borderId="66" xfId="1626" applyFont="1" applyBorder="1" applyAlignment="1">
      <alignment vertical="center"/>
    </xf>
    <xf numFmtId="0" fontId="11" fillId="0" borderId="0" xfId="1626" applyFont="1" applyBorder="1" applyAlignment="1">
      <alignment vertical="center"/>
    </xf>
    <xf numFmtId="0" fontId="15" fillId="0" borderId="0" xfId="1626" applyFont="1" applyAlignment="1">
      <alignment vertical="center"/>
    </xf>
    <xf numFmtId="0" fontId="30" fillId="0" borderId="0" xfId="1626" applyFont="1" applyAlignment="1">
      <alignment vertical="center"/>
    </xf>
    <xf numFmtId="188" fontId="11" fillId="0" borderId="0" xfId="1626" applyNumberFormat="1" applyFont="1" applyBorder="1" applyAlignment="1">
      <alignment horizontal="center" vertical="center"/>
    </xf>
    <xf numFmtId="0" fontId="30" fillId="0" borderId="0" xfId="1626" applyFont="1" applyBorder="1" applyAlignment="1">
      <alignment horizontal="center" vertical="center"/>
    </xf>
    <xf numFmtId="0" fontId="11" fillId="0" borderId="1" xfId="1626" applyFont="1" applyBorder="1" applyAlignment="1">
      <alignment horizontal="center" vertical="center"/>
    </xf>
    <xf numFmtId="0" fontId="11" fillId="0" borderId="67" xfId="1626" applyFont="1" applyBorder="1" applyAlignment="1">
      <alignment horizontal="center" vertical="center"/>
    </xf>
    <xf numFmtId="0" fontId="11" fillId="0" borderId="67" xfId="1626" applyFont="1" applyBorder="1" applyAlignment="1">
      <alignment vertical="center"/>
    </xf>
    <xf numFmtId="0" fontId="29" fillId="0" borderId="0" xfId="1626" applyFont="1" applyAlignment="1">
      <alignment vertical="center"/>
    </xf>
    <xf numFmtId="0" fontId="11" fillId="0" borderId="68" xfId="0" applyFont="1" applyFill="1" applyBorder="1" applyAlignment="1">
      <alignment horizontal="center" vertical="center"/>
    </xf>
    <xf numFmtId="0" fontId="11" fillId="0" borderId="69" xfId="0" applyFont="1" applyFill="1" applyBorder="1" applyAlignment="1">
      <alignment horizontal="center" vertical="center"/>
    </xf>
    <xf numFmtId="194" fontId="11" fillId="0" borderId="69" xfId="0" applyNumberFormat="1" applyFont="1" applyFill="1" applyBorder="1" applyAlignment="1">
      <alignment horizontal="right" vertical="center"/>
    </xf>
    <xf numFmtId="194" fontId="11" fillId="0" borderId="70" xfId="0" applyNumberFormat="1" applyFont="1" applyFill="1" applyBorder="1" applyAlignment="1">
      <alignment horizontal="right" vertical="center"/>
    </xf>
    <xf numFmtId="191" fontId="11" fillId="0" borderId="13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11" fillId="0" borderId="0" xfId="0" applyFont="1" applyFill="1">
      <alignment vertical="center"/>
    </xf>
    <xf numFmtId="191" fontId="11" fillId="0" borderId="0" xfId="0" applyNumberFormat="1" applyFont="1" applyFill="1" applyAlignment="1"/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191" fontId="11" fillId="0" borderId="4" xfId="0" applyNumberFormat="1" applyFont="1" applyBorder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34" fillId="0" borderId="0" xfId="1622">
      <alignment vertical="center"/>
    </xf>
    <xf numFmtId="0" fontId="15" fillId="0" borderId="0" xfId="1622" applyFont="1">
      <alignment vertical="center"/>
    </xf>
    <xf numFmtId="0" fontId="15" fillId="0" borderId="0" xfId="1622" applyFont="1" applyBorder="1" applyAlignment="1">
      <alignment vertical="center"/>
    </xf>
    <xf numFmtId="0" fontId="15" fillId="0" borderId="0" xfId="1622" applyFont="1" applyAlignment="1">
      <alignment vertical="center"/>
    </xf>
    <xf numFmtId="0" fontId="47" fillId="0" borderId="0" xfId="1622" applyFont="1" applyBorder="1" applyAlignment="1">
      <alignment horizontal="center" vertical="center"/>
    </xf>
    <xf numFmtId="0" fontId="6" fillId="0" borderId="0" xfId="1622" applyFont="1" applyBorder="1" applyAlignment="1">
      <alignment vertical="center"/>
    </xf>
    <xf numFmtId="0" fontId="48" fillId="0" borderId="0" xfId="1622" applyFont="1" applyBorder="1">
      <alignment vertical="center"/>
    </xf>
    <xf numFmtId="0" fontId="48" fillId="0" borderId="0" xfId="1622" applyFont="1" applyBorder="1" applyAlignment="1">
      <alignment vertical="center"/>
    </xf>
    <xf numFmtId="0" fontId="36" fillId="0" borderId="0" xfId="1622" applyFont="1">
      <alignment vertical="center"/>
    </xf>
    <xf numFmtId="0" fontId="49" fillId="0" borderId="0" xfId="1622" applyFont="1">
      <alignment vertical="center"/>
    </xf>
    <xf numFmtId="0" fontId="46" fillId="0" borderId="0" xfId="1622" applyFont="1" applyBorder="1" applyAlignment="1">
      <alignment vertical="center"/>
    </xf>
    <xf numFmtId="0" fontId="15" fillId="0" borderId="49" xfId="1622" applyFont="1" applyBorder="1" applyAlignment="1">
      <alignment vertical="center"/>
    </xf>
    <xf numFmtId="0" fontId="15" fillId="0" borderId="50" xfId="1622" applyFont="1" applyBorder="1" applyAlignment="1">
      <alignment vertical="center"/>
    </xf>
    <xf numFmtId="0" fontId="15" fillId="0" borderId="51" xfId="1622" applyFont="1" applyBorder="1" applyAlignment="1">
      <alignment vertical="center"/>
    </xf>
    <xf numFmtId="0" fontId="47" fillId="0" borderId="49" xfId="1622" applyFont="1" applyBorder="1" applyAlignment="1">
      <alignment horizontal="center" vertical="center"/>
    </xf>
    <xf numFmtId="0" fontId="47" fillId="0" borderId="50" xfId="1622" applyFont="1" applyBorder="1" applyAlignment="1">
      <alignment horizontal="center" vertical="center"/>
    </xf>
    <xf numFmtId="0" fontId="47" fillId="0" borderId="51" xfId="1622" applyFont="1" applyBorder="1" applyAlignment="1">
      <alignment horizontal="center" vertical="center"/>
    </xf>
    <xf numFmtId="0" fontId="46" fillId="0" borderId="0" xfId="1622" applyFont="1">
      <alignment vertical="center"/>
    </xf>
    <xf numFmtId="0" fontId="15" fillId="0" borderId="52" xfId="1622" applyFont="1" applyBorder="1" applyAlignment="1">
      <alignment vertical="center"/>
    </xf>
    <xf numFmtId="0" fontId="15" fillId="0" borderId="54" xfId="1622" applyFont="1" applyBorder="1" applyAlignment="1">
      <alignment vertical="center"/>
    </xf>
    <xf numFmtId="0" fontId="46" fillId="0" borderId="52" xfId="1622" applyFont="1" applyBorder="1" applyAlignment="1">
      <alignment horizontal="center" vertical="center"/>
    </xf>
    <xf numFmtId="0" fontId="46" fillId="0" borderId="0" xfId="1622" applyFont="1" applyBorder="1" applyAlignment="1">
      <alignment horizontal="center" vertical="center"/>
    </xf>
    <xf numFmtId="0" fontId="47" fillId="0" borderId="54" xfId="1622" applyFont="1" applyBorder="1" applyAlignment="1">
      <alignment horizontal="center" vertical="center"/>
    </xf>
    <xf numFmtId="4" fontId="15" fillId="0" borderId="0" xfId="1622" applyNumberFormat="1" applyFont="1" applyBorder="1" applyAlignment="1">
      <alignment vertical="center"/>
    </xf>
    <xf numFmtId="4" fontId="15" fillId="0" borderId="0" xfId="1622" applyNumberFormat="1" applyFont="1" applyBorder="1" applyAlignment="1">
      <alignment horizontal="center" vertical="center"/>
    </xf>
    <xf numFmtId="4" fontId="50" fillId="0" borderId="0" xfId="1622" applyNumberFormat="1" applyFont="1" applyBorder="1" applyAlignment="1">
      <alignment horizontal="center" vertical="center"/>
    </xf>
    <xf numFmtId="4" fontId="51" fillId="0" borderId="0" xfId="1622" applyNumberFormat="1" applyFont="1" applyBorder="1" applyAlignment="1">
      <alignment horizontal="left" vertical="center"/>
    </xf>
    <xf numFmtId="0" fontId="46" fillId="0" borderId="52" xfId="1622" applyFont="1" applyBorder="1" applyAlignment="1">
      <alignment vertical="center"/>
    </xf>
    <xf numFmtId="188" fontId="46" fillId="0" borderId="0" xfId="1622" applyNumberFormat="1" applyFont="1" applyBorder="1" applyAlignment="1">
      <alignment horizontal="center" vertical="center"/>
    </xf>
    <xf numFmtId="0" fontId="15" fillId="0" borderId="0" xfId="1622" applyFont="1" applyBorder="1" applyAlignment="1">
      <alignment horizontal="center" vertical="center"/>
    </xf>
    <xf numFmtId="0" fontId="15" fillId="0" borderId="54" xfId="1622" applyFont="1" applyBorder="1" applyAlignment="1">
      <alignment horizontal="center" vertical="center"/>
    </xf>
    <xf numFmtId="4" fontId="51" fillId="0" borderId="0" xfId="1622" applyNumberFormat="1" applyFont="1" applyBorder="1" applyAlignment="1">
      <alignment horizontal="center" vertical="center"/>
    </xf>
    <xf numFmtId="4" fontId="51" fillId="0" borderId="0" xfId="1622" applyNumberFormat="1" applyFont="1" applyBorder="1" applyAlignment="1">
      <alignment horizontal="center" vertical="top"/>
    </xf>
    <xf numFmtId="2" fontId="50" fillId="0" borderId="0" xfId="1622" applyNumberFormat="1" applyFont="1" applyBorder="1" applyAlignment="1">
      <alignment horizontal="center" vertical="center"/>
    </xf>
    <xf numFmtId="0" fontId="16" fillId="0" borderId="0" xfId="1622" applyFont="1" applyBorder="1">
      <alignment vertical="center"/>
    </xf>
    <xf numFmtId="0" fontId="16" fillId="0" borderId="54" xfId="1622" applyFont="1" applyBorder="1">
      <alignment vertical="center"/>
    </xf>
    <xf numFmtId="191" fontId="51" fillId="0" borderId="55" xfId="1204" applyNumberFormat="1" applyFont="1" applyBorder="1" applyAlignment="1">
      <alignment vertical="center"/>
    </xf>
    <xf numFmtId="191" fontId="51" fillId="0" borderId="0" xfId="1204" applyNumberFormat="1" applyFont="1" applyBorder="1" applyAlignment="1">
      <alignment vertical="center"/>
    </xf>
    <xf numFmtId="4" fontId="15" fillId="0" borderId="0" xfId="1622" quotePrefix="1" applyNumberFormat="1" applyFont="1" applyBorder="1" applyAlignment="1">
      <alignment horizontal="center" vertical="center"/>
    </xf>
    <xf numFmtId="191" fontId="51" fillId="0" borderId="56" xfId="1204" applyNumberFormat="1" applyFont="1" applyBorder="1" applyAlignment="1">
      <alignment vertical="center"/>
    </xf>
    <xf numFmtId="0" fontId="15" fillId="0" borderId="0" xfId="1622" applyFont="1" applyAlignment="1">
      <alignment horizontal="center" vertical="center"/>
    </xf>
    <xf numFmtId="191" fontId="50" fillId="0" borderId="56" xfId="1204" applyNumberFormat="1" applyFont="1" applyBorder="1" applyAlignment="1">
      <alignment vertical="center"/>
    </xf>
    <xf numFmtId="0" fontId="6" fillId="0" borderId="52" xfId="1622" applyFont="1" applyBorder="1" applyAlignment="1">
      <alignment horizontal="center" vertical="center"/>
    </xf>
    <xf numFmtId="0" fontId="6" fillId="0" borderId="0" xfId="1622" applyFont="1" applyBorder="1" applyAlignment="1">
      <alignment horizontal="center" vertical="center"/>
    </xf>
    <xf numFmtId="0" fontId="15" fillId="0" borderId="0" xfId="1622" applyFont="1" applyBorder="1" applyAlignment="1">
      <alignment horizontal="right" vertical="center"/>
    </xf>
    <xf numFmtId="197" fontId="50" fillId="0" borderId="0" xfId="1622" applyNumberFormat="1" applyFont="1" applyBorder="1" applyAlignment="1">
      <alignment vertical="center"/>
    </xf>
    <xf numFmtId="197" fontId="50" fillId="0" borderId="0" xfId="1622" applyNumberFormat="1" applyFont="1" applyBorder="1" applyAlignment="1">
      <alignment horizontal="center" vertical="center"/>
    </xf>
    <xf numFmtId="198" fontId="50" fillId="0" borderId="0" xfId="1622" applyNumberFormat="1" applyFont="1" applyBorder="1" applyAlignment="1">
      <alignment horizontal="left" vertical="center"/>
    </xf>
    <xf numFmtId="0" fontId="15" fillId="0" borderId="52" xfId="1622" applyFont="1" applyBorder="1" applyAlignment="1">
      <alignment horizontal="center" vertical="center"/>
    </xf>
    <xf numFmtId="3" fontId="50" fillId="0" borderId="0" xfId="1622" applyNumberFormat="1" applyFont="1" applyBorder="1" applyAlignment="1">
      <alignment horizontal="center" vertical="center"/>
    </xf>
    <xf numFmtId="0" fontId="15" fillId="0" borderId="0" xfId="1622" applyFont="1" applyBorder="1" applyAlignment="1">
      <alignment horizontal="left" vertical="center"/>
    </xf>
    <xf numFmtId="0" fontId="15" fillId="0" borderId="52" xfId="1622" applyFont="1" applyBorder="1" applyAlignment="1">
      <alignment horizontal="right" vertical="center"/>
    </xf>
    <xf numFmtId="199" fontId="15" fillId="0" borderId="0" xfId="1622" applyNumberFormat="1" applyFont="1" applyBorder="1" applyAlignment="1">
      <alignment horizontal="center" vertical="center"/>
    </xf>
    <xf numFmtId="0" fontId="15" fillId="2" borderId="0" xfId="1622" applyFont="1" applyFill="1">
      <alignment vertical="center"/>
    </xf>
    <xf numFmtId="191" fontId="50" fillId="2" borderId="57" xfId="1204" applyNumberFormat="1" applyFont="1" applyFill="1" applyBorder="1" applyAlignment="1">
      <alignment vertical="center"/>
    </xf>
    <xf numFmtId="4" fontId="15" fillId="0" borderId="0" xfId="1622" applyNumberFormat="1" applyFont="1" applyBorder="1" applyAlignment="1">
      <alignment horizontal="left" vertical="center"/>
    </xf>
    <xf numFmtId="0" fontId="16" fillId="0" borderId="52" xfId="1622" applyFont="1" applyBorder="1">
      <alignment vertical="center"/>
    </xf>
    <xf numFmtId="197" fontId="15" fillId="0" borderId="0" xfId="1622" applyNumberFormat="1" applyFont="1" applyBorder="1" applyAlignment="1">
      <alignment horizontal="center" vertical="center"/>
    </xf>
    <xf numFmtId="202" fontId="15" fillId="0" borderId="0" xfId="1622" applyNumberFormat="1" applyFont="1" applyBorder="1" applyAlignment="1">
      <alignment horizontal="left" vertical="center"/>
    </xf>
    <xf numFmtId="203" fontId="15" fillId="0" borderId="0" xfId="1622" applyNumberFormat="1" applyFont="1" applyBorder="1" applyAlignment="1">
      <alignment horizontal="center" vertical="center"/>
    </xf>
    <xf numFmtId="0" fontId="15" fillId="0" borderId="54" xfId="1622" applyFont="1" applyBorder="1" applyAlignment="1">
      <alignment horizontal="left" vertical="center"/>
    </xf>
    <xf numFmtId="2" fontId="15" fillId="0" borderId="0" xfId="1622" applyNumberFormat="1" applyFont="1" applyBorder="1" applyAlignment="1">
      <alignment horizontal="center" vertical="center"/>
    </xf>
    <xf numFmtId="204" fontId="15" fillId="0" borderId="0" xfId="1622" applyNumberFormat="1" applyFont="1" applyBorder="1" applyAlignment="1">
      <alignment horizontal="center" vertical="center"/>
    </xf>
    <xf numFmtId="0" fontId="15" fillId="0" borderId="20" xfId="1622" applyFont="1" applyBorder="1" applyAlignment="1">
      <alignment horizontal="center" vertical="center"/>
    </xf>
    <xf numFmtId="4" fontId="15" fillId="0" borderId="71" xfId="1622" applyNumberFormat="1" applyFont="1" applyBorder="1" applyAlignment="1">
      <alignment vertical="center"/>
    </xf>
    <xf numFmtId="0" fontId="15" fillId="0" borderId="71" xfId="1622" applyFont="1" applyBorder="1" applyAlignment="1">
      <alignment vertical="center"/>
    </xf>
    <xf numFmtId="0" fontId="15" fillId="0" borderId="72" xfId="1622" applyFont="1" applyBorder="1" applyAlignment="1">
      <alignment horizontal="left" vertical="center"/>
    </xf>
    <xf numFmtId="205" fontId="50" fillId="0" borderId="0" xfId="1622" applyNumberFormat="1" applyFont="1" applyBorder="1" applyAlignment="1">
      <alignment horizontal="center" vertical="center"/>
    </xf>
    <xf numFmtId="0" fontId="50" fillId="0" borderId="71" xfId="1622" applyFont="1" applyBorder="1" applyAlignment="1">
      <alignment vertical="center"/>
    </xf>
    <xf numFmtId="0" fontId="15" fillId="0" borderId="71" xfId="1622" applyFont="1" applyBorder="1" applyAlignment="1">
      <alignment horizontal="left" vertical="center"/>
    </xf>
    <xf numFmtId="0" fontId="15" fillId="0" borderId="72" xfId="1622" applyFont="1" applyBorder="1" applyAlignment="1">
      <alignment vertical="center"/>
    </xf>
    <xf numFmtId="1" fontId="50" fillId="0" borderId="0" xfId="1622" applyNumberFormat="1" applyFont="1" applyBorder="1" applyAlignment="1">
      <alignment horizontal="left" vertical="center"/>
    </xf>
    <xf numFmtId="12" fontId="15" fillId="0" borderId="0" xfId="1622" applyNumberFormat="1" applyFont="1" applyAlignment="1">
      <alignment horizontal="center" vertical="center"/>
    </xf>
    <xf numFmtId="12" fontId="15" fillId="0" borderId="0" xfId="1622" applyNumberFormat="1" applyFont="1" applyAlignment="1">
      <alignment horizontal="left" vertical="center"/>
    </xf>
    <xf numFmtId="0" fontId="15" fillId="0" borderId="71" xfId="1622" applyFont="1" applyBorder="1" applyAlignment="1">
      <alignment horizontal="center" vertical="center"/>
    </xf>
    <xf numFmtId="0" fontId="15" fillId="0" borderId="72" xfId="1622" applyFont="1" applyBorder="1" applyAlignment="1">
      <alignment horizontal="center" vertical="center"/>
    </xf>
    <xf numFmtId="2" fontId="15" fillId="0" borderId="0" xfId="1622" applyNumberFormat="1" applyFont="1" applyBorder="1" applyAlignment="1">
      <alignment horizontal="left" vertical="center"/>
    </xf>
    <xf numFmtId="0" fontId="16" fillId="0" borderId="0" xfId="1622" applyFont="1" applyBorder="1" applyAlignment="1">
      <alignment horizontal="right"/>
    </xf>
    <xf numFmtId="0" fontId="15" fillId="0" borderId="73" xfId="1622" applyFont="1" applyBorder="1" applyAlignment="1">
      <alignment vertical="center"/>
    </xf>
    <xf numFmtId="0" fontId="15" fillId="0" borderId="1" xfId="1622" applyFont="1" applyBorder="1" applyAlignment="1">
      <alignment horizontal="right" vertical="center"/>
    </xf>
    <xf numFmtId="0" fontId="51" fillId="0" borderId="1" xfId="1622" applyFont="1" applyBorder="1" applyAlignment="1">
      <alignment vertical="center"/>
    </xf>
    <xf numFmtId="0" fontId="15" fillId="0" borderId="1" xfId="1622" applyFont="1" applyBorder="1" applyAlignment="1">
      <alignment horizontal="left" vertical="center"/>
    </xf>
    <xf numFmtId="0" fontId="15" fillId="0" borderId="1" xfId="1622" applyFont="1" applyBorder="1" applyAlignment="1">
      <alignment vertical="center"/>
    </xf>
    <xf numFmtId="0" fontId="15" fillId="0" borderId="1" xfId="1622" applyFont="1" applyBorder="1" applyAlignment="1">
      <alignment horizontal="center" vertical="center"/>
    </xf>
    <xf numFmtId="0" fontId="15" fillId="0" borderId="74" xfId="1622" applyFont="1" applyBorder="1" applyAlignment="1">
      <alignment vertical="center"/>
    </xf>
    <xf numFmtId="0" fontId="15" fillId="0" borderId="0" xfId="1622" quotePrefix="1" applyFont="1" applyBorder="1" applyAlignment="1">
      <alignment vertical="center"/>
    </xf>
    <xf numFmtId="0" fontId="46" fillId="0" borderId="0" xfId="1622" applyFont="1" applyBorder="1" applyAlignment="1">
      <alignment horizontal="right" vertical="center"/>
    </xf>
    <xf numFmtId="191" fontId="51" fillId="0" borderId="58" xfId="1204" applyNumberFormat="1" applyFont="1" applyBorder="1" applyAlignment="1">
      <alignment vertical="center"/>
    </xf>
    <xf numFmtId="0" fontId="15" fillId="0" borderId="75" xfId="1622" applyFont="1" applyBorder="1" applyAlignment="1">
      <alignment vertical="center"/>
    </xf>
    <xf numFmtId="0" fontId="15" fillId="0" borderId="76" xfId="1622" applyFont="1" applyBorder="1" applyAlignment="1">
      <alignment vertical="center"/>
    </xf>
    <xf numFmtId="0" fontId="15" fillId="0" borderId="77" xfId="1622" applyFont="1" applyBorder="1" applyAlignment="1">
      <alignment vertical="center"/>
    </xf>
    <xf numFmtId="0" fontId="6" fillId="0" borderId="54" xfId="1622" applyFont="1" applyBorder="1" applyAlignment="1">
      <alignment horizontal="center" vertical="center"/>
    </xf>
    <xf numFmtId="12" fontId="15" fillId="2" borderId="0" xfId="1622" applyNumberFormat="1" applyFont="1" applyFill="1" applyAlignment="1">
      <alignment horizontal="left" vertical="center"/>
    </xf>
    <xf numFmtId="191" fontId="50" fillId="2" borderId="56" xfId="1204" applyNumberFormat="1" applyFont="1" applyFill="1" applyBorder="1" applyAlignment="1">
      <alignment vertical="center"/>
    </xf>
    <xf numFmtId="203" fontId="15" fillId="0" borderId="0" xfId="1622" applyNumberFormat="1" applyFont="1" applyBorder="1" applyAlignment="1">
      <alignment vertical="center"/>
    </xf>
    <xf numFmtId="0" fontId="55" fillId="0" borderId="0" xfId="1622" applyFont="1" applyBorder="1" applyAlignment="1">
      <alignment vertical="center"/>
    </xf>
    <xf numFmtId="207" fontId="15" fillId="0" borderId="0" xfId="1622" applyNumberFormat="1" applyFont="1" applyBorder="1" applyAlignment="1">
      <alignment horizontal="center" vertical="center"/>
    </xf>
    <xf numFmtId="0" fontId="15" fillId="0" borderId="60" xfId="1622" applyFont="1" applyBorder="1" applyAlignment="1">
      <alignment vertical="center"/>
    </xf>
    <xf numFmtId="203" fontId="46" fillId="0" borderId="0" xfId="1622" applyNumberFormat="1" applyFont="1" applyBorder="1" applyAlignment="1">
      <alignment horizontal="center" vertical="center"/>
    </xf>
    <xf numFmtId="0" fontId="57" fillId="0" borderId="0" xfId="1622" applyFont="1" applyBorder="1" applyAlignment="1">
      <alignment horizontal="center" vertical="center"/>
    </xf>
    <xf numFmtId="0" fontId="15" fillId="0" borderId="61" xfId="1622" applyFont="1" applyBorder="1" applyAlignment="1">
      <alignment horizontal="center" vertical="center"/>
    </xf>
    <xf numFmtId="0" fontId="15" fillId="0" borderId="62" xfId="1622" applyFont="1" applyBorder="1" applyAlignment="1">
      <alignment horizontal="center" vertical="center"/>
    </xf>
    <xf numFmtId="0" fontId="16" fillId="0" borderId="62" xfId="1622" applyFont="1" applyBorder="1">
      <alignment vertical="center"/>
    </xf>
    <xf numFmtId="0" fontId="15" fillId="0" borderId="64" xfId="1622" applyFont="1" applyBorder="1" applyAlignment="1">
      <alignment horizontal="center" vertical="center"/>
    </xf>
    <xf numFmtId="0" fontId="15" fillId="0" borderId="61" xfId="1622" applyFont="1" applyBorder="1" applyAlignment="1">
      <alignment vertical="center"/>
    </xf>
    <xf numFmtId="0" fontId="15" fillId="0" borderId="62" xfId="1622" applyFont="1" applyBorder="1" applyAlignment="1">
      <alignment vertical="center"/>
    </xf>
    <xf numFmtId="0" fontId="15" fillId="0" borderId="64" xfId="1622" applyFont="1" applyBorder="1" applyAlignment="1">
      <alignment vertical="center"/>
    </xf>
    <xf numFmtId="191" fontId="51" fillId="0" borderId="59" xfId="1204" applyNumberFormat="1" applyFont="1" applyBorder="1" applyAlignment="1">
      <alignment vertical="center"/>
    </xf>
    <xf numFmtId="0" fontId="16" fillId="0" borderId="0" xfId="1622" applyFont="1">
      <alignment vertical="center"/>
    </xf>
    <xf numFmtId="0" fontId="51" fillId="0" borderId="0" xfId="1622" applyFont="1" applyFill="1" applyAlignment="1">
      <alignment vertical="center"/>
    </xf>
    <xf numFmtId="0" fontId="50" fillId="0" borderId="0" xfId="1622" applyFont="1" applyFill="1" applyAlignment="1">
      <alignment vertical="center"/>
    </xf>
    <xf numFmtId="0" fontId="15" fillId="0" borderId="30" xfId="1622" applyFont="1" applyBorder="1" applyAlignment="1">
      <alignment horizontal="center" vertical="center"/>
    </xf>
    <xf numFmtId="191" fontId="51" fillId="0" borderId="30" xfId="1204" applyNumberFormat="1" applyFont="1" applyFill="1" applyBorder="1" applyAlignment="1">
      <alignment horizontal="center" vertical="center"/>
    </xf>
    <xf numFmtId="191" fontId="51" fillId="0" borderId="0" xfId="1204" applyNumberFormat="1" applyFont="1" applyFill="1" applyBorder="1" applyAlignment="1">
      <alignment horizontal="center" vertical="center"/>
    </xf>
    <xf numFmtId="0" fontId="15" fillId="0" borderId="76" xfId="1622" applyFont="1" applyBorder="1" applyAlignment="1">
      <alignment horizontal="center" vertical="center"/>
    </xf>
    <xf numFmtId="4" fontId="46" fillId="0" borderId="0" xfId="1622" applyNumberFormat="1" applyFont="1" applyBorder="1" applyAlignment="1">
      <alignment vertical="center"/>
    </xf>
    <xf numFmtId="0" fontId="46" fillId="0" borderId="62" xfId="1622" applyFont="1" applyBorder="1" applyAlignment="1">
      <alignment horizontal="right" vertical="center"/>
    </xf>
    <xf numFmtId="0" fontId="46" fillId="0" borderId="62" xfId="1622" applyFont="1" applyBorder="1" applyAlignment="1">
      <alignment vertical="center"/>
    </xf>
    <xf numFmtId="0" fontId="34" fillId="0" borderId="46" xfId="1622" applyBorder="1" applyAlignment="1">
      <alignment vertical="center"/>
    </xf>
    <xf numFmtId="0" fontId="34" fillId="0" borderId="47" xfId="1622" applyFont="1" applyBorder="1" applyAlignment="1">
      <alignment vertical="center"/>
    </xf>
    <xf numFmtId="0" fontId="15" fillId="0" borderId="46" xfId="1622" applyFont="1" applyBorder="1" applyAlignment="1">
      <alignment vertical="center"/>
    </xf>
    <xf numFmtId="0" fontId="15" fillId="0" borderId="48" xfId="1622" applyFont="1" applyBorder="1" applyAlignment="1">
      <alignment vertical="center"/>
    </xf>
    <xf numFmtId="0" fontId="15" fillId="0" borderId="47" xfId="1622" applyFont="1" applyBorder="1" applyAlignment="1">
      <alignment vertical="center"/>
    </xf>
    <xf numFmtId="195" fontId="15" fillId="0" borderId="46" xfId="1204" applyNumberFormat="1" applyFont="1" applyBorder="1" applyAlignment="1">
      <alignment vertical="center" shrinkToFit="1"/>
    </xf>
    <xf numFmtId="195" fontId="15" fillId="0" borderId="48" xfId="1204" applyNumberFormat="1" applyFont="1" applyBorder="1" applyAlignment="1">
      <alignment vertical="center" shrinkToFit="1"/>
    </xf>
    <xf numFmtId="195" fontId="15" fillId="0" borderId="47" xfId="1204" applyNumberFormat="1" applyFont="1" applyBorder="1" applyAlignment="1">
      <alignment vertical="center" shrinkToFit="1"/>
    </xf>
    <xf numFmtId="4" fontId="51" fillId="0" borderId="0" xfId="1622" applyNumberFormat="1" applyFont="1" applyBorder="1" applyAlignment="1">
      <alignment horizontal="right" vertical="center"/>
    </xf>
    <xf numFmtId="0" fontId="34" fillId="0" borderId="46" xfId="1622" applyFont="1" applyBorder="1" applyAlignment="1">
      <alignment vertical="center"/>
    </xf>
    <xf numFmtId="0" fontId="34" fillId="0" borderId="48" xfId="1622" applyFont="1" applyBorder="1" applyAlignment="1">
      <alignment vertical="center"/>
    </xf>
    <xf numFmtId="195" fontId="34" fillId="0" borderId="46" xfId="1204" applyNumberFormat="1" applyFont="1" applyBorder="1" applyAlignment="1">
      <alignment vertical="center" shrinkToFit="1"/>
    </xf>
    <xf numFmtId="195" fontId="34" fillId="0" borderId="48" xfId="1204" applyNumberFormat="1" applyFont="1" applyBorder="1" applyAlignment="1">
      <alignment vertical="center" shrinkToFit="1"/>
    </xf>
    <xf numFmtId="195" fontId="34" fillId="0" borderId="47" xfId="1204" applyNumberFormat="1" applyFont="1" applyBorder="1" applyAlignment="1">
      <alignment vertical="center" shrinkToFit="1"/>
    </xf>
    <xf numFmtId="0" fontId="34" fillId="0" borderId="0" xfId="1622" applyFont="1" applyBorder="1" applyAlignment="1">
      <alignment vertical="center"/>
    </xf>
    <xf numFmtId="4" fontId="34" fillId="0" borderId="0" xfId="1622" applyNumberFormat="1" applyFont="1" applyBorder="1" applyAlignment="1">
      <alignment vertical="center"/>
    </xf>
    <xf numFmtId="4" fontId="34" fillId="0" borderId="0" xfId="1622" applyNumberFormat="1" applyFont="1" applyBorder="1" applyAlignment="1">
      <alignment horizontal="left" vertical="center"/>
    </xf>
    <xf numFmtId="0" fontId="35" fillId="0" borderId="0" xfId="1622" applyFont="1">
      <alignment vertical="center"/>
    </xf>
    <xf numFmtId="0" fontId="34" fillId="0" borderId="0" xfId="1622" applyFont="1" applyAlignment="1">
      <alignment vertical="center"/>
    </xf>
    <xf numFmtId="0" fontId="34" fillId="0" borderId="0" xfId="1622" applyFont="1" applyBorder="1" applyAlignment="1">
      <alignment horizontal="center" vertical="center"/>
    </xf>
    <xf numFmtId="0" fontId="34" fillId="0" borderId="0" xfId="1622" applyFont="1" applyBorder="1" applyAlignment="1">
      <alignment horizontal="right" vertical="center"/>
    </xf>
    <xf numFmtId="0" fontId="39" fillId="0" borderId="0" xfId="1622" applyFont="1" applyBorder="1" applyAlignment="1">
      <alignment vertical="center"/>
    </xf>
    <xf numFmtId="0" fontId="34" fillId="0" borderId="0" xfId="1622" applyFont="1" applyBorder="1" applyAlignment="1">
      <alignment horizontal="left" vertical="center"/>
    </xf>
    <xf numFmtId="203" fontId="34" fillId="0" borderId="0" xfId="1622" applyNumberFormat="1" applyFont="1" applyBorder="1" applyAlignment="1">
      <alignment vertical="center"/>
    </xf>
    <xf numFmtId="4" fontId="38" fillId="0" borderId="0" xfId="1622" applyNumberFormat="1" applyFont="1" applyBorder="1" applyAlignment="1">
      <alignment vertical="center"/>
    </xf>
    <xf numFmtId="0" fontId="38" fillId="0" borderId="0" xfId="1622" applyFont="1" applyBorder="1" applyAlignment="1">
      <alignment vertical="center"/>
    </xf>
    <xf numFmtId="0" fontId="38" fillId="0" borderId="0" xfId="1622" applyFont="1" applyBorder="1" applyAlignment="1">
      <alignment horizontal="center" vertical="center"/>
    </xf>
    <xf numFmtId="179" fontId="11" fillId="0" borderId="47" xfId="1196" applyNumberFormat="1" applyFont="1" applyFill="1" applyBorder="1" applyAlignment="1">
      <alignment horizontal="center" vertical="center"/>
    </xf>
    <xf numFmtId="2" fontId="11" fillId="0" borderId="0" xfId="1626" applyNumberFormat="1" applyFont="1" applyBorder="1" applyAlignment="1">
      <alignment vertical="center"/>
    </xf>
    <xf numFmtId="2" fontId="11" fillId="0" borderId="0" xfId="1626" applyNumberFormat="1" applyFont="1" applyAlignment="1">
      <alignment vertical="center"/>
    </xf>
    <xf numFmtId="0" fontId="11" fillId="0" borderId="24" xfId="1626" applyFont="1" applyBorder="1" applyAlignment="1">
      <alignment horizontal="center" vertical="center" wrapText="1"/>
    </xf>
    <xf numFmtId="182" fontId="11" fillId="0" borderId="22" xfId="1202" applyNumberFormat="1" applyFont="1" applyBorder="1" applyAlignment="1">
      <alignment vertical="center"/>
    </xf>
    <xf numFmtId="182" fontId="11" fillId="0" borderId="10" xfId="1202" applyNumberFormat="1" applyFont="1" applyBorder="1" applyAlignment="1">
      <alignment vertical="center"/>
    </xf>
    <xf numFmtId="182" fontId="11" fillId="0" borderId="3" xfId="1202" applyNumberFormat="1" applyFont="1" applyBorder="1" applyAlignment="1">
      <alignment vertical="center"/>
    </xf>
    <xf numFmtId="182" fontId="11" fillId="0" borderId="24" xfId="1202" applyNumberFormat="1" applyFont="1" applyBorder="1" applyAlignment="1">
      <alignment vertical="center"/>
    </xf>
    <xf numFmtId="191" fontId="11" fillId="0" borderId="8" xfId="0" applyNumberFormat="1" applyFont="1" applyFill="1" applyBorder="1" applyAlignment="1">
      <alignment horizontal="center" vertical="center"/>
    </xf>
    <xf numFmtId="191" fontId="11" fillId="0" borderId="21" xfId="0" applyNumberFormat="1" applyFont="1" applyFill="1" applyBorder="1" applyAlignment="1">
      <alignment horizontal="center" vertical="center"/>
    </xf>
    <xf numFmtId="188" fontId="11" fillId="0" borderId="13" xfId="0" applyNumberFormat="1" applyFont="1" applyFill="1" applyBorder="1" applyAlignment="1">
      <alignment horizontal="center" vertical="center"/>
    </xf>
    <xf numFmtId="0" fontId="11" fillId="0" borderId="78" xfId="0" applyFont="1" applyFill="1" applyBorder="1" applyAlignment="1">
      <alignment horizontal="center" vertical="center"/>
    </xf>
    <xf numFmtId="178" fontId="11" fillId="0" borderId="25" xfId="1196" applyNumberFormat="1" applyFont="1" applyFill="1" applyBorder="1" applyAlignment="1">
      <alignment horizontal="center" vertical="center"/>
    </xf>
    <xf numFmtId="178" fontId="11" fillId="0" borderId="19" xfId="1196" applyNumberFormat="1" applyFont="1" applyFill="1" applyBorder="1" applyAlignment="1">
      <alignment horizontal="center" vertical="center"/>
    </xf>
    <xf numFmtId="194" fontId="11" fillId="0" borderId="37" xfId="1625" applyNumberFormat="1" applyFont="1" applyBorder="1" applyAlignment="1">
      <alignment horizontal="center" vertical="center"/>
    </xf>
    <xf numFmtId="194" fontId="11" fillId="0" borderId="6" xfId="1625" applyNumberFormat="1" applyFont="1" applyBorder="1" applyAlignment="1">
      <alignment horizontal="center" vertical="center"/>
    </xf>
    <xf numFmtId="0" fontId="5" fillId="0" borderId="79" xfId="1625" applyFont="1" applyBorder="1" applyAlignment="1">
      <alignment horizontal="center" vertical="center"/>
    </xf>
    <xf numFmtId="0" fontId="5" fillId="0" borderId="3" xfId="1625" applyFont="1" applyBorder="1" applyAlignment="1">
      <alignment horizontal="center" vertical="center"/>
    </xf>
    <xf numFmtId="179" fontId="73" fillId="0" borderId="11" xfId="1196" applyNumberFormat="1" applyFont="1" applyFill="1" applyBorder="1" applyAlignment="1">
      <alignment vertical="center"/>
    </xf>
    <xf numFmtId="0" fontId="73" fillId="0" borderId="0" xfId="0" applyFont="1" applyFill="1" applyAlignment="1">
      <alignment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5" fillId="0" borderId="25" xfId="1625" applyFont="1" applyBorder="1" applyAlignment="1">
      <alignment horizontal="center" vertical="center"/>
    </xf>
    <xf numFmtId="182" fontId="20" fillId="0" borderId="10" xfId="1203" applyNumberFormat="1" applyFont="1" applyFill="1" applyBorder="1" applyAlignment="1">
      <alignment vertical="center"/>
    </xf>
    <xf numFmtId="182" fontId="20" fillId="0" borderId="3" xfId="1203" applyNumberFormat="1" applyFont="1" applyFill="1" applyBorder="1" applyAlignment="1">
      <alignment vertical="center"/>
    </xf>
    <xf numFmtId="189" fontId="11" fillId="0" borderId="34" xfId="0" applyNumberFormat="1" applyFont="1" applyFill="1" applyBorder="1" applyAlignment="1">
      <alignment vertical="center"/>
    </xf>
    <xf numFmtId="189" fontId="73" fillId="0" borderId="35" xfId="0" applyNumberFormat="1" applyFont="1" applyFill="1" applyBorder="1" applyAlignment="1">
      <alignment vertical="center"/>
    </xf>
    <xf numFmtId="189" fontId="11" fillId="0" borderId="26" xfId="0" applyNumberFormat="1" applyFont="1" applyFill="1" applyBorder="1" applyAlignment="1">
      <alignment vertical="center"/>
    </xf>
    <xf numFmtId="189" fontId="11" fillId="0" borderId="36" xfId="0" applyNumberFormat="1" applyFont="1" applyFill="1" applyBorder="1" applyAlignment="1">
      <alignment vertical="center"/>
    </xf>
    <xf numFmtId="41" fontId="17" fillId="0" borderId="0" xfId="1205" applyFont="1" applyFill="1" applyAlignment="1">
      <alignment horizontal="center" vertical="center"/>
    </xf>
    <xf numFmtId="41" fontId="58" fillId="0" borderId="0" xfId="1205" applyFont="1" applyFill="1">
      <alignment vertical="center"/>
    </xf>
    <xf numFmtId="195" fontId="58" fillId="0" borderId="5" xfId="1205" applyNumberFormat="1" applyFont="1" applyFill="1" applyBorder="1">
      <alignment vertical="center"/>
    </xf>
    <xf numFmtId="49" fontId="58" fillId="0" borderId="0" xfId="1205" applyNumberFormat="1" applyFont="1" applyFill="1" applyAlignment="1">
      <alignment horizontal="right" vertical="center"/>
    </xf>
    <xf numFmtId="41" fontId="58" fillId="0" borderId="0" xfId="1205" applyFont="1" applyFill="1" applyAlignment="1">
      <alignment horizontal="right" vertical="center"/>
    </xf>
    <xf numFmtId="191" fontId="74" fillId="0" borderId="0" xfId="1205" applyNumberFormat="1" applyFont="1" applyFill="1">
      <alignment vertical="center"/>
    </xf>
    <xf numFmtId="191" fontId="58" fillId="0" borderId="0" xfId="1205" applyNumberFormat="1" applyFont="1" applyFill="1">
      <alignment vertical="center"/>
    </xf>
    <xf numFmtId="195" fontId="74" fillId="0" borderId="0" xfId="1205" applyNumberFormat="1" applyFont="1" applyFill="1">
      <alignment vertical="center"/>
    </xf>
    <xf numFmtId="195" fontId="58" fillId="0" borderId="0" xfId="1205" applyNumberFormat="1" applyFont="1" applyFill="1">
      <alignment vertical="center"/>
    </xf>
    <xf numFmtId="41" fontId="58" fillId="0" borderId="0" xfId="1205" applyFont="1">
      <alignment vertical="center"/>
    </xf>
    <xf numFmtId="206" fontId="50" fillId="2" borderId="57" xfId="1204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79" fontId="14" fillId="0" borderId="11" xfId="1203" applyNumberFormat="1" applyFont="1" applyFill="1" applyBorder="1" applyAlignment="1">
      <alignment vertical="center"/>
    </xf>
    <xf numFmtId="182" fontId="14" fillId="0" borderId="11" xfId="1203" applyNumberFormat="1" applyFont="1" applyFill="1" applyBorder="1" applyAlignment="1">
      <alignment vertical="center"/>
    </xf>
    <xf numFmtId="0" fontId="11" fillId="0" borderId="28" xfId="0" applyNumberFormat="1" applyFont="1" applyFill="1" applyBorder="1" applyAlignment="1">
      <alignment horizontal="center" vertical="center"/>
    </xf>
    <xf numFmtId="0" fontId="11" fillId="0" borderId="53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90" fontId="20" fillId="0" borderId="26" xfId="0" applyNumberFormat="1" applyFont="1" applyFill="1" applyBorder="1" applyAlignment="1">
      <alignment vertical="center"/>
    </xf>
    <xf numFmtId="189" fontId="20" fillId="0" borderId="80" xfId="0" applyNumberFormat="1" applyFont="1" applyFill="1" applyBorder="1" applyAlignment="1">
      <alignment vertical="center"/>
    </xf>
    <xf numFmtId="0" fontId="9" fillId="0" borderId="0" xfId="0" quotePrefix="1" applyNumberFormat="1" applyFont="1" applyBorder="1" applyAlignment="1"/>
    <xf numFmtId="2" fontId="5" fillId="0" borderId="3" xfId="1625" applyNumberFormat="1" applyFont="1" applyBorder="1" applyAlignment="1">
      <alignment horizontal="center" vertical="center"/>
    </xf>
    <xf numFmtId="41" fontId="11" fillId="0" borderId="28" xfId="0" applyNumberFormat="1" applyFont="1" applyFill="1" applyBorder="1" applyAlignment="1">
      <alignment horizontal="center" vertical="center"/>
    </xf>
    <xf numFmtId="0" fontId="11" fillId="0" borderId="30" xfId="1196" applyNumberFormat="1" applyFont="1" applyFill="1" applyBorder="1" applyAlignment="1">
      <alignment horizontal="center" vertical="center"/>
    </xf>
    <xf numFmtId="186" fontId="11" fillId="0" borderId="6" xfId="0" applyNumberFormat="1" applyFont="1" applyFill="1" applyBorder="1" applyAlignment="1">
      <alignment horizontal="center" vertical="center"/>
    </xf>
    <xf numFmtId="186" fontId="11" fillId="0" borderId="78" xfId="0" applyNumberFormat="1" applyFont="1" applyFill="1" applyBorder="1" applyAlignment="1">
      <alignment horizontal="center" vertical="center"/>
    </xf>
    <xf numFmtId="186" fontId="11" fillId="0" borderId="47" xfId="1196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61" fillId="0" borderId="0" xfId="1624" applyFont="1" applyBorder="1" applyAlignment="1">
      <alignment horizontal="center" vertical="center"/>
    </xf>
    <xf numFmtId="0" fontId="36" fillId="0" borderId="0" xfId="1624" applyFont="1" applyBorder="1">
      <alignment vertical="center"/>
    </xf>
    <xf numFmtId="0" fontId="36" fillId="0" borderId="0" xfId="1624" applyFont="1">
      <alignment vertical="center"/>
    </xf>
    <xf numFmtId="0" fontId="62" fillId="0" borderId="0" xfId="1624" applyFont="1">
      <alignment vertical="center"/>
    </xf>
    <xf numFmtId="0" fontId="61" fillId="0" borderId="49" xfId="1624" applyFont="1" applyBorder="1" applyAlignment="1">
      <alignment horizontal="center" vertical="center"/>
    </xf>
    <xf numFmtId="0" fontId="61" fillId="0" borderId="50" xfId="1624" applyFont="1" applyBorder="1" applyAlignment="1">
      <alignment horizontal="center" vertical="center"/>
    </xf>
    <xf numFmtId="0" fontId="61" fillId="0" borderId="51" xfId="1624" applyFont="1" applyBorder="1" applyAlignment="1">
      <alignment horizontal="center" vertical="center"/>
    </xf>
    <xf numFmtId="0" fontId="38" fillId="0" borderId="0" xfId="1624" applyFont="1">
      <alignment vertical="center"/>
    </xf>
    <xf numFmtId="0" fontId="38" fillId="0" borderId="52" xfId="1624" applyFont="1" applyBorder="1" applyAlignment="1">
      <alignment horizontal="center" vertical="center"/>
    </xf>
    <xf numFmtId="0" fontId="38" fillId="0" borderId="0" xfId="1624" applyFont="1" applyBorder="1" applyAlignment="1">
      <alignment horizontal="center" vertical="center"/>
    </xf>
    <xf numFmtId="0" fontId="61" fillId="0" borderId="54" xfId="1624" applyFont="1" applyBorder="1" applyAlignment="1">
      <alignment horizontal="center" vertical="center"/>
    </xf>
    <xf numFmtId="0" fontId="38" fillId="0" borderId="52" xfId="1624" applyFont="1" applyBorder="1" applyAlignment="1">
      <alignment horizontal="centerContinuous" vertical="center"/>
    </xf>
    <xf numFmtId="0" fontId="38" fillId="0" borderId="0" xfId="1624" applyFont="1" applyBorder="1" applyAlignment="1">
      <alignment horizontal="centerContinuous" vertical="center"/>
    </xf>
    <xf numFmtId="0" fontId="38" fillId="0" borderId="0" xfId="1624" applyFont="1" applyBorder="1" applyAlignment="1">
      <alignment horizontal="left" vertical="center"/>
    </xf>
    <xf numFmtId="0" fontId="63" fillId="0" borderId="0" xfId="1624" applyFont="1" applyBorder="1" applyAlignment="1">
      <alignment vertical="center"/>
    </xf>
    <xf numFmtId="0" fontId="35" fillId="0" borderId="0" xfId="1624" applyFont="1" applyBorder="1">
      <alignment vertical="center"/>
    </xf>
    <xf numFmtId="0" fontId="34" fillId="0" borderId="0" xfId="1624" applyFont="1" applyBorder="1" applyAlignment="1">
      <alignment horizontal="center" vertical="center"/>
    </xf>
    <xf numFmtId="0" fontId="34" fillId="0" borderId="54" xfId="1624" applyFont="1" applyBorder="1" applyAlignment="1">
      <alignment horizontal="center" vertical="center"/>
    </xf>
    <xf numFmtId="0" fontId="38" fillId="0" borderId="52" xfId="1624" applyFont="1" applyBorder="1" applyAlignment="1">
      <alignment vertical="center"/>
    </xf>
    <xf numFmtId="188" fontId="38" fillId="0" borderId="0" xfId="1624" applyNumberFormat="1" applyFont="1" applyBorder="1" applyAlignment="1">
      <alignment horizontal="center" vertical="center"/>
    </xf>
    <xf numFmtId="0" fontId="34" fillId="0" borderId="52" xfId="1624" applyFont="1" applyBorder="1" applyAlignment="1">
      <alignment vertical="center"/>
    </xf>
    <xf numFmtId="2" fontId="64" fillId="0" borderId="0" xfId="1624" applyNumberFormat="1" applyFont="1" applyBorder="1" applyAlignment="1">
      <alignment horizontal="center" vertical="center"/>
    </xf>
    <xf numFmtId="0" fontId="34" fillId="0" borderId="0" xfId="1624" applyFont="1" applyBorder="1" applyAlignment="1">
      <alignment vertical="center"/>
    </xf>
    <xf numFmtId="0" fontId="35" fillId="0" borderId="54" xfId="1624" applyFont="1" applyBorder="1">
      <alignment vertical="center"/>
    </xf>
    <xf numFmtId="0" fontId="34" fillId="0" borderId="0" xfId="1624" applyFont="1">
      <alignment vertical="center"/>
    </xf>
    <xf numFmtId="191" fontId="39" fillId="0" borderId="55" xfId="1206" applyNumberFormat="1" applyFont="1" applyBorder="1" applyAlignment="1">
      <alignment vertical="center"/>
    </xf>
    <xf numFmtId="191" fontId="39" fillId="0" borderId="0" xfId="1206" applyNumberFormat="1" applyFont="1" applyBorder="1" applyAlignment="1">
      <alignment vertical="center"/>
    </xf>
    <xf numFmtId="191" fontId="39" fillId="0" borderId="56" xfId="1206" applyNumberFormat="1" applyFont="1" applyBorder="1" applyAlignment="1">
      <alignment vertical="center"/>
    </xf>
    <xf numFmtId="0" fontId="34" fillId="0" borderId="0" xfId="1624" applyAlignment="1">
      <alignment horizontal="center" vertical="center"/>
    </xf>
    <xf numFmtId="191" fontId="64" fillId="0" borderId="56" xfId="1206" applyNumberFormat="1" applyFont="1" applyBorder="1" applyAlignment="1">
      <alignment vertical="center"/>
    </xf>
    <xf numFmtId="0" fontId="65" fillId="0" borderId="52" xfId="1624" applyFont="1" applyBorder="1" applyAlignment="1">
      <alignment horizontal="center" vertical="center"/>
    </xf>
    <xf numFmtId="0" fontId="65" fillId="0" borderId="0" xfId="1624" applyFont="1" applyBorder="1" applyAlignment="1">
      <alignment horizontal="center" vertical="center"/>
    </xf>
    <xf numFmtId="0" fontId="34" fillId="0" borderId="0" xfId="1624" applyFont="1" applyBorder="1" applyAlignment="1">
      <alignment horizontal="right" vertical="center"/>
    </xf>
    <xf numFmtId="197" fontId="64" fillId="0" borderId="0" xfId="1624" applyNumberFormat="1" applyFont="1" applyBorder="1" applyAlignment="1">
      <alignment vertical="center"/>
    </xf>
    <xf numFmtId="197" fontId="64" fillId="0" borderId="0" xfId="1624" applyNumberFormat="1" applyFont="1" applyBorder="1" applyAlignment="1">
      <alignment horizontal="center" vertical="center"/>
    </xf>
    <xf numFmtId="198" fontId="66" fillId="0" borderId="0" xfId="1624" applyNumberFormat="1" applyFont="1" applyBorder="1" applyAlignment="1">
      <alignment horizontal="left" vertical="center"/>
    </xf>
    <xf numFmtId="0" fontId="34" fillId="0" borderId="52" xfId="1624" applyFont="1" applyBorder="1" applyAlignment="1">
      <alignment horizontal="right" vertical="center"/>
    </xf>
    <xf numFmtId="199" fontId="34" fillId="0" borderId="0" xfId="1624" applyNumberFormat="1" applyFont="1" applyBorder="1" applyAlignment="1">
      <alignment horizontal="center" vertical="center"/>
    </xf>
    <xf numFmtId="0" fontId="34" fillId="2" borderId="0" xfId="1624" applyFill="1">
      <alignment vertical="center"/>
    </xf>
    <xf numFmtId="200" fontId="64" fillId="2" borderId="57" xfId="1206" applyNumberFormat="1" applyFont="1" applyFill="1" applyBorder="1" applyAlignment="1">
      <alignment vertical="center"/>
    </xf>
    <xf numFmtId="201" fontId="34" fillId="3" borderId="0" xfId="1624" applyNumberFormat="1" applyFill="1">
      <alignment vertical="center"/>
    </xf>
    <xf numFmtId="0" fontId="35" fillId="0" borderId="52" xfId="1624" applyFont="1" applyBorder="1">
      <alignment vertical="center"/>
    </xf>
    <xf numFmtId="197" fontId="34" fillId="0" borderId="0" xfId="1624" applyNumberFormat="1" applyFont="1" applyBorder="1" applyAlignment="1">
      <alignment horizontal="center" vertical="center"/>
    </xf>
    <xf numFmtId="202" fontId="34" fillId="0" borderId="0" xfId="1624" applyNumberFormat="1" applyFont="1" applyBorder="1" applyAlignment="1">
      <alignment horizontal="left" vertical="center"/>
    </xf>
    <xf numFmtId="203" fontId="34" fillId="0" borderId="0" xfId="1624" applyNumberFormat="1" applyFont="1" applyBorder="1" applyAlignment="1">
      <alignment horizontal="center" vertical="center"/>
    </xf>
    <xf numFmtId="0" fontId="34" fillId="0" borderId="54" xfId="1624" applyFont="1" applyBorder="1" applyAlignment="1">
      <alignment vertical="center"/>
    </xf>
    <xf numFmtId="0" fontId="34" fillId="0" borderId="52" xfId="1624" applyFont="1" applyBorder="1" applyAlignment="1">
      <alignment horizontal="center" vertical="center"/>
    </xf>
    <xf numFmtId="2" fontId="34" fillId="0" borderId="0" xfId="1624" applyNumberFormat="1" applyFont="1" applyBorder="1" applyAlignment="1">
      <alignment horizontal="center" vertical="center"/>
    </xf>
    <xf numFmtId="204" fontId="34" fillId="0" borderId="0" xfId="1624" applyNumberFormat="1" applyFont="1" applyBorder="1" applyAlignment="1">
      <alignment horizontal="center" vertical="center"/>
    </xf>
    <xf numFmtId="4" fontId="34" fillId="0" borderId="0" xfId="1624" applyNumberFormat="1" applyFont="1" applyBorder="1" applyAlignment="1">
      <alignment horizontal="center" vertical="center"/>
    </xf>
    <xf numFmtId="205" fontId="67" fillId="0" borderId="0" xfId="1624" applyNumberFormat="1" applyFont="1" applyBorder="1" applyAlignment="1">
      <alignment horizontal="center" vertical="center"/>
    </xf>
    <xf numFmtId="12" fontId="34" fillId="0" borderId="0" xfId="1624" applyNumberFormat="1" applyFont="1" applyAlignment="1">
      <alignment horizontal="center" vertical="center"/>
    </xf>
    <xf numFmtId="12" fontId="34" fillId="0" borderId="0" xfId="1624" applyNumberFormat="1" applyAlignment="1">
      <alignment horizontal="left" vertical="center"/>
    </xf>
    <xf numFmtId="12" fontId="34" fillId="0" borderId="0" xfId="1624" applyNumberFormat="1" applyFont="1" applyAlignment="1">
      <alignment horizontal="left" vertical="center"/>
    </xf>
    <xf numFmtId="2" fontId="34" fillId="0" borderId="0" xfId="1624" applyNumberFormat="1" applyFont="1" applyBorder="1" applyAlignment="1">
      <alignment horizontal="left" vertical="center"/>
    </xf>
    <xf numFmtId="0" fontId="35" fillId="0" borderId="0" xfId="1624" applyFont="1" applyBorder="1" applyAlignment="1">
      <alignment horizontal="right"/>
    </xf>
    <xf numFmtId="0" fontId="34" fillId="0" borderId="0" xfId="1624" quotePrefix="1" applyFont="1" applyBorder="1" applyAlignment="1">
      <alignment vertical="center"/>
    </xf>
    <xf numFmtId="191" fontId="39" fillId="0" borderId="58" xfId="1206" applyNumberFormat="1" applyFont="1" applyBorder="1" applyAlignment="1">
      <alignment vertical="center"/>
    </xf>
    <xf numFmtId="0" fontId="34" fillId="0" borderId="0" xfId="1624" applyFont="1" applyBorder="1" applyAlignment="1">
      <alignment horizontal="left" vertical="center"/>
    </xf>
    <xf numFmtId="0" fontId="65" fillId="0" borderId="54" xfId="1624" applyFont="1" applyBorder="1" applyAlignment="1">
      <alignment horizontal="center" vertical="center"/>
    </xf>
    <xf numFmtId="12" fontId="34" fillId="2" borderId="0" xfId="1624" applyNumberFormat="1" applyFont="1" applyFill="1" applyAlignment="1">
      <alignment horizontal="left" vertical="center"/>
    </xf>
    <xf numFmtId="191" fontId="64" fillId="2" borderId="56" xfId="1206" applyNumberFormat="1" applyFont="1" applyFill="1" applyBorder="1" applyAlignment="1">
      <alignment vertical="center"/>
    </xf>
    <xf numFmtId="0" fontId="69" fillId="0" borderId="0" xfId="1624" applyFont="1" applyBorder="1" applyAlignment="1">
      <alignment vertical="center"/>
    </xf>
    <xf numFmtId="191" fontId="64" fillId="2" borderId="57" xfId="1206" applyNumberFormat="1" applyFont="1" applyFill="1" applyBorder="1" applyAlignment="1">
      <alignment vertical="center"/>
    </xf>
    <xf numFmtId="0" fontId="34" fillId="0" borderId="61" xfId="1624" applyFont="1" applyBorder="1" applyAlignment="1">
      <alignment horizontal="center" vertical="center"/>
    </xf>
    <xf numFmtId="0" fontId="34" fillId="0" borderId="62" xfId="1624" applyFont="1" applyBorder="1" applyAlignment="1">
      <alignment horizontal="center" vertical="center"/>
    </xf>
    <xf numFmtId="0" fontId="35" fillId="0" borderId="62" xfId="1624" applyFont="1" applyBorder="1">
      <alignment vertical="center"/>
    </xf>
    <xf numFmtId="0" fontId="34" fillId="0" borderId="64" xfId="1624" applyFont="1" applyBorder="1" applyAlignment="1">
      <alignment horizontal="center" vertical="center"/>
    </xf>
    <xf numFmtId="191" fontId="39" fillId="0" borderId="59" xfId="1206" applyNumberFormat="1" applyFont="1" applyBorder="1" applyAlignment="1">
      <alignment vertical="center"/>
    </xf>
    <xf numFmtId="0" fontId="35" fillId="0" borderId="0" xfId="1624" applyFont="1">
      <alignment vertical="center"/>
    </xf>
    <xf numFmtId="0" fontId="39" fillId="0" borderId="0" xfId="1624" applyFont="1" applyFill="1" applyAlignment="1">
      <alignment vertical="center"/>
    </xf>
    <xf numFmtId="0" fontId="64" fillId="0" borderId="0" xfId="1624" applyFont="1" applyFill="1" applyAlignment="1">
      <alignment vertical="center"/>
    </xf>
    <xf numFmtId="0" fontId="34" fillId="0" borderId="30" xfId="1624" applyBorder="1" applyAlignment="1">
      <alignment horizontal="center" vertical="center"/>
    </xf>
    <xf numFmtId="191" fontId="39" fillId="0" borderId="30" xfId="1206" applyNumberFormat="1" applyFont="1" applyFill="1" applyBorder="1" applyAlignment="1">
      <alignment horizontal="center" vertical="center"/>
    </xf>
    <xf numFmtId="191" fontId="39" fillId="0" borderId="0" xfId="1206" applyNumberFormat="1" applyFont="1" applyFill="1" applyBorder="1" applyAlignment="1">
      <alignment horizontal="center" vertical="center"/>
    </xf>
    <xf numFmtId="41" fontId="58" fillId="0" borderId="47" xfId="1205" applyNumberFormat="1" applyFont="1" applyFill="1" applyBorder="1">
      <alignment vertical="center"/>
    </xf>
    <xf numFmtId="41" fontId="58" fillId="0" borderId="13" xfId="1205" applyNumberFormat="1" applyFont="1" applyFill="1" applyBorder="1">
      <alignment vertical="center"/>
    </xf>
    <xf numFmtId="41" fontId="58" fillId="0" borderId="11" xfId="1205" applyNumberFormat="1" applyFont="1" applyFill="1" applyBorder="1">
      <alignment vertical="center"/>
    </xf>
    <xf numFmtId="41" fontId="74" fillId="0" borderId="81" xfId="1205" applyNumberFormat="1" applyFont="1" applyFill="1" applyBorder="1">
      <alignment vertical="center"/>
    </xf>
    <xf numFmtId="41" fontId="58" fillId="0" borderId="30" xfId="1205" applyFont="1" applyFill="1" applyBorder="1" applyAlignment="1">
      <alignment horizontal="right" vertical="center" shrinkToFit="1"/>
    </xf>
    <xf numFmtId="41" fontId="74" fillId="0" borderId="48" xfId="1205" applyNumberFormat="1" applyFont="1" applyFill="1" applyBorder="1">
      <alignment vertical="center"/>
    </xf>
    <xf numFmtId="41" fontId="17" fillId="0" borderId="11" xfId="1205" applyNumberFormat="1" applyFont="1" applyFill="1" applyBorder="1">
      <alignment vertical="center"/>
    </xf>
    <xf numFmtId="41" fontId="74" fillId="0" borderId="12" xfId="1205" applyNumberFormat="1" applyFont="1" applyFill="1" applyBorder="1">
      <alignment vertical="center"/>
    </xf>
    <xf numFmtId="41" fontId="58" fillId="0" borderId="30" xfId="1205" applyNumberFormat="1" applyFont="1" applyFill="1" applyBorder="1">
      <alignment vertical="center"/>
    </xf>
    <xf numFmtId="41" fontId="74" fillId="0" borderId="46" xfId="1205" applyNumberFormat="1" applyFont="1" applyFill="1" applyBorder="1">
      <alignment vertical="center"/>
    </xf>
    <xf numFmtId="41" fontId="17" fillId="0" borderId="48" xfId="1205" applyNumberFormat="1" applyFont="1" applyFill="1" applyBorder="1">
      <alignment vertical="center"/>
    </xf>
    <xf numFmtId="195" fontId="74" fillId="0" borderId="0" xfId="1205" applyNumberFormat="1" applyFont="1" applyFill="1" applyBorder="1">
      <alignment vertical="center"/>
    </xf>
    <xf numFmtId="195" fontId="58" fillId="0" borderId="0" xfId="1205" applyNumberFormat="1" applyFont="1" applyFill="1" applyBorder="1">
      <alignment vertical="center"/>
    </xf>
    <xf numFmtId="0" fontId="11" fillId="0" borderId="82" xfId="0" applyNumberFormat="1" applyFont="1" applyFill="1" applyBorder="1" applyAlignment="1">
      <alignment horizontal="center" vertical="center"/>
    </xf>
    <xf numFmtId="0" fontId="11" fillId="0" borderId="82" xfId="0" applyFont="1" applyFill="1" applyBorder="1" applyAlignment="1">
      <alignment horizontal="center" vertical="center"/>
    </xf>
    <xf numFmtId="179" fontId="11" fillId="0" borderId="48" xfId="1196" applyNumberFormat="1" applyFont="1" applyFill="1" applyBorder="1" applyAlignment="1">
      <alignment horizontal="center" vertical="center"/>
    </xf>
    <xf numFmtId="189" fontId="11" fillId="0" borderId="25" xfId="1196" applyNumberFormat="1" applyFont="1" applyFill="1" applyBorder="1" applyAlignment="1">
      <alignment vertical="center"/>
    </xf>
    <xf numFmtId="189" fontId="11" fillId="0" borderId="19" xfId="0" applyNumberFormat="1" applyFont="1" applyFill="1" applyBorder="1" applyAlignment="1">
      <alignment vertical="center"/>
    </xf>
    <xf numFmtId="189" fontId="11" fillId="0" borderId="78" xfId="0" applyNumberFormat="1" applyFont="1" applyFill="1" applyBorder="1" applyAlignment="1">
      <alignment vertical="center"/>
    </xf>
    <xf numFmtId="189" fontId="11" fillId="0" borderId="29" xfId="0" applyNumberFormat="1" applyFont="1" applyFill="1" applyBorder="1" applyAlignment="1">
      <alignment vertical="center"/>
    </xf>
    <xf numFmtId="189" fontId="11" fillId="0" borderId="9" xfId="0" applyNumberFormat="1" applyFont="1" applyFill="1" applyBorder="1" applyAlignment="1">
      <alignment vertical="center"/>
    </xf>
    <xf numFmtId="189" fontId="20" fillId="0" borderId="8" xfId="0" applyNumberFormat="1" applyFont="1" applyFill="1" applyBorder="1" applyAlignment="1">
      <alignment vertical="center"/>
    </xf>
    <xf numFmtId="189" fontId="20" fillId="0" borderId="6" xfId="0" applyNumberFormat="1" applyFont="1" applyFill="1" applyBorder="1" applyAlignment="1">
      <alignment vertical="center"/>
    </xf>
    <xf numFmtId="189" fontId="20" fillId="0" borderId="5" xfId="0" applyNumberFormat="1" applyFont="1" applyFill="1" applyBorder="1" applyAlignment="1">
      <alignment vertical="center"/>
    </xf>
    <xf numFmtId="189" fontId="20" fillId="0" borderId="2" xfId="0" applyNumberFormat="1" applyFont="1" applyFill="1" applyBorder="1" applyAlignment="1">
      <alignment vertical="center"/>
    </xf>
    <xf numFmtId="189" fontId="20" fillId="0" borderId="39" xfId="0" applyNumberFormat="1" applyFont="1" applyFill="1" applyBorder="1" applyAlignment="1">
      <alignment vertical="center"/>
    </xf>
    <xf numFmtId="189" fontId="11" fillId="0" borderId="35" xfId="1196" applyNumberFormat="1" applyFont="1" applyFill="1" applyBorder="1" applyAlignment="1">
      <alignment vertical="center"/>
    </xf>
    <xf numFmtId="189" fontId="11" fillId="0" borderId="4" xfId="1196" applyNumberFormat="1" applyFont="1" applyFill="1" applyBorder="1" applyAlignment="1">
      <alignment vertical="center"/>
    </xf>
    <xf numFmtId="190" fontId="20" fillId="0" borderId="35" xfId="1196" applyNumberFormat="1" applyFont="1" applyFill="1" applyBorder="1" applyAlignment="1">
      <alignment vertical="center"/>
    </xf>
    <xf numFmtId="189" fontId="11" fillId="0" borderId="78" xfId="1196" applyNumberFormat="1" applyFont="1" applyFill="1" applyBorder="1" applyAlignment="1">
      <alignment vertical="center"/>
    </xf>
    <xf numFmtId="189" fontId="20" fillId="0" borderId="37" xfId="1196" applyNumberFormat="1" applyFont="1" applyFill="1" applyBorder="1" applyAlignment="1">
      <alignment vertical="center"/>
    </xf>
    <xf numFmtId="189" fontId="20" fillId="0" borderId="35" xfId="1196" applyNumberFormat="1" applyFont="1" applyFill="1" applyBorder="1" applyAlignment="1">
      <alignment vertical="center"/>
    </xf>
    <xf numFmtId="189" fontId="20" fillId="0" borderId="3" xfId="0" applyNumberFormat="1" applyFont="1" applyFill="1" applyBorder="1" applyAlignment="1">
      <alignment vertical="center"/>
    </xf>
    <xf numFmtId="189" fontId="20" fillId="0" borderId="6" xfId="1196" applyNumberFormat="1" applyFont="1" applyFill="1" applyBorder="1" applyAlignment="1">
      <alignment vertical="center"/>
    </xf>
    <xf numFmtId="41" fontId="11" fillId="0" borderId="5" xfId="0" applyNumberFormat="1" applyFont="1" applyFill="1" applyBorder="1" applyAlignment="1">
      <alignment horizontal="center" vertical="center"/>
    </xf>
    <xf numFmtId="195" fontId="74" fillId="0" borderId="76" xfId="1205" applyNumberFormat="1" applyFont="1" applyFill="1" applyBorder="1">
      <alignment vertical="center"/>
    </xf>
    <xf numFmtId="195" fontId="58" fillId="0" borderId="76" xfId="1205" applyNumberFormat="1" applyFont="1" applyFill="1" applyBorder="1">
      <alignment vertical="center"/>
    </xf>
    <xf numFmtId="0" fontId="5" fillId="0" borderId="0" xfId="1626" applyFont="1" applyAlignment="1">
      <alignment horizontal="center" vertical="center"/>
    </xf>
    <xf numFmtId="0" fontId="5" fillId="0" borderId="0" xfId="1626" applyFont="1" applyBorder="1" applyAlignment="1">
      <alignment horizontal="center" vertical="center"/>
    </xf>
    <xf numFmtId="0" fontId="11" fillId="0" borderId="30" xfId="1626" applyFont="1" applyBorder="1" applyAlignment="1">
      <alignment horizontal="center" vertical="center"/>
    </xf>
    <xf numFmtId="0" fontId="71" fillId="0" borderId="0" xfId="1626" applyFont="1" applyBorder="1" applyAlignment="1">
      <alignment horizontal="center" vertical="center"/>
    </xf>
    <xf numFmtId="188" fontId="11" fillId="0" borderId="30" xfId="1626" applyNumberFormat="1" applyFont="1" applyBorder="1" applyAlignment="1">
      <alignment horizontal="center" vertical="center"/>
    </xf>
    <xf numFmtId="41" fontId="11" fillId="0" borderId="30" xfId="1197" applyFont="1" applyBorder="1" applyAlignment="1">
      <alignment horizontal="center" vertical="center"/>
    </xf>
    <xf numFmtId="0" fontId="11" fillId="0" borderId="23" xfId="0" applyNumberFormat="1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83" xfId="0" applyFont="1" applyFill="1" applyBorder="1" applyAlignment="1">
      <alignment horizontal="center" vertical="center"/>
    </xf>
    <xf numFmtId="0" fontId="11" fillId="0" borderId="72" xfId="0" applyFont="1" applyFill="1" applyBorder="1" applyAlignment="1">
      <alignment horizontal="center" vertical="center"/>
    </xf>
    <xf numFmtId="0" fontId="11" fillId="0" borderId="24" xfId="0" applyNumberFormat="1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179" fontId="11" fillId="0" borderId="25" xfId="1196" applyNumberFormat="1" applyFont="1" applyFill="1" applyBorder="1" applyAlignment="1">
      <alignment horizontal="center" vertical="center"/>
    </xf>
    <xf numFmtId="191" fontId="11" fillId="0" borderId="25" xfId="0" applyNumberFormat="1" applyFont="1" applyBorder="1" applyAlignment="1">
      <alignment vertical="center"/>
    </xf>
    <xf numFmtId="191" fontId="11" fillId="0" borderId="78" xfId="1196" applyNumberFormat="1" applyFont="1" applyBorder="1" applyAlignment="1">
      <alignment vertical="center"/>
    </xf>
    <xf numFmtId="191" fontId="11" fillId="0" borderId="9" xfId="0" applyNumberFormat="1" applyFont="1" applyBorder="1" applyAlignment="1">
      <alignment vertical="center"/>
    </xf>
    <xf numFmtId="191" fontId="11" fillId="0" borderId="19" xfId="0" applyNumberFormat="1" applyFont="1" applyBorder="1" applyAlignment="1">
      <alignment vertical="center"/>
    </xf>
    <xf numFmtId="191" fontId="11" fillId="0" borderId="78" xfId="0" applyNumberFormat="1" applyFont="1" applyBorder="1" applyAlignment="1">
      <alignment vertical="center"/>
    </xf>
    <xf numFmtId="189" fontId="11" fillId="0" borderId="78" xfId="0" applyNumberFormat="1" applyFont="1" applyBorder="1" applyAlignment="1">
      <alignment vertical="center"/>
    </xf>
    <xf numFmtId="191" fontId="20" fillId="0" borderId="3" xfId="0" applyNumberFormat="1" applyFont="1" applyFill="1" applyBorder="1" applyAlignment="1">
      <alignment vertical="center"/>
    </xf>
    <xf numFmtId="191" fontId="20" fillId="0" borderId="6" xfId="1196" applyNumberFormat="1" applyFont="1" applyFill="1" applyBorder="1" applyAlignment="1">
      <alignment vertical="center"/>
    </xf>
    <xf numFmtId="191" fontId="20" fillId="0" borderId="78" xfId="1196" applyNumberFormat="1" applyFont="1" applyFill="1" applyBorder="1" applyAlignment="1">
      <alignment vertical="center"/>
    </xf>
    <xf numFmtId="189" fontId="20" fillId="0" borderId="29" xfId="0" applyNumberFormat="1" applyFont="1" applyFill="1" applyBorder="1" applyAlignment="1">
      <alignment vertical="center"/>
    </xf>
    <xf numFmtId="189" fontId="20" fillId="0" borderId="9" xfId="0" applyNumberFormat="1" applyFont="1" applyFill="1" applyBorder="1" applyAlignment="1">
      <alignment vertical="center"/>
    </xf>
    <xf numFmtId="189" fontId="20" fillId="0" borderId="78" xfId="1196" applyNumberFormat="1" applyFont="1" applyFill="1" applyBorder="1" applyAlignment="1">
      <alignment vertical="center"/>
    </xf>
    <xf numFmtId="190" fontId="20" fillId="0" borderId="29" xfId="0" applyNumberFormat="1" applyFont="1" applyFill="1" applyBorder="1" applyAlignment="1">
      <alignment vertical="center"/>
    </xf>
    <xf numFmtId="189" fontId="20" fillId="0" borderId="19" xfId="0" applyNumberFormat="1" applyFont="1" applyFill="1" applyBorder="1" applyAlignment="1">
      <alignment vertical="center"/>
    </xf>
    <xf numFmtId="189" fontId="20" fillId="0" borderId="78" xfId="0" applyNumberFormat="1" applyFont="1" applyFill="1" applyBorder="1" applyAlignment="1">
      <alignment vertical="center"/>
    </xf>
    <xf numFmtId="190" fontId="20" fillId="0" borderId="6" xfId="1196" applyNumberFormat="1" applyFont="1" applyFill="1" applyBorder="1" applyAlignment="1">
      <alignment vertical="center"/>
    </xf>
    <xf numFmtId="190" fontId="20" fillId="0" borderId="5" xfId="0" applyNumberFormat="1" applyFont="1" applyFill="1" applyBorder="1" applyAlignment="1">
      <alignment vertical="center"/>
    </xf>
    <xf numFmtId="189" fontId="20" fillId="0" borderId="71" xfId="0" applyNumberFormat="1" applyFont="1" applyFill="1" applyBorder="1" applyAlignment="1">
      <alignment vertical="center"/>
    </xf>
    <xf numFmtId="194" fontId="11" fillId="0" borderId="2" xfId="1625" applyNumberFormat="1" applyFont="1" applyBorder="1" applyAlignment="1">
      <alignment horizontal="center" vertical="center"/>
    </xf>
    <xf numFmtId="0" fontId="11" fillId="0" borderId="30" xfId="1626" applyFont="1" applyFill="1" applyBorder="1" applyAlignment="1">
      <alignment horizontal="center" vertical="center"/>
    </xf>
    <xf numFmtId="188" fontId="11" fillId="0" borderId="30" xfId="1626" applyNumberFormat="1" applyFont="1" applyFill="1" applyBorder="1" applyAlignment="1">
      <alignment horizontal="center" vertical="center"/>
    </xf>
    <xf numFmtId="41" fontId="11" fillId="0" borderId="30" xfId="1201" applyFont="1" applyFill="1" applyBorder="1" applyAlignment="1">
      <alignment horizontal="center" vertical="center"/>
    </xf>
    <xf numFmtId="0" fontId="11" fillId="0" borderId="30" xfId="1626" applyFont="1" applyBorder="1" applyAlignment="1">
      <alignment horizontal="center" vertical="center" wrapText="1"/>
    </xf>
    <xf numFmtId="41" fontId="11" fillId="0" borderId="30" xfId="1197" applyNumberFormat="1" applyFont="1" applyBorder="1" applyAlignment="1">
      <alignment horizontal="center" vertical="center"/>
    </xf>
    <xf numFmtId="0" fontId="5" fillId="0" borderId="0" xfId="1626" applyFont="1" applyFill="1" applyAlignment="1">
      <alignment horizontal="center" vertical="center"/>
    </xf>
    <xf numFmtId="0" fontId="11" fillId="0" borderId="85" xfId="0" applyFont="1" applyFill="1" applyBorder="1" applyAlignment="1">
      <alignment horizontal="left" vertical="center" wrapText="1"/>
    </xf>
    <xf numFmtId="179" fontId="11" fillId="0" borderId="84" xfId="1196" applyNumberFormat="1" applyFont="1" applyFill="1" applyBorder="1" applyAlignment="1">
      <alignment vertical="center"/>
    </xf>
    <xf numFmtId="179" fontId="11" fillId="0" borderId="79" xfId="1196" applyNumberFormat="1" applyFont="1" applyFill="1" applyBorder="1" applyAlignment="1">
      <alignment vertical="center"/>
    </xf>
    <xf numFmtId="41" fontId="11" fillId="0" borderId="14" xfId="1196" applyFont="1" applyFill="1" applyBorder="1" applyAlignment="1">
      <alignment horizontal="center" vertical="center"/>
    </xf>
    <xf numFmtId="9" fontId="11" fillId="0" borderId="14" xfId="1082" applyFont="1" applyFill="1" applyBorder="1" applyAlignment="1">
      <alignment horizontal="center" vertical="center"/>
    </xf>
    <xf numFmtId="179" fontId="11" fillId="0" borderId="24" xfId="1196" applyNumberFormat="1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vertical="center"/>
    </xf>
    <xf numFmtId="208" fontId="73" fillId="0" borderId="0" xfId="0" applyNumberFormat="1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1" fillId="0" borderId="21" xfId="0" applyNumberFormat="1" applyFont="1" applyFill="1" applyBorder="1" applyAlignment="1">
      <alignment horizontal="center" vertical="center"/>
    </xf>
    <xf numFmtId="2" fontId="11" fillId="0" borderId="2" xfId="0" applyNumberFormat="1" applyFont="1" applyFill="1" applyBorder="1" applyAlignment="1">
      <alignment horizontal="center" vertical="center"/>
    </xf>
    <xf numFmtId="179" fontId="11" fillId="0" borderId="24" xfId="0" applyNumberFormat="1" applyFont="1" applyFill="1" applyBorder="1" applyAlignment="1">
      <alignment horizontal="center" vertical="center"/>
    </xf>
    <xf numFmtId="188" fontId="11" fillId="0" borderId="21" xfId="0" applyNumberFormat="1" applyFont="1" applyFill="1" applyBorder="1" applyAlignment="1">
      <alignment horizontal="center" vertical="center"/>
    </xf>
    <xf numFmtId="179" fontId="11" fillId="0" borderId="10" xfId="1197" applyNumberFormat="1" applyFont="1" applyFill="1" applyBorder="1" applyAlignment="1">
      <alignment vertical="center"/>
    </xf>
    <xf numFmtId="188" fontId="11" fillId="0" borderId="7" xfId="0" applyNumberFormat="1" applyFont="1" applyFill="1" applyBorder="1" applyAlignment="1">
      <alignment horizontal="center" vertical="center"/>
    </xf>
    <xf numFmtId="179" fontId="11" fillId="0" borderId="3" xfId="0" applyNumberFormat="1" applyFont="1" applyFill="1" applyBorder="1" applyAlignment="1">
      <alignment horizontal="center" vertical="center"/>
    </xf>
    <xf numFmtId="188" fontId="11" fillId="0" borderId="8" xfId="0" applyNumberFormat="1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188" fontId="11" fillId="0" borderId="83" xfId="0" applyNumberFormat="1" applyFont="1" applyFill="1" applyBorder="1" applyAlignment="1">
      <alignment vertical="center"/>
    </xf>
    <xf numFmtId="0" fontId="11" fillId="0" borderId="86" xfId="0" applyFont="1" applyFill="1" applyBorder="1" applyAlignment="1">
      <alignment horizontal="center" vertical="center"/>
    </xf>
    <xf numFmtId="2" fontId="11" fillId="0" borderId="9" xfId="0" applyNumberFormat="1" applyFont="1" applyFill="1" applyBorder="1" applyAlignment="1">
      <alignment horizontal="center" vertical="center"/>
    </xf>
    <xf numFmtId="182" fontId="73" fillId="0" borderId="11" xfId="1203" applyNumberFormat="1" applyFont="1" applyFill="1" applyBorder="1" applyAlignment="1">
      <alignment vertical="center"/>
    </xf>
    <xf numFmtId="41" fontId="11" fillId="0" borderId="30" xfId="1201" applyFont="1" applyBorder="1" applyAlignment="1">
      <alignment horizontal="center" vertical="center"/>
    </xf>
    <xf numFmtId="194" fontId="11" fillId="0" borderId="9" xfId="1625" applyNumberFormat="1" applyFont="1" applyBorder="1" applyAlignment="1">
      <alignment horizontal="center" vertical="center"/>
    </xf>
    <xf numFmtId="194" fontId="11" fillId="0" borderId="78" xfId="1625" applyNumberFormat="1" applyFont="1" applyBorder="1" applyAlignment="1">
      <alignment horizontal="center" vertical="center"/>
    </xf>
    <xf numFmtId="194" fontId="11" fillId="0" borderId="0" xfId="1625" applyNumberFormat="1" applyFont="1" applyBorder="1" applyAlignment="1">
      <alignment horizontal="center" vertical="center"/>
    </xf>
    <xf numFmtId="194" fontId="11" fillId="0" borderId="0" xfId="1623" applyNumberFormat="1" applyFont="1" applyBorder="1" applyAlignment="1">
      <alignment horizontal="center" vertical="center"/>
    </xf>
    <xf numFmtId="196" fontId="11" fillId="0" borderId="0" xfId="1625" applyNumberFormat="1" applyFont="1" applyBorder="1" applyAlignment="1">
      <alignment horizontal="center" vertical="center"/>
    </xf>
    <xf numFmtId="195" fontId="58" fillId="0" borderId="82" xfId="1205" applyNumberFormat="1" applyFont="1" applyFill="1" applyBorder="1">
      <alignment vertical="center"/>
    </xf>
    <xf numFmtId="49" fontId="58" fillId="0" borderId="46" xfId="1205" applyNumberFormat="1" applyFont="1" applyFill="1" applyBorder="1" applyAlignment="1">
      <alignment horizontal="right" vertical="center"/>
    </xf>
    <xf numFmtId="195" fontId="58" fillId="0" borderId="39" xfId="1205" applyNumberFormat="1" applyFont="1" applyFill="1" applyBorder="1">
      <alignment vertical="center"/>
    </xf>
    <xf numFmtId="189" fontId="20" fillId="0" borderId="7" xfId="0" applyNumberFormat="1" applyFont="1" applyFill="1" applyBorder="1" applyAlignment="1">
      <alignment vertical="center"/>
    </xf>
    <xf numFmtId="189" fontId="20" fillId="0" borderId="16" xfId="0" applyNumberFormat="1" applyFont="1" applyFill="1" applyBorder="1" applyAlignment="1">
      <alignment vertical="center"/>
    </xf>
    <xf numFmtId="189" fontId="20" fillId="0" borderId="87" xfId="0" applyNumberFormat="1" applyFont="1" applyFill="1" applyBorder="1" applyAlignment="1">
      <alignment vertical="center"/>
    </xf>
    <xf numFmtId="189" fontId="20" fillId="0" borderId="31" xfId="1196" applyNumberFormat="1" applyFont="1" applyFill="1" applyBorder="1" applyAlignment="1">
      <alignment vertical="center"/>
    </xf>
    <xf numFmtId="190" fontId="20" fillId="0" borderId="28" xfId="0" applyNumberFormat="1" applyFont="1" applyFill="1" applyBorder="1" applyAlignment="1">
      <alignment vertical="center"/>
    </xf>
    <xf numFmtId="189" fontId="20" fillId="0" borderId="31" xfId="0" applyNumberFormat="1" applyFont="1" applyFill="1" applyBorder="1" applyAlignment="1">
      <alignment vertical="center"/>
    </xf>
    <xf numFmtId="200" fontId="20" fillId="0" borderId="10" xfId="1196" applyNumberFormat="1" applyFont="1" applyFill="1" applyBorder="1" applyAlignment="1">
      <alignment vertical="center"/>
    </xf>
    <xf numFmtId="0" fontId="5" fillId="0" borderId="0" xfId="0" applyFont="1" applyFill="1" applyAlignment="1">
      <alignment horizontal="center"/>
    </xf>
    <xf numFmtId="188" fontId="5" fillId="0" borderId="0" xfId="0" applyNumberFormat="1" applyFont="1" applyFill="1">
      <alignment vertical="center"/>
    </xf>
    <xf numFmtId="179" fontId="11" fillId="0" borderId="25" xfId="1196" applyNumberFormat="1" applyFont="1" applyFill="1" applyBorder="1" applyAlignment="1">
      <alignment vertical="center"/>
    </xf>
    <xf numFmtId="188" fontId="11" fillId="0" borderId="19" xfId="0" applyNumberFormat="1" applyFont="1" applyFill="1" applyBorder="1" applyAlignment="1">
      <alignment vertical="center"/>
    </xf>
    <xf numFmtId="183" fontId="5" fillId="0" borderId="0" xfId="0" applyNumberFormat="1" applyFont="1" applyFill="1">
      <alignment vertical="center"/>
    </xf>
    <xf numFmtId="191" fontId="17" fillId="0" borderId="27" xfId="1205" applyNumberFormat="1" applyFont="1" applyFill="1" applyBorder="1" applyAlignment="1">
      <alignment horizontal="center" vertical="center"/>
    </xf>
    <xf numFmtId="189" fontId="20" fillId="0" borderId="10" xfId="0" applyNumberFormat="1" applyFont="1" applyFill="1" applyBorder="1" applyAlignment="1">
      <alignment vertical="center"/>
    </xf>
    <xf numFmtId="189" fontId="20" fillId="0" borderId="28" xfId="0" applyNumberFormat="1" applyFont="1" applyFill="1" applyBorder="1" applyAlignment="1">
      <alignment vertical="center"/>
    </xf>
    <xf numFmtId="190" fontId="20" fillId="0" borderId="31" xfId="1196" applyNumberFormat="1" applyFont="1" applyFill="1" applyBorder="1" applyAlignment="1">
      <alignment vertical="center"/>
    </xf>
    <xf numFmtId="189" fontId="11" fillId="0" borderId="3" xfId="1196" applyNumberFormat="1" applyFont="1" applyFill="1" applyBorder="1" applyAlignment="1">
      <alignment vertical="center"/>
    </xf>
    <xf numFmtId="189" fontId="11" fillId="0" borderId="8" xfId="0" applyNumberFormat="1" applyFont="1" applyFill="1" applyBorder="1" applyAlignment="1">
      <alignment vertical="center"/>
    </xf>
    <xf numFmtId="189" fontId="11" fillId="0" borderId="6" xfId="0" applyNumberFormat="1" applyFont="1" applyFill="1" applyBorder="1" applyAlignment="1">
      <alignment vertical="center"/>
    </xf>
    <xf numFmtId="189" fontId="11" fillId="0" borderId="5" xfId="0" applyNumberFormat="1" applyFont="1" applyFill="1" applyBorder="1" applyAlignment="1">
      <alignment vertical="center"/>
    </xf>
    <xf numFmtId="189" fontId="11" fillId="0" borderId="2" xfId="0" applyNumberFormat="1" applyFont="1" applyFill="1" applyBorder="1" applyAlignment="1">
      <alignment vertical="center"/>
    </xf>
    <xf numFmtId="189" fontId="11" fillId="0" borderId="6" xfId="1196" applyNumberFormat="1" applyFont="1" applyFill="1" applyBorder="1" applyAlignment="1">
      <alignment vertical="center"/>
    </xf>
    <xf numFmtId="191" fontId="74" fillId="0" borderId="27" xfId="1205" applyNumberFormat="1" applyFont="1" applyFill="1" applyBorder="1" applyAlignment="1">
      <alignment horizontal="center" vertical="center"/>
    </xf>
    <xf numFmtId="195" fontId="74" fillId="0" borderId="27" xfId="1205" applyNumberFormat="1" applyFont="1" applyFill="1" applyBorder="1" applyAlignment="1">
      <alignment horizontal="center" vertical="center"/>
    </xf>
    <xf numFmtId="195" fontId="17" fillId="0" borderId="27" xfId="1205" applyNumberFormat="1" applyFont="1" applyFill="1" applyBorder="1" applyAlignment="1">
      <alignment horizontal="center" vertical="center"/>
    </xf>
    <xf numFmtId="0" fontId="92" fillId="0" borderId="82" xfId="1612" applyFont="1" applyBorder="1">
      <alignment vertical="center"/>
    </xf>
    <xf numFmtId="0" fontId="74" fillId="0" borderId="82" xfId="1608" applyFont="1" applyBorder="1">
      <alignment vertical="center"/>
    </xf>
    <xf numFmtId="0" fontId="74" fillId="0" borderId="5" xfId="1608" applyFont="1" applyBorder="1">
      <alignment vertical="center"/>
    </xf>
    <xf numFmtId="195" fontId="58" fillId="0" borderId="27" xfId="1205" applyNumberFormat="1" applyFont="1" applyFill="1" applyBorder="1">
      <alignment vertical="center"/>
    </xf>
    <xf numFmtId="0" fontId="93" fillId="0" borderId="82" xfId="1612" applyFont="1" applyBorder="1" applyAlignment="1">
      <alignment horizontal="center" vertical="center"/>
    </xf>
    <xf numFmtId="0" fontId="93" fillId="0" borderId="5" xfId="1612" applyFont="1" applyBorder="1" applyAlignment="1">
      <alignment horizontal="center" vertical="center"/>
    </xf>
    <xf numFmtId="0" fontId="92" fillId="0" borderId="5" xfId="1612" applyFont="1" applyBorder="1">
      <alignment vertical="center"/>
    </xf>
    <xf numFmtId="0" fontId="93" fillId="0" borderId="28" xfId="1612" applyFont="1" applyBorder="1" applyAlignment="1">
      <alignment horizontal="center" vertical="center"/>
    </xf>
    <xf numFmtId="0" fontId="92" fillId="0" borderId="28" xfId="1612" applyFont="1" applyBorder="1">
      <alignment vertical="center"/>
    </xf>
    <xf numFmtId="195" fontId="58" fillId="0" borderId="28" xfId="1205" applyNumberFormat="1" applyFont="1" applyFill="1" applyBorder="1">
      <alignment vertical="center"/>
    </xf>
    <xf numFmtId="0" fontId="74" fillId="0" borderId="28" xfId="1608" applyFont="1" applyBorder="1">
      <alignment vertical="center"/>
    </xf>
    <xf numFmtId="0" fontId="11" fillId="0" borderId="1" xfId="1625" applyFont="1" applyBorder="1" applyAlignment="1">
      <alignment horizontal="center" vertical="center"/>
    </xf>
    <xf numFmtId="194" fontId="11" fillId="0" borderId="88" xfId="1625" applyNumberFormat="1" applyFont="1" applyBorder="1" applyAlignment="1">
      <alignment horizontal="center" vertical="center"/>
    </xf>
    <xf numFmtId="0" fontId="11" fillId="0" borderId="89" xfId="1625" applyFont="1" applyBorder="1" applyAlignment="1">
      <alignment horizontal="center" vertical="center"/>
    </xf>
    <xf numFmtId="0" fontId="11" fillId="0" borderId="72" xfId="1625" applyFont="1" applyBorder="1" applyAlignment="1">
      <alignment horizontal="center" vertical="center"/>
    </xf>
    <xf numFmtId="0" fontId="11" fillId="0" borderId="86" xfId="1625" applyFont="1" applyBorder="1" applyAlignment="1">
      <alignment horizontal="center" vertical="center"/>
    </xf>
    <xf numFmtId="194" fontId="11" fillId="0" borderId="38" xfId="1625" applyNumberFormat="1" applyFont="1" applyBorder="1" applyAlignment="1">
      <alignment horizontal="center" vertical="center"/>
    </xf>
    <xf numFmtId="194" fontId="11" fillId="0" borderId="85" xfId="1625" applyNumberFormat="1" applyFont="1" applyBorder="1" applyAlignment="1">
      <alignment horizontal="center" vertical="center"/>
    </xf>
    <xf numFmtId="0" fontId="5" fillId="0" borderId="14" xfId="1625" applyFont="1" applyBorder="1" applyAlignment="1">
      <alignment horizontal="center" vertical="center"/>
    </xf>
    <xf numFmtId="0" fontId="11" fillId="0" borderId="71" xfId="1625" applyFont="1" applyBorder="1" applyAlignment="1">
      <alignment horizontal="center" vertical="center"/>
    </xf>
    <xf numFmtId="189" fontId="94" fillId="0" borderId="26" xfId="0" applyNumberFormat="1" applyFont="1" applyFill="1" applyBorder="1" applyAlignment="1">
      <alignment vertical="center"/>
    </xf>
    <xf numFmtId="189" fontId="94" fillId="0" borderId="35" xfId="1196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horizontal="center" vertical="center" wrapText="1"/>
    </xf>
    <xf numFmtId="0" fontId="11" fillId="0" borderId="87" xfId="0" applyFont="1" applyFill="1" applyBorder="1" applyAlignment="1">
      <alignment horizontal="center" vertical="center"/>
    </xf>
    <xf numFmtId="0" fontId="11" fillId="0" borderId="36" xfId="0" applyNumberFormat="1" applyFont="1" applyFill="1" applyBorder="1" applyAlignment="1">
      <alignment horizontal="center" vertical="center" wrapText="1"/>
    </xf>
    <xf numFmtId="0" fontId="11" fillId="0" borderId="26" xfId="0" applyNumberFormat="1" applyFont="1" applyFill="1" applyBorder="1" applyAlignment="1">
      <alignment horizontal="center" vertical="center" wrapText="1"/>
    </xf>
    <xf numFmtId="0" fontId="11" fillId="0" borderId="90" xfId="0" applyNumberFormat="1" applyFont="1" applyFill="1" applyBorder="1" applyAlignment="1">
      <alignment horizontal="center" vertical="center" wrapText="1"/>
    </xf>
    <xf numFmtId="0" fontId="11" fillId="0" borderId="91" xfId="0" applyNumberFormat="1" applyFont="1" applyFill="1" applyBorder="1" applyAlignment="1">
      <alignment horizontal="center" vertical="center" wrapText="1"/>
    </xf>
    <xf numFmtId="0" fontId="11" fillId="0" borderId="92" xfId="0" applyNumberFormat="1" applyFont="1" applyFill="1" applyBorder="1" applyAlignment="1">
      <alignment horizontal="center" vertical="center" wrapText="1"/>
    </xf>
    <xf numFmtId="0" fontId="11" fillId="0" borderId="82" xfId="0" applyNumberFormat="1" applyFont="1" applyFill="1" applyBorder="1" applyAlignment="1">
      <alignment horizontal="center" vertical="center" wrapText="1"/>
    </xf>
    <xf numFmtId="0" fontId="11" fillId="0" borderId="67" xfId="0" applyNumberFormat="1" applyFont="1" applyFill="1" applyBorder="1" applyAlignment="1">
      <alignment horizontal="center" vertical="center" wrapText="1"/>
    </xf>
    <xf numFmtId="0" fontId="11" fillId="0" borderId="93" xfId="0" applyNumberFormat="1" applyFont="1" applyFill="1" applyBorder="1" applyAlignment="1">
      <alignment horizontal="center" vertical="center" wrapText="1"/>
    </xf>
    <xf numFmtId="0" fontId="11" fillId="0" borderId="29" xfId="0" applyNumberFormat="1" applyFont="1" applyFill="1" applyBorder="1" applyAlignment="1">
      <alignment horizontal="center" vertical="center" wrapText="1"/>
    </xf>
    <xf numFmtId="0" fontId="11" fillId="0" borderId="65" xfId="0" applyNumberFormat="1" applyFont="1" applyFill="1" applyBorder="1" applyAlignment="1">
      <alignment horizontal="center" vertical="center" wrapText="1"/>
    </xf>
    <xf numFmtId="0" fontId="11" fillId="0" borderId="86" xfId="0" applyNumberFormat="1" applyFont="1" applyFill="1" applyBorder="1" applyAlignment="1">
      <alignment horizontal="center" vertical="center" wrapText="1"/>
    </xf>
    <xf numFmtId="0" fontId="11" fillId="0" borderId="27" xfId="0" applyNumberFormat="1" applyFont="1" applyFill="1" applyBorder="1" applyAlignment="1">
      <alignment horizontal="center" vertical="center"/>
    </xf>
    <xf numFmtId="0" fontId="11" fillId="0" borderId="94" xfId="0" applyNumberFormat="1" applyFont="1" applyFill="1" applyBorder="1" applyAlignment="1">
      <alignment horizontal="center" vertical="center"/>
    </xf>
    <xf numFmtId="0" fontId="11" fillId="0" borderId="95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>
      <alignment horizontal="center" vertical="center"/>
    </xf>
    <xf numFmtId="0" fontId="11" fillId="0" borderId="16" xfId="0" applyNumberFormat="1" applyFont="1" applyFill="1" applyBorder="1" applyAlignment="1">
      <alignment horizontal="center" vertical="center"/>
    </xf>
    <xf numFmtId="0" fontId="11" fillId="0" borderId="5" xfId="0" applyNumberFormat="1" applyFont="1" applyFill="1" applyBorder="1" applyAlignment="1">
      <alignment horizontal="center" vertical="center"/>
    </xf>
    <xf numFmtId="0" fontId="11" fillId="0" borderId="71" xfId="0" applyNumberFormat="1" applyFont="1" applyFill="1" applyBorder="1" applyAlignment="1">
      <alignment horizontal="center" vertical="center"/>
    </xf>
    <xf numFmtId="0" fontId="11" fillId="0" borderId="71" xfId="0" applyFont="1" applyFill="1" applyBorder="1" applyAlignment="1">
      <alignment horizontal="center" vertical="center"/>
    </xf>
    <xf numFmtId="0" fontId="11" fillId="0" borderId="66" xfId="0" applyFont="1" applyFill="1" applyBorder="1" applyAlignment="1">
      <alignment horizontal="center" vertical="center"/>
    </xf>
    <xf numFmtId="179" fontId="11" fillId="0" borderId="30" xfId="1196" applyNumberFormat="1" applyFont="1" applyFill="1" applyBorder="1" applyAlignment="1">
      <alignment horizontal="center" vertical="center"/>
    </xf>
    <xf numFmtId="179" fontId="11" fillId="0" borderId="46" xfId="1196" applyNumberFormat="1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/>
    </xf>
    <xf numFmtId="0" fontId="11" fillId="0" borderId="78" xfId="0" applyNumberFormat="1" applyFont="1" applyFill="1" applyBorder="1" applyAlignment="1">
      <alignment horizontal="center" vertical="center"/>
    </xf>
    <xf numFmtId="0" fontId="11" fillId="0" borderId="78" xfId="0" applyNumberFormat="1" applyFont="1" applyFill="1" applyBorder="1" applyAlignment="1">
      <alignment horizontal="center" vertical="center" wrapText="1"/>
    </xf>
    <xf numFmtId="0" fontId="11" fillId="0" borderId="72" xfId="0" applyNumberFormat="1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178" fontId="11" fillId="0" borderId="30" xfId="1196" applyNumberFormat="1" applyFont="1" applyFill="1" applyBorder="1" applyAlignment="1">
      <alignment horizontal="center" vertical="center"/>
    </xf>
    <xf numFmtId="179" fontId="11" fillId="0" borderId="81" xfId="1196" applyNumberFormat="1" applyFont="1" applyFill="1" applyBorder="1" applyAlignment="1">
      <alignment horizontal="center" vertical="center"/>
    </xf>
    <xf numFmtId="195" fontId="58" fillId="0" borderId="26" xfId="1205" applyNumberFormat="1" applyFont="1" applyFill="1" applyBorder="1">
      <alignment vertical="center"/>
    </xf>
    <xf numFmtId="0" fontId="11" fillId="0" borderId="19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/>
    </xf>
    <xf numFmtId="0" fontId="38" fillId="0" borderId="0" xfId="1624" applyFont="1" applyBorder="1" applyAlignment="1">
      <alignment horizontal="center" vertical="center"/>
    </xf>
    <xf numFmtId="0" fontId="36" fillId="0" borderId="0" xfId="1624" applyFont="1" applyFill="1">
      <alignment vertical="center"/>
    </xf>
    <xf numFmtId="213" fontId="62" fillId="0" borderId="0" xfId="1624" applyNumberFormat="1" applyFont="1" applyFill="1">
      <alignment vertical="center"/>
    </xf>
    <xf numFmtId="0" fontId="34" fillId="0" borderId="0" xfId="1624" applyFont="1" applyFill="1" applyBorder="1" applyAlignment="1">
      <alignment vertical="center"/>
    </xf>
    <xf numFmtId="0" fontId="38" fillId="0" borderId="0" xfId="1624" applyFont="1" applyFill="1" applyBorder="1" applyAlignment="1">
      <alignment vertical="center"/>
    </xf>
    <xf numFmtId="0" fontId="36" fillId="0" borderId="0" xfId="1624" applyFont="1" applyFill="1" applyBorder="1">
      <alignment vertical="center"/>
    </xf>
    <xf numFmtId="0" fontId="61" fillId="0" borderId="0" xfId="1624" applyFont="1" applyFill="1" applyBorder="1" applyAlignment="1">
      <alignment horizontal="center" vertical="center"/>
    </xf>
    <xf numFmtId="0" fontId="62" fillId="0" borderId="0" xfId="1624" applyFont="1" applyFill="1">
      <alignment vertical="center"/>
    </xf>
    <xf numFmtId="0" fontId="38" fillId="0" borderId="0" xfId="1624" applyFont="1" applyFill="1">
      <alignment vertical="center"/>
    </xf>
    <xf numFmtId="0" fontId="34" fillId="0" borderId="52" xfId="1624" applyFont="1" applyFill="1" applyBorder="1" applyAlignment="1">
      <alignment vertical="center"/>
    </xf>
    <xf numFmtId="0" fontId="34" fillId="0" borderId="54" xfId="1624" applyFont="1" applyFill="1" applyBorder="1" applyAlignment="1">
      <alignment vertical="center"/>
    </xf>
    <xf numFmtId="0" fontId="61" fillId="0" borderId="50" xfId="1624" applyFont="1" applyFill="1" applyBorder="1" applyAlignment="1">
      <alignment horizontal="center" vertical="center"/>
    </xf>
    <xf numFmtId="0" fontId="61" fillId="0" borderId="51" xfId="1624" applyFont="1" applyFill="1" applyBorder="1" applyAlignment="1">
      <alignment horizontal="center" vertical="center"/>
    </xf>
    <xf numFmtId="0" fontId="38" fillId="0" borderId="52" xfId="1624" applyFont="1" applyFill="1" applyBorder="1" applyAlignment="1">
      <alignment horizontal="centerContinuous" vertical="center"/>
    </xf>
    <xf numFmtId="0" fontId="38" fillId="0" borderId="0" xfId="1624" applyFont="1" applyFill="1" applyBorder="1" applyAlignment="1">
      <alignment horizontal="centerContinuous" vertical="center"/>
    </xf>
    <xf numFmtId="0" fontId="38" fillId="0" borderId="0" xfId="1624" applyFont="1" applyFill="1" applyBorder="1" applyAlignment="1">
      <alignment horizontal="left" vertical="center"/>
    </xf>
    <xf numFmtId="0" fontId="63" fillId="0" borderId="0" xfId="1624" applyFont="1" applyFill="1" applyBorder="1" applyAlignment="1">
      <alignment vertical="center"/>
    </xf>
    <xf numFmtId="0" fontId="35" fillId="0" borderId="0" xfId="1624" applyFont="1" applyFill="1" applyBorder="1">
      <alignment vertical="center"/>
    </xf>
    <xf numFmtId="0" fontId="38" fillId="0" borderId="0" xfId="1624" applyFont="1" applyFill="1" applyBorder="1" applyAlignment="1">
      <alignment horizontal="center" vertical="center"/>
    </xf>
    <xf numFmtId="0" fontId="34" fillId="0" borderId="0" xfId="1624" applyFont="1" applyFill="1" applyBorder="1" applyAlignment="1">
      <alignment horizontal="center" vertical="center"/>
    </xf>
    <xf numFmtId="0" fontId="34" fillId="0" borderId="54" xfId="1624" applyFont="1" applyFill="1" applyBorder="1" applyAlignment="1">
      <alignment horizontal="center" vertical="center"/>
    </xf>
    <xf numFmtId="0" fontId="34" fillId="0" borderId="0" xfId="1624" applyFont="1" applyFill="1">
      <alignment vertical="center"/>
    </xf>
    <xf numFmtId="191" fontId="39" fillId="0" borderId="55" xfId="1206" applyNumberFormat="1" applyFont="1" applyFill="1" applyBorder="1" applyAlignment="1">
      <alignment vertical="center"/>
    </xf>
    <xf numFmtId="191" fontId="39" fillId="0" borderId="0" xfId="1206" applyNumberFormat="1" applyFont="1" applyFill="1" applyBorder="1" applyAlignment="1">
      <alignment vertical="center"/>
    </xf>
    <xf numFmtId="4" fontId="34" fillId="0" borderId="0" xfId="1624" applyNumberFormat="1" applyFont="1" applyFill="1" applyBorder="1" applyAlignment="1">
      <alignment vertical="center"/>
    </xf>
    <xf numFmtId="4" fontId="34" fillId="0" borderId="0" xfId="1624" quotePrefix="1" applyNumberFormat="1" applyFont="1" applyFill="1" applyBorder="1" applyAlignment="1">
      <alignment horizontal="center" vertical="center"/>
    </xf>
    <xf numFmtId="4" fontId="34" fillId="0" borderId="0" xfId="1624" applyNumberFormat="1" applyFont="1" applyFill="1" applyBorder="1" applyAlignment="1">
      <alignment horizontal="center" vertical="center"/>
    </xf>
    <xf numFmtId="0" fontId="38" fillId="0" borderId="52" xfId="1624" applyFont="1" applyFill="1" applyBorder="1" applyAlignment="1">
      <alignment vertical="center"/>
    </xf>
    <xf numFmtId="188" fontId="38" fillId="0" borderId="0" xfId="1624" applyNumberFormat="1" applyFont="1" applyFill="1" applyBorder="1" applyAlignment="1">
      <alignment horizontal="center" vertical="center"/>
    </xf>
    <xf numFmtId="191" fontId="39" fillId="0" borderId="56" xfId="1206" applyNumberFormat="1" applyFont="1" applyFill="1" applyBorder="1" applyAlignment="1">
      <alignment vertical="center"/>
    </xf>
    <xf numFmtId="0" fontId="34" fillId="0" borderId="52" xfId="1624" applyFill="1" applyBorder="1">
      <alignment vertical="center"/>
    </xf>
    <xf numFmtId="0" fontId="34" fillId="0" borderId="0" xfId="1624" applyFill="1" applyBorder="1">
      <alignment vertical="center"/>
    </xf>
    <xf numFmtId="0" fontId="34" fillId="0" borderId="54" xfId="1624" applyFill="1" applyBorder="1">
      <alignment vertical="center"/>
    </xf>
    <xf numFmtId="191" fontId="64" fillId="0" borderId="56" xfId="1206" applyNumberFormat="1" applyFont="1" applyFill="1" applyBorder="1" applyAlignment="1">
      <alignment vertical="center"/>
    </xf>
    <xf numFmtId="0" fontId="34" fillId="0" borderId="52" xfId="1624" applyFont="1" applyFill="1" applyBorder="1" applyAlignment="1">
      <alignment horizontal="center" vertical="center"/>
    </xf>
    <xf numFmtId="3" fontId="64" fillId="0" borderId="0" xfId="1624" applyNumberFormat="1" applyFont="1" applyFill="1" applyBorder="1" applyAlignment="1">
      <alignment horizontal="center" vertical="center"/>
    </xf>
    <xf numFmtId="0" fontId="0" fillId="0" borderId="0" xfId="1624" applyFont="1" applyFill="1" applyBorder="1" applyAlignment="1">
      <alignment horizontal="left" vertical="center"/>
    </xf>
    <xf numFmtId="0" fontId="95" fillId="0" borderId="0" xfId="1624" applyFont="1" applyFill="1" applyBorder="1" applyAlignment="1">
      <alignment vertical="center"/>
    </xf>
    <xf numFmtId="0" fontId="0" fillId="0" borderId="54" xfId="1624" applyFont="1" applyFill="1" applyBorder="1" applyAlignment="1">
      <alignment horizontal="left" vertical="center"/>
    </xf>
    <xf numFmtId="191" fontId="34" fillId="0" borderId="57" xfId="1206" applyNumberFormat="1" applyFont="1" applyFill="1" applyBorder="1" applyAlignment="1">
      <alignment vertical="center"/>
    </xf>
    <xf numFmtId="201" fontId="64" fillId="0" borderId="0" xfId="1624" applyNumberFormat="1" applyFont="1" applyFill="1">
      <alignment vertical="center"/>
    </xf>
    <xf numFmtId="4" fontId="34" fillId="0" borderId="0" xfId="1624" applyNumberFormat="1" applyFont="1" applyFill="1" applyBorder="1" applyAlignment="1">
      <alignment horizontal="left" vertical="center"/>
    </xf>
    <xf numFmtId="0" fontId="0" fillId="0" borderId="0" xfId="1624" applyFont="1" applyFill="1" applyBorder="1" applyAlignment="1">
      <alignment vertical="center"/>
    </xf>
    <xf numFmtId="203" fontId="34" fillId="0" borderId="0" xfId="1624" applyNumberFormat="1" applyFont="1" applyFill="1" applyBorder="1" applyAlignment="1">
      <alignment horizontal="center" vertical="center"/>
    </xf>
    <xf numFmtId="0" fontId="34" fillId="0" borderId="54" xfId="1624" applyFont="1" applyFill="1" applyBorder="1" applyAlignment="1">
      <alignment horizontal="left" vertical="center"/>
    </xf>
    <xf numFmtId="0" fontId="34" fillId="0" borderId="20" xfId="1624" applyFont="1" applyFill="1" applyBorder="1" applyAlignment="1">
      <alignment horizontal="center" vertical="center"/>
    </xf>
    <xf numFmtId="4" fontId="34" fillId="0" borderId="71" xfId="1624" applyNumberFormat="1" applyFont="1" applyFill="1" applyBorder="1" applyAlignment="1">
      <alignment vertical="center"/>
    </xf>
    <xf numFmtId="0" fontId="34" fillId="0" borderId="71" xfId="1624" applyFont="1" applyFill="1" applyBorder="1" applyAlignment="1">
      <alignment vertical="center"/>
    </xf>
    <xf numFmtId="0" fontId="34" fillId="0" borderId="72" xfId="1624" applyFont="1" applyFill="1" applyBorder="1" applyAlignment="1">
      <alignment horizontal="left" vertical="center"/>
    </xf>
    <xf numFmtId="0" fontId="0" fillId="0" borderId="0" xfId="1624" applyFont="1" applyFill="1" applyBorder="1" applyAlignment="1">
      <alignment horizontal="right" vertical="center"/>
    </xf>
    <xf numFmtId="0" fontId="34" fillId="0" borderId="0" xfId="1624" applyFont="1" applyFill="1" applyAlignment="1">
      <alignment vertical="center"/>
    </xf>
    <xf numFmtId="0" fontId="39" fillId="0" borderId="71" xfId="1624" applyFont="1" applyFill="1" applyBorder="1" applyAlignment="1">
      <alignment vertical="center"/>
    </xf>
    <xf numFmtId="0" fontId="34" fillId="0" borderId="71" xfId="1624" applyFont="1" applyFill="1" applyBorder="1" applyAlignment="1">
      <alignment horizontal="left" vertical="center"/>
    </xf>
    <xf numFmtId="0" fontId="34" fillId="0" borderId="72" xfId="1624" applyFont="1" applyFill="1" applyBorder="1" applyAlignment="1">
      <alignment vertical="center"/>
    </xf>
    <xf numFmtId="0" fontId="34" fillId="0" borderId="0" xfId="1624" applyFont="1" applyFill="1" applyBorder="1" applyAlignment="1">
      <alignment horizontal="right" vertical="center"/>
    </xf>
    <xf numFmtId="0" fontId="39" fillId="0" borderId="0" xfId="1624" applyFont="1" applyFill="1" applyBorder="1" applyAlignment="1">
      <alignment vertical="center"/>
    </xf>
    <xf numFmtId="0" fontId="34" fillId="0" borderId="0" xfId="1624" applyFont="1" applyFill="1" applyBorder="1" applyAlignment="1">
      <alignment horizontal="left" vertical="center"/>
    </xf>
    <xf numFmtId="12" fontId="34" fillId="0" borderId="0" xfId="1624" applyNumberFormat="1" applyFill="1" applyAlignment="1">
      <alignment horizontal="left" vertical="center"/>
    </xf>
    <xf numFmtId="12" fontId="34" fillId="0" borderId="0" xfId="1624" applyNumberFormat="1" applyFont="1" applyFill="1" applyAlignment="1">
      <alignment horizontal="center" vertical="center"/>
    </xf>
    <xf numFmtId="12" fontId="34" fillId="0" borderId="0" xfId="1624" applyNumberFormat="1" applyFont="1" applyFill="1" applyAlignment="1">
      <alignment horizontal="left" vertical="center"/>
    </xf>
    <xf numFmtId="1" fontId="34" fillId="0" borderId="0" xfId="1624" applyNumberFormat="1" applyFont="1" applyFill="1" applyBorder="1" applyAlignment="1">
      <alignment horizontal="left" vertical="center"/>
    </xf>
    <xf numFmtId="214" fontId="95" fillId="0" borderId="0" xfId="1624" applyNumberFormat="1" applyFont="1" applyFill="1" applyBorder="1" applyAlignment="1">
      <alignment horizontal="center" vertical="center"/>
    </xf>
    <xf numFmtId="191" fontId="39" fillId="0" borderId="58" xfId="1206" applyNumberFormat="1" applyFont="1" applyFill="1" applyBorder="1" applyAlignment="1">
      <alignment vertical="center"/>
    </xf>
    <xf numFmtId="0" fontId="34" fillId="0" borderId="75" xfId="1624" applyFont="1" applyFill="1" applyBorder="1" applyAlignment="1">
      <alignment vertical="center"/>
    </xf>
    <xf numFmtId="0" fontId="34" fillId="0" borderId="76" xfId="1624" applyFont="1" applyFill="1" applyBorder="1" applyAlignment="1">
      <alignment vertical="center"/>
    </xf>
    <xf numFmtId="0" fontId="34" fillId="0" borderId="77" xfId="1624" applyFont="1" applyFill="1" applyBorder="1" applyAlignment="1">
      <alignment vertical="center"/>
    </xf>
    <xf numFmtId="0" fontId="34" fillId="0" borderId="76" xfId="1624" applyFont="1" applyFill="1" applyBorder="1" applyAlignment="1">
      <alignment horizontal="right" vertical="center"/>
    </xf>
    <xf numFmtId="0" fontId="39" fillId="0" borderId="76" xfId="1624" applyFont="1" applyFill="1" applyBorder="1" applyAlignment="1">
      <alignment vertical="center"/>
    </xf>
    <xf numFmtId="0" fontId="34" fillId="0" borderId="76" xfId="1624" applyFont="1" applyFill="1" applyBorder="1" applyAlignment="1">
      <alignment horizontal="left" vertical="center"/>
    </xf>
    <xf numFmtId="0" fontId="34" fillId="0" borderId="76" xfId="1624" applyFont="1" applyFill="1" applyBorder="1" applyAlignment="1">
      <alignment horizontal="center" vertical="center"/>
    </xf>
    <xf numFmtId="0" fontId="95" fillId="0" borderId="0" xfId="1624" applyFont="1" applyFill="1" applyBorder="1" applyAlignment="1">
      <alignment horizontal="center" vertical="center"/>
    </xf>
    <xf numFmtId="203" fontId="34" fillId="0" borderId="0" xfId="1624" applyNumberFormat="1" applyFont="1" applyFill="1" applyBorder="1" applyAlignment="1">
      <alignment vertical="center"/>
    </xf>
    <xf numFmtId="0" fontId="38" fillId="0" borderId="0" xfId="1624" applyFont="1" applyFill="1" applyBorder="1" applyAlignment="1">
      <alignment horizontal="right" vertical="center"/>
    </xf>
    <xf numFmtId="0" fontId="34" fillId="0" borderId="0" xfId="1624" quotePrefix="1" applyFont="1" applyFill="1" applyBorder="1" applyAlignment="1">
      <alignment vertical="center"/>
    </xf>
    <xf numFmtId="0" fontId="96" fillId="0" borderId="0" xfId="1624" applyFont="1" applyFill="1" applyBorder="1" applyAlignment="1">
      <alignment vertical="center"/>
    </xf>
    <xf numFmtId="191" fontId="64" fillId="0" borderId="57" xfId="1206" applyNumberFormat="1" applyFont="1" applyFill="1" applyBorder="1" applyAlignment="1">
      <alignment vertical="center"/>
    </xf>
    <xf numFmtId="207" fontId="34" fillId="0" borderId="0" xfId="1624" applyNumberFormat="1" applyFont="1" applyFill="1" applyBorder="1" applyAlignment="1">
      <alignment horizontal="center" vertical="center"/>
    </xf>
    <xf numFmtId="191" fontId="39" fillId="0" borderId="59" xfId="1206" applyNumberFormat="1" applyFont="1" applyFill="1" applyBorder="1" applyAlignment="1">
      <alignment vertical="center"/>
    </xf>
    <xf numFmtId="203" fontId="38" fillId="0" borderId="0" xfId="1624" applyNumberFormat="1" applyFont="1" applyFill="1" applyBorder="1" applyAlignment="1">
      <alignment horizontal="center" vertical="center"/>
    </xf>
    <xf numFmtId="0" fontId="97" fillId="0" borderId="0" xfId="1624" applyFont="1" applyFill="1" applyBorder="1" applyAlignment="1">
      <alignment horizontal="center" vertical="center"/>
    </xf>
    <xf numFmtId="0" fontId="34" fillId="0" borderId="30" xfId="1624" applyFill="1" applyBorder="1" applyAlignment="1">
      <alignment horizontal="center" vertical="center"/>
    </xf>
    <xf numFmtId="0" fontId="34" fillId="0" borderId="0" xfId="1624" applyFill="1" applyAlignment="1">
      <alignment horizontal="center" vertical="center"/>
    </xf>
    <xf numFmtId="0" fontId="34" fillId="0" borderId="61" xfId="1624" applyFont="1" applyFill="1" applyBorder="1" applyAlignment="1">
      <alignment vertical="center"/>
    </xf>
    <xf numFmtId="0" fontId="34" fillId="0" borderId="62" xfId="1624" applyFont="1" applyFill="1" applyBorder="1" applyAlignment="1">
      <alignment vertical="center"/>
    </xf>
    <xf numFmtId="0" fontId="34" fillId="0" borderId="64" xfId="1624" applyFont="1" applyFill="1" applyBorder="1" applyAlignment="1">
      <alignment vertical="center"/>
    </xf>
    <xf numFmtId="0" fontId="0" fillId="0" borderId="0" xfId="1624" applyFont="1" applyFill="1">
      <alignment vertical="center"/>
    </xf>
    <xf numFmtId="0" fontId="34" fillId="0" borderId="73" xfId="1624" applyFont="1" applyFill="1" applyBorder="1" applyAlignment="1">
      <alignment vertical="center"/>
    </xf>
    <xf numFmtId="0" fontId="34" fillId="0" borderId="1" xfId="1624" applyFont="1" applyFill="1" applyBorder="1" applyAlignment="1">
      <alignment horizontal="center" vertical="center"/>
    </xf>
    <xf numFmtId="0" fontId="34" fillId="0" borderId="1" xfId="1624" applyFont="1" applyFill="1" applyBorder="1" applyAlignment="1">
      <alignment vertical="center"/>
    </xf>
    <xf numFmtId="0" fontId="34" fillId="0" borderId="74" xfId="1624" applyFont="1" applyFill="1" applyBorder="1" applyAlignment="1">
      <alignment vertical="center"/>
    </xf>
    <xf numFmtId="203" fontId="34" fillId="0" borderId="1" xfId="1624" applyNumberFormat="1" applyFont="1" applyFill="1" applyBorder="1" applyAlignment="1">
      <alignment vertical="center"/>
    </xf>
    <xf numFmtId="0" fontId="34" fillId="0" borderId="75" xfId="1624" applyFont="1" applyBorder="1" applyAlignment="1">
      <alignment vertical="center"/>
    </xf>
    <xf numFmtId="0" fontId="34" fillId="0" borderId="76" xfId="1624" applyFont="1" applyBorder="1" applyAlignment="1">
      <alignment horizontal="center" vertical="center"/>
    </xf>
    <xf numFmtId="0" fontId="34" fillId="0" borderId="76" xfId="1624" applyFont="1" applyBorder="1" applyAlignment="1">
      <alignment vertical="center"/>
    </xf>
    <xf numFmtId="0" fontId="34" fillId="0" borderId="77" xfId="1624" applyFont="1" applyBorder="1" applyAlignment="1">
      <alignment vertical="center"/>
    </xf>
    <xf numFmtId="203" fontId="34" fillId="0" borderId="76" xfId="1624" applyNumberFormat="1" applyFont="1" applyBorder="1" applyAlignment="1">
      <alignment vertical="center"/>
    </xf>
    <xf numFmtId="0" fontId="0" fillId="0" borderId="0" xfId="1624" applyFont="1">
      <alignment vertical="center"/>
    </xf>
    <xf numFmtId="4" fontId="34" fillId="0" borderId="0" xfId="1624" applyNumberFormat="1" applyFont="1" applyBorder="1" applyAlignment="1">
      <alignment vertical="center"/>
    </xf>
    <xf numFmtId="0" fontId="34" fillId="0" borderId="61" xfId="1624" applyFont="1" applyBorder="1" applyAlignment="1">
      <alignment vertical="center"/>
    </xf>
    <xf numFmtId="0" fontId="34" fillId="0" borderId="62" xfId="1624" applyFont="1" applyBorder="1" applyAlignment="1">
      <alignment vertical="center"/>
    </xf>
    <xf numFmtId="0" fontId="34" fillId="0" borderId="64" xfId="1624" applyFont="1" applyBorder="1" applyAlignment="1">
      <alignment vertical="center"/>
    </xf>
    <xf numFmtId="0" fontId="38" fillId="0" borderId="0" xfId="1624" applyFont="1" applyBorder="1" applyAlignment="1">
      <alignment vertical="center"/>
    </xf>
    <xf numFmtId="0" fontId="65" fillId="0" borderId="0" xfId="1624" applyFont="1" applyBorder="1" applyAlignment="1">
      <alignment vertical="center"/>
    </xf>
    <xf numFmtId="0" fontId="36" fillId="0" borderId="0" xfId="1624" applyFont="1" applyBorder="1" applyAlignment="1">
      <alignment vertical="center"/>
    </xf>
    <xf numFmtId="4" fontId="39" fillId="0" borderId="0" xfId="1624" applyNumberFormat="1" applyFont="1" applyBorder="1" applyAlignment="1">
      <alignment horizontal="center" vertical="center"/>
    </xf>
    <xf numFmtId="4" fontId="39" fillId="0" borderId="0" xfId="1624" applyNumberFormat="1" applyFont="1" applyBorder="1" applyAlignment="1">
      <alignment horizontal="right" vertical="center"/>
    </xf>
    <xf numFmtId="4" fontId="39" fillId="0" borderId="0" xfId="1624" applyNumberFormat="1" applyFont="1" applyBorder="1" applyAlignment="1">
      <alignment horizontal="left" vertical="center"/>
    </xf>
    <xf numFmtId="4" fontId="34" fillId="0" borderId="0" xfId="1624" quotePrefix="1" applyNumberFormat="1" applyFont="1" applyBorder="1" applyAlignment="1">
      <alignment horizontal="center" vertical="center"/>
    </xf>
    <xf numFmtId="4" fontId="34" fillId="0" borderId="0" xfId="1624" applyNumberFormat="1" applyFont="1" applyBorder="1" applyAlignment="1">
      <alignment horizontal="left" vertical="center"/>
    </xf>
    <xf numFmtId="0" fontId="39" fillId="0" borderId="0" xfId="1624" applyFont="1" applyBorder="1" applyAlignment="1">
      <alignment vertical="center"/>
    </xf>
    <xf numFmtId="203" fontId="34" fillId="0" borderId="0" xfId="1624" applyNumberFormat="1" applyFont="1" applyBorder="1" applyAlignment="1">
      <alignment vertical="center"/>
    </xf>
    <xf numFmtId="4" fontId="38" fillId="0" borderId="0" xfId="1624" applyNumberFormat="1" applyFont="1" applyBorder="1" applyAlignment="1">
      <alignment vertical="center"/>
    </xf>
    <xf numFmtId="0" fontId="36" fillId="0" borderId="0" xfId="1627" applyFont="1" applyFill="1">
      <alignment vertical="center"/>
    </xf>
    <xf numFmtId="0" fontId="34" fillId="0" borderId="0" xfId="1627" applyFill="1">
      <alignment vertical="center"/>
    </xf>
    <xf numFmtId="0" fontId="36" fillId="0" borderId="97" xfId="1627" applyFont="1" applyFill="1" applyBorder="1">
      <alignment vertical="center"/>
    </xf>
    <xf numFmtId="0" fontId="65" fillId="0" borderId="76" xfId="1627" applyFont="1" applyFill="1" applyBorder="1" applyAlignment="1">
      <alignment vertical="center"/>
    </xf>
    <xf numFmtId="0" fontId="36" fillId="0" borderId="76" xfId="1627" applyFont="1" applyFill="1" applyBorder="1" applyAlignment="1">
      <alignment vertical="center"/>
    </xf>
    <xf numFmtId="0" fontId="61" fillId="0" borderId="76" xfId="1627" applyFont="1" applyFill="1" applyBorder="1" applyAlignment="1">
      <alignment horizontal="center" vertical="center"/>
    </xf>
    <xf numFmtId="0" fontId="34" fillId="0" borderId="76" xfId="1627" applyFill="1" applyBorder="1">
      <alignment vertical="center"/>
    </xf>
    <xf numFmtId="0" fontId="34" fillId="0" borderId="37" xfId="1627" applyFill="1" applyBorder="1">
      <alignment vertical="center"/>
    </xf>
    <xf numFmtId="0" fontId="34" fillId="0" borderId="46" xfId="1627" applyBorder="1" applyAlignment="1">
      <alignment vertical="center"/>
    </xf>
    <xf numFmtId="0" fontId="34" fillId="0" borderId="47" xfId="1627" applyFont="1" applyBorder="1" applyAlignment="1">
      <alignment vertical="center"/>
    </xf>
    <xf numFmtId="0" fontId="34" fillId="0" borderId="0" xfId="1627">
      <alignment vertical="center"/>
    </xf>
    <xf numFmtId="0" fontId="36" fillId="0" borderId="0" xfId="1628" applyFont="1" applyFill="1" applyAlignment="1">
      <alignment vertical="center"/>
    </xf>
    <xf numFmtId="0" fontId="38" fillId="0" borderId="0" xfId="1627" applyFont="1" applyFill="1">
      <alignment vertical="center"/>
    </xf>
    <xf numFmtId="0" fontId="34" fillId="0" borderId="0" xfId="1627" applyFont="1" applyFill="1" applyBorder="1" applyAlignment="1">
      <alignment vertical="center"/>
    </xf>
    <xf numFmtId="0" fontId="61" fillId="0" borderId="0" xfId="1627" applyFont="1" applyFill="1" applyBorder="1" applyAlignment="1">
      <alignment horizontal="center" vertical="center"/>
    </xf>
    <xf numFmtId="0" fontId="34" fillId="0" borderId="0" xfId="1627" applyFill="1" applyBorder="1">
      <alignment vertical="center"/>
    </xf>
    <xf numFmtId="0" fontId="34" fillId="0" borderId="53" xfId="1627" applyFill="1" applyBorder="1">
      <alignment vertical="center"/>
    </xf>
    <xf numFmtId="0" fontId="38" fillId="0" borderId="67" xfId="1627" applyFont="1" applyFill="1" applyBorder="1" applyAlignment="1">
      <alignment horizontal="center" vertical="center"/>
    </xf>
    <xf numFmtId="0" fontId="38" fillId="0" borderId="0" xfId="1627" applyFont="1" applyFill="1" applyBorder="1" applyAlignment="1">
      <alignment horizontal="center" vertical="center"/>
    </xf>
    <xf numFmtId="191" fontId="39" fillId="0" borderId="55" xfId="1197" applyNumberFormat="1" applyFont="1" applyFill="1" applyBorder="1" applyAlignment="1">
      <alignment vertical="center"/>
    </xf>
    <xf numFmtId="191" fontId="39" fillId="0" borderId="0" xfId="1197" applyNumberFormat="1" applyFont="1" applyFill="1" applyBorder="1" applyAlignment="1">
      <alignment vertical="center"/>
    </xf>
    <xf numFmtId="4" fontId="34" fillId="0" borderId="67" xfId="1627" applyNumberFormat="1" applyFont="1" applyFill="1" applyBorder="1" applyAlignment="1">
      <alignment vertical="center"/>
    </xf>
    <xf numFmtId="4" fontId="34" fillId="0" borderId="0" xfId="1627" applyNumberFormat="1" applyFont="1" applyFill="1" applyBorder="1" applyAlignment="1">
      <alignment horizontal="center" vertical="center"/>
    </xf>
    <xf numFmtId="4" fontId="64" fillId="0" borderId="0" xfId="1627" applyNumberFormat="1" applyFont="1" applyFill="1" applyBorder="1" applyAlignment="1">
      <alignment horizontal="center" vertical="center"/>
    </xf>
    <xf numFmtId="4" fontId="39" fillId="0" borderId="0" xfId="1627" applyNumberFormat="1" applyFont="1" applyFill="1" applyBorder="1" applyAlignment="1">
      <alignment horizontal="left" vertical="center"/>
    </xf>
    <xf numFmtId="0" fontId="38" fillId="0" borderId="0" xfId="1627" applyFont="1" applyFill="1" applyBorder="1" applyAlignment="1">
      <alignment horizontal="centerContinuous" vertical="center"/>
    </xf>
    <xf numFmtId="0" fontId="38" fillId="0" borderId="0" xfId="1627" applyFont="1" applyFill="1" applyBorder="1" applyAlignment="1">
      <alignment horizontal="left" vertical="center"/>
    </xf>
    <xf numFmtId="0" fontId="63" fillId="0" borderId="0" xfId="1627" applyFont="1" applyFill="1" applyBorder="1" applyAlignment="1">
      <alignment vertical="center"/>
    </xf>
    <xf numFmtId="0" fontId="35" fillId="0" borderId="0" xfId="1627" applyFont="1" applyFill="1" applyBorder="1">
      <alignment vertical="center"/>
    </xf>
    <xf numFmtId="0" fontId="34" fillId="0" borderId="0" xfId="1627" applyFont="1" applyFill="1" applyBorder="1" applyAlignment="1">
      <alignment horizontal="center" vertical="center"/>
    </xf>
    <xf numFmtId="191" fontId="39" fillId="0" borderId="56" xfId="1197" applyNumberFormat="1" applyFont="1" applyFill="1" applyBorder="1" applyAlignment="1">
      <alignment vertical="center"/>
    </xf>
    <xf numFmtId="4" fontId="39" fillId="0" borderId="0" xfId="1627" applyNumberFormat="1" applyFont="1" applyFill="1" applyBorder="1" applyAlignment="1">
      <alignment horizontal="center" vertical="center"/>
    </xf>
    <xf numFmtId="4" fontId="34" fillId="0" borderId="0" xfId="1627" applyNumberFormat="1" applyFont="1" applyFill="1" applyBorder="1" applyAlignment="1">
      <alignment vertical="center"/>
    </xf>
    <xf numFmtId="4" fontId="39" fillId="0" borderId="0" xfId="1627" applyNumberFormat="1" applyFont="1" applyFill="1" applyBorder="1" applyAlignment="1">
      <alignment horizontal="center" vertical="top"/>
    </xf>
    <xf numFmtId="0" fontId="38" fillId="0" borderId="0" xfId="1627" applyFont="1" applyFill="1" applyBorder="1" applyAlignment="1">
      <alignment vertical="center"/>
    </xf>
    <xf numFmtId="188" fontId="38" fillId="0" borderId="0" xfId="1627" applyNumberFormat="1" applyFont="1" applyFill="1" applyBorder="1" applyAlignment="1">
      <alignment horizontal="center" vertical="center"/>
    </xf>
    <xf numFmtId="191" fontId="64" fillId="0" borderId="56" xfId="1197" applyNumberFormat="1" applyFont="1" applyFill="1" applyBorder="1" applyAlignment="1">
      <alignment vertical="center"/>
    </xf>
    <xf numFmtId="4" fontId="34" fillId="0" borderId="0" xfId="1627" quotePrefix="1" applyNumberFormat="1" applyFont="1" applyFill="1" applyBorder="1" applyAlignment="1">
      <alignment horizontal="center" vertical="center"/>
    </xf>
    <xf numFmtId="2" fontId="64" fillId="0" borderId="0" xfId="1627" applyNumberFormat="1" applyFont="1" applyFill="1" applyBorder="1" applyAlignment="1">
      <alignment horizontal="center" vertical="center"/>
    </xf>
    <xf numFmtId="201" fontId="34" fillId="0" borderId="0" xfId="1624" applyNumberFormat="1" applyFill="1">
      <alignment vertical="center"/>
    </xf>
    <xf numFmtId="2" fontId="34" fillId="0" borderId="0" xfId="1627" applyNumberFormat="1" applyFont="1" applyFill="1" applyBorder="1" applyAlignment="1">
      <alignment horizontal="center" vertical="center"/>
    </xf>
    <xf numFmtId="0" fontId="34" fillId="0" borderId="0" xfId="1627" applyFont="1" applyFill="1" applyBorder="1" applyAlignment="1">
      <alignment horizontal="right" vertical="center"/>
    </xf>
    <xf numFmtId="204" fontId="34" fillId="0" borderId="0" xfId="1627" applyNumberFormat="1" applyFont="1" applyFill="1" applyBorder="1" applyAlignment="1">
      <alignment horizontal="center" vertical="center"/>
    </xf>
    <xf numFmtId="202" fontId="34" fillId="0" borderId="0" xfId="1627" applyNumberFormat="1" applyFont="1" applyFill="1" applyBorder="1" applyAlignment="1">
      <alignment horizontal="left" vertical="center"/>
    </xf>
    <xf numFmtId="203" fontId="34" fillId="0" borderId="0" xfId="1627" applyNumberFormat="1" applyFont="1" applyFill="1" applyBorder="1" applyAlignment="1">
      <alignment horizontal="center" vertical="center"/>
    </xf>
    <xf numFmtId="0" fontId="34" fillId="0" borderId="67" xfId="1627" applyFont="1" applyFill="1" applyBorder="1" applyAlignment="1">
      <alignment vertical="center"/>
    </xf>
    <xf numFmtId="0" fontId="34" fillId="0" borderId="0" xfId="1627" applyFont="1" applyFill="1" applyBorder="1" applyAlignment="1">
      <alignment horizontal="left" vertical="center"/>
    </xf>
    <xf numFmtId="0" fontId="34" fillId="0" borderId="0" xfId="1627" applyFont="1" applyFill="1" applyAlignment="1">
      <alignment vertical="center"/>
    </xf>
    <xf numFmtId="0" fontId="34" fillId="0" borderId="20" xfId="1627" applyFont="1" applyFill="1" applyBorder="1" applyAlignment="1">
      <alignment horizontal="center" vertical="center"/>
    </xf>
    <xf numFmtId="4" fontId="34" fillId="0" borderId="71" xfId="1627" applyNumberFormat="1" applyFont="1" applyFill="1" applyBorder="1" applyAlignment="1">
      <alignment vertical="center"/>
    </xf>
    <xf numFmtId="0" fontId="34" fillId="0" borderId="71" xfId="1627" applyFont="1" applyFill="1" applyBorder="1" applyAlignment="1">
      <alignment vertical="center"/>
    </xf>
    <xf numFmtId="0" fontId="34" fillId="0" borderId="72" xfId="1627" applyFont="1" applyFill="1" applyBorder="1" applyAlignment="1">
      <alignment horizontal="left" vertical="center"/>
    </xf>
    <xf numFmtId="1" fontId="64" fillId="0" borderId="0" xfId="1627" applyNumberFormat="1" applyFont="1" applyFill="1" applyBorder="1" applyAlignment="1">
      <alignment horizontal="left" vertical="center"/>
    </xf>
    <xf numFmtId="12" fontId="34" fillId="0" borderId="0" xfId="1627" applyNumberFormat="1" applyFill="1" applyAlignment="1">
      <alignment horizontal="left" vertical="center"/>
    </xf>
    <xf numFmtId="12" fontId="34" fillId="0" borderId="0" xfId="1627" applyNumberFormat="1" applyFont="1" applyFill="1" applyAlignment="1">
      <alignment horizontal="center" vertical="center"/>
    </xf>
    <xf numFmtId="12" fontId="34" fillId="0" borderId="0" xfId="1627" applyNumberFormat="1" applyFont="1" applyFill="1" applyAlignment="1">
      <alignment horizontal="left" vertical="center"/>
    </xf>
    <xf numFmtId="0" fontId="34" fillId="0" borderId="71" xfId="1627" applyNumberFormat="1" applyFont="1" applyFill="1" applyBorder="1" applyAlignment="1">
      <alignment vertical="center"/>
    </xf>
    <xf numFmtId="9" fontId="95" fillId="0" borderId="0" xfId="1083" applyFont="1" applyBorder="1" applyAlignment="1">
      <alignment horizontal="left" vertical="center"/>
    </xf>
    <xf numFmtId="9" fontId="98" fillId="0" borderId="72" xfId="1627" applyNumberFormat="1" applyFont="1" applyFill="1" applyBorder="1" applyAlignment="1">
      <alignment horizontal="left" vertical="center"/>
    </xf>
    <xf numFmtId="191" fontId="39" fillId="0" borderId="58" xfId="1197" applyNumberFormat="1" applyFont="1" applyFill="1" applyBorder="1" applyAlignment="1">
      <alignment vertical="center"/>
    </xf>
    <xf numFmtId="0" fontId="34" fillId="0" borderId="71" xfId="1627" applyFont="1" applyFill="1" applyBorder="1" applyAlignment="1">
      <alignment horizontal="center" vertical="center"/>
    </xf>
    <xf numFmtId="0" fontId="34" fillId="0" borderId="71" xfId="1627" applyFont="1" applyFill="1" applyBorder="1" applyAlignment="1">
      <alignment horizontal="left" vertical="center"/>
    </xf>
    <xf numFmtId="0" fontId="34" fillId="0" borderId="72" xfId="1627" applyFont="1" applyFill="1" applyBorder="1" applyAlignment="1">
      <alignment horizontal="center" vertical="center"/>
    </xf>
    <xf numFmtId="0" fontId="65" fillId="0" borderId="0" xfId="1627" applyFont="1" applyFill="1" applyBorder="1" applyAlignment="1">
      <alignment horizontal="center" vertical="center"/>
    </xf>
    <xf numFmtId="0" fontId="38" fillId="0" borderId="0" xfId="1627" applyFont="1" applyFill="1" applyBorder="1" applyAlignment="1">
      <alignment horizontal="right" vertical="center"/>
    </xf>
    <xf numFmtId="0" fontId="96" fillId="0" borderId="0" xfId="1627" applyFont="1" applyFill="1" applyBorder="1" applyAlignment="1">
      <alignment vertical="center"/>
    </xf>
    <xf numFmtId="4" fontId="34" fillId="0" borderId="99" xfId="1627" applyNumberFormat="1" applyFont="1" applyFill="1" applyBorder="1" applyAlignment="1">
      <alignment vertical="center"/>
    </xf>
    <xf numFmtId="4" fontId="34" fillId="0" borderId="1" xfId="1627" applyNumberFormat="1" applyFont="1" applyFill="1" applyBorder="1" applyAlignment="1">
      <alignment horizontal="left" vertical="center"/>
    </xf>
    <xf numFmtId="4" fontId="34" fillId="0" borderId="1" xfId="1627" applyNumberFormat="1" applyFont="1" applyFill="1" applyBorder="1" applyAlignment="1">
      <alignment vertical="center"/>
    </xf>
    <xf numFmtId="4" fontId="34" fillId="0" borderId="1" xfId="1627" applyNumberFormat="1" applyFont="1" applyFill="1" applyBorder="1" applyAlignment="1">
      <alignment horizontal="center" vertical="center"/>
    </xf>
    <xf numFmtId="0" fontId="34" fillId="0" borderId="1" xfId="1627" applyFont="1" applyFill="1" applyBorder="1" applyAlignment="1">
      <alignment vertical="center"/>
    </xf>
    <xf numFmtId="0" fontId="65" fillId="0" borderId="1" xfId="1627" applyFont="1" applyFill="1" applyBorder="1" applyAlignment="1">
      <alignment horizontal="center" vertical="center"/>
    </xf>
    <xf numFmtId="0" fontId="35" fillId="0" borderId="1" xfId="1627" applyFont="1" applyFill="1" applyBorder="1">
      <alignment vertical="center"/>
    </xf>
    <xf numFmtId="0" fontId="34" fillId="0" borderId="1" xfId="1627" applyFill="1" applyBorder="1">
      <alignment vertical="center"/>
    </xf>
    <xf numFmtId="0" fontId="38" fillId="0" borderId="1" xfId="1627" applyFont="1" applyFill="1" applyBorder="1" applyAlignment="1">
      <alignment horizontal="right" vertical="center"/>
    </xf>
    <xf numFmtId="0" fontId="38" fillId="0" borderId="1" xfId="1627" applyFont="1" applyFill="1" applyBorder="1" applyAlignment="1">
      <alignment horizontal="center" vertical="center"/>
    </xf>
    <xf numFmtId="0" fontId="34" fillId="0" borderId="1" xfId="1627" applyFont="1" applyFill="1" applyBorder="1" applyAlignment="1">
      <alignment horizontal="left" vertical="center"/>
    </xf>
    <xf numFmtId="203" fontId="34" fillId="0" borderId="1" xfId="1627" applyNumberFormat="1" applyFont="1" applyFill="1" applyBorder="1" applyAlignment="1">
      <alignment horizontal="center" vertical="center"/>
    </xf>
    <xf numFmtId="0" fontId="96" fillId="0" borderId="1" xfId="1627" applyFont="1" applyFill="1" applyBorder="1" applyAlignment="1">
      <alignment vertical="center"/>
    </xf>
    <xf numFmtId="0" fontId="34" fillId="0" borderId="88" xfId="1627" applyFill="1" applyBorder="1">
      <alignment vertical="center"/>
    </xf>
    <xf numFmtId="197" fontId="34" fillId="0" borderId="0" xfId="1627" applyNumberFormat="1" applyFont="1" applyFill="1" applyBorder="1" applyAlignment="1">
      <alignment horizontal="center" vertical="center"/>
    </xf>
    <xf numFmtId="0" fontId="69" fillId="0" borderId="0" xfId="1627" applyFont="1" applyFill="1" applyBorder="1" applyAlignment="1">
      <alignment vertical="center"/>
    </xf>
    <xf numFmtId="207" fontId="34" fillId="0" borderId="0" xfId="1627" applyNumberFormat="1" applyFont="1" applyFill="1" applyBorder="1" applyAlignment="1">
      <alignment horizontal="center" vertical="center"/>
    </xf>
    <xf numFmtId="0" fontId="34" fillId="0" borderId="67" xfId="1627" applyFont="1" applyFill="1" applyBorder="1" applyAlignment="1">
      <alignment horizontal="center" vertical="center"/>
    </xf>
    <xf numFmtId="203" fontId="34" fillId="0" borderId="0" xfId="1627" applyNumberFormat="1" applyFont="1" applyFill="1" applyBorder="1" applyAlignment="1">
      <alignment vertical="center"/>
    </xf>
    <xf numFmtId="191" fontId="64" fillId="0" borderId="57" xfId="1197" applyNumberFormat="1" applyFont="1" applyFill="1" applyBorder="1" applyAlignment="1">
      <alignment vertical="center"/>
    </xf>
    <xf numFmtId="203" fontId="38" fillId="0" borderId="0" xfId="1627" applyNumberFormat="1" applyFont="1" applyFill="1" applyBorder="1" applyAlignment="1">
      <alignment horizontal="center" vertical="center"/>
    </xf>
    <xf numFmtId="0" fontId="97" fillId="0" borderId="0" xfId="1627" applyFont="1" applyFill="1" applyBorder="1" applyAlignment="1">
      <alignment horizontal="center" vertical="center"/>
    </xf>
    <xf numFmtId="191" fontId="39" fillId="0" borderId="59" xfId="1197" applyNumberFormat="1" applyFont="1" applyFill="1" applyBorder="1" applyAlignment="1">
      <alignment vertical="center"/>
    </xf>
    <xf numFmtId="0" fontId="39" fillId="0" borderId="0" xfId="1627" applyFont="1" applyFill="1" applyAlignment="1">
      <alignment vertical="center"/>
    </xf>
    <xf numFmtId="0" fontId="64" fillId="0" borderId="0" xfId="1627" applyFont="1" applyFill="1" applyAlignment="1">
      <alignment vertical="center"/>
    </xf>
    <xf numFmtId="0" fontId="34" fillId="0" borderId="30" xfId="1627" applyFill="1" applyBorder="1" applyAlignment="1">
      <alignment horizontal="center" vertical="center"/>
    </xf>
    <xf numFmtId="0" fontId="34" fillId="0" borderId="46" xfId="1627" applyFill="1" applyBorder="1" applyAlignment="1">
      <alignment horizontal="center" vertical="center"/>
    </xf>
    <xf numFmtId="0" fontId="34" fillId="0" borderId="67" xfId="1627" applyFill="1" applyBorder="1" applyAlignment="1">
      <alignment horizontal="center" vertical="center"/>
    </xf>
    <xf numFmtId="0" fontId="34" fillId="0" borderId="0" xfId="1627" applyFill="1" applyAlignment="1">
      <alignment horizontal="center" vertical="center"/>
    </xf>
    <xf numFmtId="191" fontId="39" fillId="0" borderId="30" xfId="1197" applyNumberFormat="1" applyFont="1" applyFill="1" applyBorder="1" applyAlignment="1">
      <alignment horizontal="center" vertical="center"/>
    </xf>
    <xf numFmtId="191" fontId="39" fillId="0" borderId="46" xfId="1197" applyNumberFormat="1" applyFont="1" applyFill="1" applyBorder="1" applyAlignment="1">
      <alignment horizontal="center" vertical="center"/>
    </xf>
    <xf numFmtId="191" fontId="39" fillId="0" borderId="67" xfId="1197" applyNumberFormat="1" applyFont="1" applyFill="1" applyBorder="1" applyAlignment="1">
      <alignment horizontal="center" vertical="center"/>
    </xf>
    <xf numFmtId="191" fontId="39" fillId="0" borderId="0" xfId="1197" applyNumberFormat="1" applyFont="1" applyFill="1" applyBorder="1" applyAlignment="1">
      <alignment horizontal="center" vertical="center"/>
    </xf>
    <xf numFmtId="0" fontId="34" fillId="0" borderId="67" xfId="1627" applyFont="1" applyFill="1" applyBorder="1" applyAlignment="1">
      <alignment horizontal="left" vertical="center"/>
    </xf>
    <xf numFmtId="4" fontId="38" fillId="0" borderId="0" xfId="1627" applyNumberFormat="1" applyFont="1" applyFill="1" applyBorder="1" applyAlignment="1">
      <alignment vertical="center"/>
    </xf>
    <xf numFmtId="0" fontId="34" fillId="0" borderId="99" xfId="1627" applyFont="1" applyFill="1" applyBorder="1" applyAlignment="1">
      <alignment vertical="center"/>
    </xf>
    <xf numFmtId="0" fontId="34" fillId="0" borderId="1" xfId="1627" applyFont="1" applyFill="1" applyBorder="1" applyAlignment="1">
      <alignment horizontal="right" vertical="center"/>
    </xf>
    <xf numFmtId="0" fontId="63" fillId="0" borderId="1" xfId="1627" applyFont="1" applyFill="1" applyBorder="1" applyAlignment="1">
      <alignment horizontal="right" vertical="center"/>
    </xf>
    <xf numFmtId="0" fontId="63" fillId="0" borderId="1" xfId="1627" applyFont="1" applyFill="1" applyBorder="1" applyAlignment="1">
      <alignment vertical="center"/>
    </xf>
    <xf numFmtId="0" fontId="34" fillId="0" borderId="76" xfId="1627" applyFont="1" applyBorder="1" applyAlignment="1">
      <alignment vertical="center"/>
    </xf>
    <xf numFmtId="0" fontId="35" fillId="0" borderId="76" xfId="1627" applyFont="1" applyBorder="1">
      <alignment vertical="center"/>
    </xf>
    <xf numFmtId="0" fontId="34" fillId="0" borderId="76" xfId="1627" applyBorder="1">
      <alignment vertical="center"/>
    </xf>
    <xf numFmtId="0" fontId="34" fillId="0" borderId="0" xfId="1627" applyFont="1" applyBorder="1" applyAlignment="1">
      <alignment vertical="center"/>
    </xf>
    <xf numFmtId="0" fontId="34" fillId="0" borderId="0" xfId="1627" applyBorder="1">
      <alignment vertical="center"/>
    </xf>
    <xf numFmtId="0" fontId="35" fillId="0" borderId="0" xfId="1627" applyFont="1" applyBorder="1">
      <alignment vertical="center"/>
    </xf>
    <xf numFmtId="0" fontId="35" fillId="0" borderId="0" xfId="1627" applyFont="1">
      <alignment vertical="center"/>
    </xf>
    <xf numFmtId="0" fontId="34" fillId="0" borderId="0" xfId="1627" applyFont="1" applyAlignment="1">
      <alignment vertical="center"/>
    </xf>
    <xf numFmtId="0" fontId="7" fillId="0" borderId="0" xfId="0" applyFont="1" applyBorder="1" applyAlignment="1">
      <alignment horizontal="center"/>
    </xf>
    <xf numFmtId="176" fontId="9" fillId="0" borderId="0" xfId="0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12" fillId="0" borderId="39" xfId="0" applyFont="1" applyFill="1" applyBorder="1" applyAlignment="1">
      <alignment horizontal="center" vertical="center"/>
    </xf>
    <xf numFmtId="0" fontId="12" fillId="0" borderId="82" xfId="0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 wrapText="1"/>
    </xf>
    <xf numFmtId="0" fontId="11" fillId="0" borderId="25" xfId="0" applyNumberFormat="1" applyFont="1" applyFill="1" applyBorder="1" applyAlignment="1">
      <alignment horizontal="center" vertical="center" wrapText="1"/>
    </xf>
    <xf numFmtId="0" fontId="11" fillId="0" borderId="80" xfId="0" applyNumberFormat="1" applyFont="1" applyFill="1" applyBorder="1" applyAlignment="1">
      <alignment horizontal="center" vertical="center"/>
    </xf>
    <xf numFmtId="0" fontId="11" fillId="0" borderId="83" xfId="0" applyNumberFormat="1" applyFont="1" applyFill="1" applyBorder="1" applyAlignment="1">
      <alignment horizontal="center" vertical="center"/>
    </xf>
    <xf numFmtId="0" fontId="11" fillId="0" borderId="45" xfId="0" applyNumberFormat="1" applyFont="1" applyFill="1" applyBorder="1" applyAlignment="1">
      <alignment horizontal="center" vertical="center"/>
    </xf>
    <xf numFmtId="0" fontId="11" fillId="0" borderId="39" xfId="0" applyNumberFormat="1" applyFont="1" applyFill="1" applyBorder="1" applyAlignment="1">
      <alignment horizontal="center" vertical="center" wrapText="1"/>
    </xf>
    <xf numFmtId="0" fontId="11" fillId="0" borderId="82" xfId="0" applyNumberFormat="1" applyFont="1" applyFill="1" applyBorder="1" applyAlignment="1">
      <alignment horizontal="center" vertical="center"/>
    </xf>
    <xf numFmtId="0" fontId="11" fillId="0" borderId="28" xfId="0" applyNumberFormat="1" applyFont="1" applyFill="1" applyBorder="1" applyAlignment="1">
      <alignment horizontal="center" vertical="center"/>
    </xf>
    <xf numFmtId="0" fontId="11" fillId="0" borderId="98" xfId="0" applyNumberFormat="1" applyFont="1" applyFill="1" applyBorder="1" applyAlignment="1">
      <alignment horizontal="center" vertical="center"/>
    </xf>
    <xf numFmtId="0" fontId="11" fillId="0" borderId="35" xfId="0" applyNumberFormat="1" applyFont="1" applyFill="1" applyBorder="1" applyAlignment="1">
      <alignment horizontal="center" vertical="center"/>
    </xf>
    <xf numFmtId="0" fontId="11" fillId="0" borderId="71" xfId="0" applyNumberFormat="1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/>
    </xf>
    <xf numFmtId="0" fontId="11" fillId="0" borderId="90" xfId="0" applyNumberFormat="1" applyFont="1" applyFill="1" applyBorder="1" applyAlignment="1">
      <alignment horizontal="center" vertical="center"/>
    </xf>
    <xf numFmtId="0" fontId="11" fillId="0" borderId="96" xfId="0" applyNumberFormat="1" applyFont="1" applyFill="1" applyBorder="1" applyAlignment="1">
      <alignment horizontal="center" vertical="center"/>
    </xf>
    <xf numFmtId="0" fontId="11" fillId="0" borderId="36" xfId="0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3" xfId="0" applyNumberFormat="1" applyFont="1" applyFill="1" applyBorder="1" applyAlignment="1">
      <alignment horizontal="center" vertical="center"/>
    </xf>
    <xf numFmtId="0" fontId="11" fillId="0" borderId="19" xfId="0" applyNumberFormat="1" applyFont="1" applyFill="1" applyBorder="1" applyAlignment="1">
      <alignment horizontal="center" vertical="center" wrapText="1"/>
    </xf>
    <xf numFmtId="0" fontId="11" fillId="0" borderId="83" xfId="0" applyNumberFormat="1" applyFont="1" applyFill="1" applyBorder="1" applyAlignment="1">
      <alignment horizontal="center" vertical="center" wrapText="1"/>
    </xf>
    <xf numFmtId="0" fontId="11" fillId="0" borderId="97" xfId="0" applyNumberFormat="1" applyFont="1" applyFill="1" applyBorder="1" applyAlignment="1">
      <alignment horizontal="center" vertical="center" wrapText="1"/>
    </xf>
    <xf numFmtId="0" fontId="11" fillId="0" borderId="76" xfId="0" applyNumberFormat="1" applyFont="1" applyFill="1" applyBorder="1" applyAlignment="1">
      <alignment horizontal="center" vertical="center" wrapText="1"/>
    </xf>
    <xf numFmtId="0" fontId="11" fillId="0" borderId="37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15" xfId="0" applyNumberFormat="1" applyFont="1" applyFill="1" applyBorder="1" applyAlignment="1">
      <alignment horizontal="center" vertical="center" wrapText="1"/>
    </xf>
    <xf numFmtId="0" fontId="11" fillId="0" borderId="31" xfId="0" applyNumberFormat="1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vertical="center"/>
    </xf>
    <xf numFmtId="0" fontId="11" fillId="0" borderId="92" xfId="0" applyFont="1" applyFill="1" applyBorder="1" applyAlignment="1">
      <alignment vertical="center"/>
    </xf>
    <xf numFmtId="0" fontId="11" fillId="0" borderId="65" xfId="0" applyFont="1" applyFill="1" applyBorder="1" applyAlignment="1">
      <alignment horizontal="left" vertical="center"/>
    </xf>
    <xf numFmtId="0" fontId="11" fillId="0" borderId="86" xfId="0" applyFont="1" applyFill="1" applyBorder="1" applyAlignment="1">
      <alignment horizontal="left" vertical="center"/>
    </xf>
    <xf numFmtId="0" fontId="11" fillId="0" borderId="67" xfId="0" applyFont="1" applyFill="1" applyBorder="1" applyAlignment="1">
      <alignment horizontal="left" vertical="center"/>
    </xf>
    <xf numFmtId="0" fontId="11" fillId="0" borderId="93" xfId="0" applyFont="1" applyFill="1" applyBorder="1" applyAlignment="1">
      <alignment horizontal="left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83" xfId="0" applyFont="1" applyFill="1" applyBorder="1" applyAlignment="1">
      <alignment horizontal="center" vertical="center"/>
    </xf>
    <xf numFmtId="0" fontId="11" fillId="0" borderId="99" xfId="0" applyFont="1" applyFill="1" applyBorder="1" applyAlignment="1">
      <alignment horizontal="left" vertical="center"/>
    </xf>
    <xf numFmtId="0" fontId="11" fillId="0" borderId="100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left" vertical="center"/>
    </xf>
    <xf numFmtId="0" fontId="11" fillId="0" borderId="9" xfId="0" applyFont="1" applyFill="1" applyBorder="1" applyAlignment="1">
      <alignment horizontal="left" vertical="center"/>
    </xf>
    <xf numFmtId="0" fontId="11" fillId="0" borderId="92" xfId="0" applyFont="1" applyFill="1" applyBorder="1" applyAlignment="1">
      <alignment horizontal="left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7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/>
    </xf>
    <xf numFmtId="0" fontId="11" fillId="0" borderId="15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90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9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81" xfId="0" applyFont="1" applyFill="1" applyBorder="1" applyAlignment="1">
      <alignment horizontal="center" vertical="center"/>
    </xf>
    <xf numFmtId="0" fontId="11" fillId="0" borderId="89" xfId="0" applyFont="1" applyFill="1" applyBorder="1" applyAlignment="1">
      <alignment horizontal="center" vertical="center"/>
    </xf>
    <xf numFmtId="0" fontId="11" fillId="0" borderId="11" xfId="0" applyNumberFormat="1" applyFont="1" applyFill="1" applyBorder="1" applyAlignment="1">
      <alignment horizontal="center" vertical="center"/>
    </xf>
    <xf numFmtId="0" fontId="11" fillId="0" borderId="79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9" xfId="0" quotePrefix="1" applyFont="1" applyFill="1" applyBorder="1" applyAlignment="1">
      <alignment horizontal="center" vertical="center"/>
    </xf>
    <xf numFmtId="0" fontId="11" fillId="0" borderId="28" xfId="0" quotePrefix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90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0" fontId="11" fillId="0" borderId="37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/>
    </xf>
    <xf numFmtId="0" fontId="11" fillId="0" borderId="97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/>
    </xf>
    <xf numFmtId="0" fontId="11" fillId="0" borderId="67" xfId="0" applyFont="1" applyFill="1" applyBorder="1" applyAlignment="1">
      <alignment horizontal="center" vertical="center"/>
    </xf>
    <xf numFmtId="0" fontId="11" fillId="0" borderId="53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92" xfId="0" applyFont="1" applyFill="1" applyBorder="1" applyAlignment="1">
      <alignment horizontal="center" vertical="center"/>
    </xf>
    <xf numFmtId="0" fontId="11" fillId="0" borderId="85" xfId="0" applyFont="1" applyFill="1" applyBorder="1" applyAlignment="1">
      <alignment horizontal="center" vertical="center"/>
    </xf>
    <xf numFmtId="0" fontId="11" fillId="0" borderId="79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8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82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87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192" fontId="11" fillId="0" borderId="82" xfId="1196" applyNumberFormat="1" applyFont="1" applyFill="1" applyBorder="1" applyAlignment="1">
      <alignment horizontal="center" vertical="center"/>
    </xf>
    <xf numFmtId="192" fontId="11" fillId="0" borderId="32" xfId="1196" applyNumberFormat="1" applyFont="1" applyFill="1" applyBorder="1" applyAlignment="1">
      <alignment horizontal="center" vertical="center"/>
    </xf>
    <xf numFmtId="189" fontId="11" fillId="0" borderId="53" xfId="1196" applyNumberFormat="1" applyFont="1" applyFill="1" applyBorder="1" applyAlignment="1">
      <alignment horizontal="center" vertical="center"/>
    </xf>
    <xf numFmtId="189" fontId="11" fillId="0" borderId="88" xfId="1196" applyNumberFormat="1" applyFont="1" applyFill="1" applyBorder="1" applyAlignment="1">
      <alignment horizontal="center" vertical="center"/>
    </xf>
    <xf numFmtId="192" fontId="11" fillId="0" borderId="92" xfId="1196" applyNumberFormat="1" applyFont="1" applyFill="1" applyBorder="1" applyAlignment="1">
      <alignment horizontal="center" vertical="center"/>
    </xf>
    <xf numFmtId="192" fontId="11" fillId="0" borderId="85" xfId="1196" applyNumberFormat="1" applyFont="1" applyFill="1" applyBorder="1" applyAlignment="1">
      <alignment horizontal="center" vertical="center"/>
    </xf>
    <xf numFmtId="189" fontId="11" fillId="0" borderId="83" xfId="1196" applyNumberFormat="1" applyFont="1" applyFill="1" applyBorder="1" applyAlignment="1">
      <alignment horizontal="center" vertical="center"/>
    </xf>
    <xf numFmtId="189" fontId="11" fillId="0" borderId="45" xfId="1196" applyNumberFormat="1" applyFont="1" applyFill="1" applyBorder="1" applyAlignment="1">
      <alignment horizontal="center" vertical="center"/>
    </xf>
    <xf numFmtId="189" fontId="11" fillId="0" borderId="85" xfId="1196" applyNumberFormat="1" applyFont="1" applyFill="1" applyBorder="1" applyAlignment="1">
      <alignment horizontal="center" vertical="center"/>
    </xf>
    <xf numFmtId="0" fontId="11" fillId="0" borderId="78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97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192" fontId="11" fillId="0" borderId="83" xfId="1196" applyNumberFormat="1" applyFont="1" applyFill="1" applyBorder="1" applyAlignment="1">
      <alignment horizontal="center" vertical="center"/>
    </xf>
    <xf numFmtId="192" fontId="11" fillId="0" borderId="45" xfId="1196" applyNumberFormat="1" applyFont="1" applyFill="1" applyBorder="1" applyAlignment="1">
      <alignment horizontal="center" vertical="center"/>
    </xf>
    <xf numFmtId="189" fontId="11" fillId="0" borderId="67" xfId="1196" applyNumberFormat="1" applyFont="1" applyFill="1" applyBorder="1" applyAlignment="1">
      <alignment horizontal="center" vertical="center"/>
    </xf>
    <xf numFmtId="189" fontId="11" fillId="0" borderId="99" xfId="1196" applyNumberFormat="1" applyFont="1" applyFill="1" applyBorder="1" applyAlignment="1">
      <alignment horizontal="center" vertical="center"/>
    </xf>
    <xf numFmtId="192" fontId="11" fillId="0" borderId="84" xfId="1196" applyNumberFormat="1" applyFont="1" applyFill="1" applyBorder="1" applyAlignment="1">
      <alignment horizontal="center" vertical="center"/>
    </xf>
    <xf numFmtId="192" fontId="11" fillId="0" borderId="14" xfId="1196" applyNumberFormat="1" applyFont="1" applyFill="1" applyBorder="1" applyAlignment="1">
      <alignment horizontal="center" vertical="center"/>
    </xf>
    <xf numFmtId="189" fontId="11" fillId="0" borderId="82" xfId="1196" applyNumberFormat="1" applyFont="1" applyFill="1" applyBorder="1" applyAlignment="1">
      <alignment horizontal="center" vertical="center"/>
    </xf>
    <xf numFmtId="189" fontId="11" fillId="0" borderId="32" xfId="1196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 wrapText="1"/>
    </xf>
    <xf numFmtId="0" fontId="11" fillId="0" borderId="85" xfId="0" applyFont="1" applyFill="1" applyBorder="1" applyAlignment="1">
      <alignment horizontal="center" vertical="center" wrapText="1"/>
    </xf>
    <xf numFmtId="0" fontId="11" fillId="0" borderId="81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92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1" fillId="0" borderId="9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0" fontId="11" fillId="0" borderId="100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80" xfId="0" applyFont="1" applyBorder="1" applyAlignment="1">
      <alignment horizontal="center" vertical="center"/>
    </xf>
    <xf numFmtId="0" fontId="11" fillId="0" borderId="22" xfId="0" applyNumberFormat="1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 wrapText="1"/>
    </xf>
    <xf numFmtId="0" fontId="11" fillId="0" borderId="24" xfId="0" applyNumberFormat="1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186" fontId="11" fillId="0" borderId="79" xfId="0" applyNumberFormat="1" applyFont="1" applyFill="1" applyBorder="1" applyAlignment="1">
      <alignment horizontal="right" vertical="center"/>
    </xf>
    <xf numFmtId="186" fontId="11" fillId="0" borderId="14" xfId="0" applyNumberFormat="1" applyFont="1" applyFill="1" applyBorder="1" applyAlignment="1">
      <alignment horizontal="right" vertical="center"/>
    </xf>
    <xf numFmtId="0" fontId="11" fillId="0" borderId="81" xfId="0" applyFont="1" applyBorder="1" applyAlignment="1">
      <alignment horizontal="center" vertical="center" wrapText="1"/>
    </xf>
    <xf numFmtId="0" fontId="11" fillId="0" borderId="89" xfId="0" applyFont="1" applyBorder="1" applyAlignment="1">
      <alignment horizontal="center" vertical="center"/>
    </xf>
    <xf numFmtId="0" fontId="11" fillId="0" borderId="87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/>
    </xf>
    <xf numFmtId="0" fontId="11" fillId="0" borderId="36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left" vertical="center"/>
    </xf>
    <xf numFmtId="0" fontId="11" fillId="0" borderId="85" xfId="0" applyFont="1" applyFill="1" applyBorder="1" applyAlignment="1">
      <alignment horizontal="left" vertical="center"/>
    </xf>
    <xf numFmtId="0" fontId="11" fillId="0" borderId="38" xfId="0" applyFont="1" applyFill="1" applyBorder="1" applyAlignment="1">
      <alignment horizontal="left" vertical="center" wrapText="1"/>
    </xf>
    <xf numFmtId="0" fontId="11" fillId="0" borderId="85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center"/>
    </xf>
    <xf numFmtId="0" fontId="11" fillId="0" borderId="92" xfId="0" applyFont="1" applyFill="1" applyBorder="1" applyAlignment="1">
      <alignment horizontal="left" vertical="center" wrapText="1"/>
    </xf>
    <xf numFmtId="195" fontId="17" fillId="0" borderId="26" xfId="1205" applyNumberFormat="1" applyFont="1" applyFill="1" applyBorder="1" applyAlignment="1">
      <alignment horizontal="center" vertical="center"/>
    </xf>
    <xf numFmtId="195" fontId="17" fillId="0" borderId="5" xfId="1205" applyNumberFormat="1" applyFont="1" applyFill="1" applyBorder="1" applyAlignment="1">
      <alignment horizontal="center" vertical="center"/>
    </xf>
    <xf numFmtId="191" fontId="17" fillId="0" borderId="5" xfId="1205" applyNumberFormat="1" applyFont="1" applyFill="1" applyBorder="1" applyAlignment="1">
      <alignment horizontal="center" vertical="center"/>
    </xf>
    <xf numFmtId="49" fontId="17" fillId="0" borderId="26" xfId="1205" applyNumberFormat="1" applyFont="1" applyFill="1" applyBorder="1" applyAlignment="1">
      <alignment horizontal="center" vertical="center"/>
    </xf>
    <xf numFmtId="49" fontId="17" fillId="0" borderId="5" xfId="1205" applyNumberFormat="1" applyFont="1" applyFill="1" applyBorder="1" applyAlignment="1">
      <alignment horizontal="center" vertical="center"/>
    </xf>
    <xf numFmtId="49" fontId="17" fillId="0" borderId="27" xfId="1205" applyNumberFormat="1" applyFont="1" applyFill="1" applyBorder="1" applyAlignment="1">
      <alignment horizontal="center" vertical="center"/>
    </xf>
    <xf numFmtId="41" fontId="17" fillId="0" borderId="26" xfId="1205" applyFont="1" applyFill="1" applyBorder="1" applyAlignment="1">
      <alignment horizontal="center" vertical="center"/>
    </xf>
    <xf numFmtId="41" fontId="17" fillId="0" borderId="5" xfId="1205" applyFont="1" applyFill="1" applyBorder="1" applyAlignment="1">
      <alignment horizontal="center" vertical="center"/>
    </xf>
    <xf numFmtId="41" fontId="17" fillId="0" borderId="27" xfId="1205" applyFont="1" applyFill="1" applyBorder="1" applyAlignment="1">
      <alignment horizontal="center" vertical="center"/>
    </xf>
    <xf numFmtId="191" fontId="17" fillId="0" borderId="26" xfId="1205" applyNumberFormat="1" applyFont="1" applyFill="1" applyBorder="1" applyAlignment="1">
      <alignment horizontal="center" vertical="center"/>
    </xf>
    <xf numFmtId="191" fontId="17" fillId="0" borderId="27" xfId="1205" applyNumberFormat="1" applyFont="1" applyFill="1" applyBorder="1" applyAlignment="1">
      <alignment horizontal="center" vertical="center"/>
    </xf>
    <xf numFmtId="195" fontId="17" fillId="0" borderId="5" xfId="1205" applyNumberFormat="1" applyFont="1" applyFill="1" applyBorder="1" applyAlignment="1">
      <alignment horizontal="center" vertical="center" wrapText="1"/>
    </xf>
    <xf numFmtId="0" fontId="29" fillId="0" borderId="0" xfId="1626" applyFont="1" applyAlignment="1">
      <alignment horizontal="center" vertical="center"/>
    </xf>
    <xf numFmtId="0" fontId="11" fillId="0" borderId="97" xfId="1626" applyFont="1" applyBorder="1" applyAlignment="1">
      <alignment horizontal="center" vertical="center"/>
    </xf>
    <xf numFmtId="0" fontId="11" fillId="0" borderId="37" xfId="1626" applyFont="1" applyBorder="1" applyAlignment="1">
      <alignment horizontal="center" vertical="center"/>
    </xf>
    <xf numFmtId="0" fontId="11" fillId="0" borderId="99" xfId="1626" applyFont="1" applyBorder="1" applyAlignment="1">
      <alignment horizontal="center" vertical="center"/>
    </xf>
    <xf numFmtId="0" fontId="11" fillId="0" borderId="88" xfId="1626" applyFont="1" applyBorder="1" applyAlignment="1">
      <alignment horizontal="center" vertical="center"/>
    </xf>
    <xf numFmtId="188" fontId="11" fillId="0" borderId="66" xfId="1626" applyNumberFormat="1" applyFont="1" applyBorder="1" applyAlignment="1">
      <alignment horizontal="center" vertical="center"/>
    </xf>
    <xf numFmtId="0" fontId="11" fillId="0" borderId="16" xfId="1626" applyFont="1" applyBorder="1" applyAlignment="1">
      <alignment horizontal="center" vertical="center"/>
    </xf>
    <xf numFmtId="0" fontId="11" fillId="0" borderId="97" xfId="1626" applyFont="1" applyBorder="1" applyAlignment="1">
      <alignment horizontal="center" vertical="center" wrapText="1"/>
    </xf>
    <xf numFmtId="0" fontId="11" fillId="0" borderId="15" xfId="1626" applyFont="1" applyBorder="1" applyAlignment="1">
      <alignment horizontal="center" vertical="center"/>
    </xf>
    <xf numFmtId="0" fontId="11" fillId="0" borderId="31" xfId="1626" applyFont="1" applyBorder="1" applyAlignment="1">
      <alignment horizontal="center" vertical="center"/>
    </xf>
    <xf numFmtId="2" fontId="11" fillId="0" borderId="65" xfId="1626" applyNumberFormat="1" applyFont="1" applyBorder="1" applyAlignment="1">
      <alignment horizontal="center" vertical="center"/>
    </xf>
    <xf numFmtId="2" fontId="11" fillId="0" borderId="66" xfId="1626" applyNumberFormat="1" applyFont="1" applyBorder="1" applyAlignment="1">
      <alignment horizontal="center" vertical="center"/>
    </xf>
    <xf numFmtId="2" fontId="11" fillId="0" borderId="78" xfId="1626" applyNumberFormat="1" applyFont="1" applyBorder="1" applyAlignment="1">
      <alignment horizontal="center" vertical="center"/>
    </xf>
    <xf numFmtId="0" fontId="11" fillId="0" borderId="2" xfId="1626" applyFont="1" applyBorder="1" applyAlignment="1">
      <alignment horizontal="center" vertical="center"/>
    </xf>
    <xf numFmtId="0" fontId="11" fillId="0" borderId="3" xfId="1626" applyFont="1" applyBorder="1" applyAlignment="1">
      <alignment horizontal="center" vertical="center"/>
    </xf>
    <xf numFmtId="178" fontId="11" fillId="0" borderId="3" xfId="1202" applyNumberFormat="1" applyFont="1" applyBorder="1" applyAlignment="1">
      <alignment horizontal="center" vertical="center"/>
    </xf>
    <xf numFmtId="0" fontId="11" fillId="0" borderId="36" xfId="1626" applyFont="1" applyBorder="1" applyAlignment="1">
      <alignment horizontal="center" vertical="center"/>
    </xf>
    <xf numFmtId="0" fontId="11" fillId="0" borderId="22" xfId="1626" applyFont="1" applyBorder="1" applyAlignment="1">
      <alignment horizontal="center" vertical="center"/>
    </xf>
    <xf numFmtId="178" fontId="11" fillId="0" borderId="22" xfId="1202" applyNumberFormat="1" applyFont="1" applyBorder="1" applyAlignment="1">
      <alignment horizontal="center" vertical="center"/>
    </xf>
    <xf numFmtId="2" fontId="11" fillId="0" borderId="102" xfId="1626" applyNumberFormat="1" applyFont="1" applyBorder="1" applyAlignment="1">
      <alignment horizontal="center" vertical="center" wrapText="1"/>
    </xf>
    <xf numFmtId="0" fontId="11" fillId="0" borderId="76" xfId="1626" applyFont="1" applyBorder="1" applyAlignment="1">
      <alignment horizontal="center" vertical="center" wrapText="1"/>
    </xf>
    <xf numFmtId="0" fontId="11" fillId="0" borderId="89" xfId="1626" applyFont="1" applyBorder="1" applyAlignment="1">
      <alignment horizontal="center" vertical="center" wrapText="1"/>
    </xf>
    <xf numFmtId="2" fontId="11" fillId="0" borderId="20" xfId="1626" applyNumberFormat="1" applyFont="1" applyBorder="1" applyAlignment="1">
      <alignment horizontal="center" vertical="center" wrapText="1"/>
    </xf>
    <xf numFmtId="0" fontId="11" fillId="0" borderId="71" xfId="1626" applyFont="1" applyBorder="1" applyAlignment="1">
      <alignment horizontal="center" vertical="center" wrapText="1"/>
    </xf>
    <xf numFmtId="0" fontId="11" fillId="0" borderId="72" xfId="1626" applyFont="1" applyBorder="1" applyAlignment="1">
      <alignment horizontal="center" vertical="center" wrapText="1"/>
    </xf>
    <xf numFmtId="182" fontId="11" fillId="0" borderId="3" xfId="1202" applyNumberFormat="1" applyFont="1" applyBorder="1" applyAlignment="1">
      <alignment horizontal="center" vertical="center"/>
    </xf>
    <xf numFmtId="0" fontId="11" fillId="0" borderId="65" xfId="1626" applyFont="1" applyBorder="1" applyAlignment="1">
      <alignment horizontal="center" vertical="center"/>
    </xf>
    <xf numFmtId="0" fontId="11" fillId="0" borderId="66" xfId="1626" applyFont="1" applyBorder="1" applyAlignment="1">
      <alignment horizontal="center" vertical="center"/>
    </xf>
    <xf numFmtId="0" fontId="11" fillId="0" borderId="8" xfId="1626" applyFont="1" applyBorder="1" applyAlignment="1">
      <alignment horizontal="center" vertical="center"/>
    </xf>
    <xf numFmtId="0" fontId="11" fillId="0" borderId="34" xfId="1626" applyFont="1" applyBorder="1" applyAlignment="1">
      <alignment horizontal="center" vertical="center"/>
    </xf>
    <xf numFmtId="182" fontId="11" fillId="0" borderId="22" xfId="1202" applyNumberFormat="1" applyFont="1" applyBorder="1" applyAlignment="1">
      <alignment horizontal="center" vertical="center"/>
    </xf>
    <xf numFmtId="0" fontId="11" fillId="0" borderId="23" xfId="1626" applyFont="1" applyBorder="1" applyAlignment="1">
      <alignment horizontal="center" vertical="center"/>
    </xf>
    <xf numFmtId="0" fontId="11" fillId="0" borderId="24" xfId="1626" applyFont="1" applyBorder="1" applyAlignment="1">
      <alignment horizontal="center" vertical="center"/>
    </xf>
    <xf numFmtId="0" fontId="11" fillId="0" borderId="21" xfId="1626" applyFont="1" applyBorder="1" applyAlignment="1">
      <alignment horizontal="center" vertical="center"/>
    </xf>
    <xf numFmtId="0" fontId="11" fillId="0" borderId="33" xfId="1626" applyFont="1" applyBorder="1" applyAlignment="1">
      <alignment horizontal="center" vertical="center" wrapText="1"/>
    </xf>
    <xf numFmtId="0" fontId="11" fillId="0" borderId="95" xfId="1626" applyFont="1" applyBorder="1" applyAlignment="1">
      <alignment horizontal="center" vertical="center" wrapText="1"/>
    </xf>
    <xf numFmtId="178" fontId="11" fillId="0" borderId="24" xfId="1202" applyNumberFormat="1" applyFont="1" applyBorder="1" applyAlignment="1">
      <alignment horizontal="center" vertical="center"/>
    </xf>
    <xf numFmtId="182" fontId="11" fillId="0" borderId="24" xfId="1202" applyNumberFormat="1" applyFont="1" applyBorder="1" applyAlignment="1">
      <alignment horizontal="center" vertical="center"/>
    </xf>
    <xf numFmtId="2" fontId="11" fillId="0" borderId="101" xfId="1626" applyNumberFormat="1" applyFont="1" applyBorder="1" applyAlignment="1">
      <alignment horizontal="center" vertical="center" wrapText="1"/>
    </xf>
    <xf numFmtId="0" fontId="19" fillId="0" borderId="1" xfId="1626" applyFont="1" applyBorder="1" applyAlignment="1">
      <alignment horizontal="center" vertical="center"/>
    </xf>
    <xf numFmtId="0" fontId="32" fillId="0" borderId="0" xfId="1625" applyFont="1" applyAlignment="1"/>
    <xf numFmtId="0" fontId="29" fillId="0" borderId="103" xfId="1625" applyFont="1" applyBorder="1" applyAlignment="1">
      <alignment horizontal="center" vertical="center"/>
    </xf>
    <xf numFmtId="0" fontId="29" fillId="0" borderId="104" xfId="1625" applyFont="1" applyBorder="1" applyAlignment="1">
      <alignment horizontal="center" vertical="center"/>
    </xf>
    <xf numFmtId="0" fontId="29" fillId="0" borderId="105" xfId="1625" applyFont="1" applyBorder="1" applyAlignment="1">
      <alignment horizontal="center" vertical="center"/>
    </xf>
    <xf numFmtId="0" fontId="29" fillId="0" borderId="106" xfId="1625" applyFont="1" applyBorder="1" applyAlignment="1">
      <alignment horizontal="center" vertical="center"/>
    </xf>
    <xf numFmtId="0" fontId="29" fillId="0" borderId="0" xfId="1625" applyFont="1" applyBorder="1" applyAlignment="1">
      <alignment horizontal="center" vertical="center"/>
    </xf>
    <xf numFmtId="0" fontId="29" fillId="0" borderId="107" xfId="1625" applyFont="1" applyBorder="1" applyAlignment="1">
      <alignment horizontal="center" vertical="center"/>
    </xf>
    <xf numFmtId="0" fontId="29" fillId="0" borderId="108" xfId="1625" applyFont="1" applyBorder="1" applyAlignment="1">
      <alignment horizontal="center" vertical="center"/>
    </xf>
    <xf numFmtId="0" fontId="29" fillId="0" borderId="109" xfId="1625" applyFont="1" applyBorder="1" applyAlignment="1">
      <alignment horizontal="center" vertical="center"/>
    </xf>
    <xf numFmtId="0" fontId="29" fillId="0" borderId="110" xfId="1625" applyFont="1" applyBorder="1" applyAlignment="1">
      <alignment horizontal="center" vertical="center"/>
    </xf>
    <xf numFmtId="0" fontId="34" fillId="0" borderId="0" xfId="1624" applyFont="1" applyBorder="1" applyAlignment="1">
      <alignment horizontal="center" vertical="center"/>
    </xf>
    <xf numFmtId="0" fontId="34" fillId="0" borderId="0" xfId="1624" applyFill="1" applyAlignment="1">
      <alignment horizontal="center" vertical="center"/>
    </xf>
    <xf numFmtId="203" fontId="63" fillId="0" borderId="111" xfId="1624" applyNumberFormat="1" applyFont="1" applyFill="1" applyBorder="1" applyAlignment="1">
      <alignment horizontal="center" vertical="center"/>
    </xf>
    <xf numFmtId="0" fontId="38" fillId="0" borderId="0" xfId="1624" applyFont="1" applyBorder="1" applyAlignment="1">
      <alignment horizontal="center" vertical="center"/>
    </xf>
    <xf numFmtId="4" fontId="39" fillId="0" borderId="0" xfId="1624" applyNumberFormat="1" applyFont="1" applyBorder="1" applyAlignment="1">
      <alignment vertical="center" textRotation="90"/>
    </xf>
    <xf numFmtId="4" fontId="34" fillId="0" borderId="0" xfId="1624" applyNumberFormat="1" applyFont="1" applyBorder="1" applyAlignment="1">
      <alignment horizontal="center" vertical="center"/>
    </xf>
    <xf numFmtId="0" fontId="34" fillId="0" borderId="46" xfId="1624" applyFont="1" applyBorder="1" applyAlignment="1">
      <alignment horizontal="center" vertical="center"/>
    </xf>
    <xf numFmtId="0" fontId="34" fillId="0" borderId="48" xfId="1624" applyFont="1" applyBorder="1" applyAlignment="1">
      <alignment horizontal="center" vertical="center"/>
    </xf>
    <xf numFmtId="0" fontId="34" fillId="0" borderId="47" xfId="1624" applyFont="1" applyBorder="1" applyAlignment="1">
      <alignment horizontal="center" vertical="center"/>
    </xf>
    <xf numFmtId="195" fontId="34" fillId="0" borderId="46" xfId="1206" applyNumberFormat="1" applyFont="1" applyBorder="1" applyAlignment="1">
      <alignment horizontal="center" vertical="center" shrinkToFit="1"/>
    </xf>
    <xf numFmtId="195" fontId="34" fillId="0" borderId="48" xfId="1206" applyNumberFormat="1" applyFont="1" applyBorder="1" applyAlignment="1">
      <alignment horizontal="center" vertical="center" shrinkToFit="1"/>
    </xf>
    <xf numFmtId="195" fontId="34" fillId="0" borderId="47" xfId="1206" applyNumberFormat="1" applyFont="1" applyBorder="1" applyAlignment="1">
      <alignment horizontal="center" vertical="center" shrinkToFit="1"/>
    </xf>
    <xf numFmtId="0" fontId="38" fillId="0" borderId="49" xfId="1624" applyFont="1" applyFill="1" applyBorder="1" applyAlignment="1">
      <alignment horizontal="center" vertical="center"/>
    </xf>
    <xf numFmtId="0" fontId="38" fillId="0" borderId="50" xfId="1624" applyFont="1" applyFill="1" applyBorder="1" applyAlignment="1">
      <alignment horizontal="center" vertical="center"/>
    </xf>
    <xf numFmtId="4" fontId="34" fillId="0" borderId="0" xfId="1624" applyNumberFormat="1" applyFont="1" applyFill="1" applyBorder="1" applyAlignment="1">
      <alignment vertical="center" textRotation="90"/>
    </xf>
    <xf numFmtId="4" fontId="39" fillId="0" borderId="0" xfId="1624" applyNumberFormat="1" applyFont="1" applyFill="1" applyBorder="1" applyAlignment="1">
      <alignment vertical="center" textRotation="90"/>
    </xf>
    <xf numFmtId="4" fontId="39" fillId="0" borderId="0" xfId="1624" applyNumberFormat="1" applyFont="1" applyFill="1" applyBorder="1" applyAlignment="1">
      <alignment vertical="center"/>
    </xf>
    <xf numFmtId="4" fontId="34" fillId="0" borderId="0" xfId="1624" applyNumberFormat="1" applyFont="1" applyFill="1" applyBorder="1" applyAlignment="1">
      <alignment horizontal="center" vertical="center"/>
    </xf>
    <xf numFmtId="203" fontId="63" fillId="0" borderId="122" xfId="1627" applyNumberFormat="1" applyFont="1" applyFill="1" applyBorder="1" applyAlignment="1">
      <alignment horizontal="center" vertical="center"/>
    </xf>
    <xf numFmtId="0" fontId="34" fillId="0" borderId="0" xfId="1627" applyFill="1" applyAlignment="1">
      <alignment horizontal="center" vertical="center"/>
    </xf>
    <xf numFmtId="0" fontId="34" fillId="0" borderId="46" xfId="1627" applyFont="1" applyBorder="1" applyAlignment="1">
      <alignment horizontal="center" vertical="center"/>
    </xf>
    <xf numFmtId="0" fontId="34" fillId="0" borderId="48" xfId="1627" applyFont="1" applyBorder="1" applyAlignment="1">
      <alignment horizontal="center" vertical="center"/>
    </xf>
    <xf numFmtId="0" fontId="34" fillId="0" borderId="47" xfId="1627" applyFont="1" applyBorder="1" applyAlignment="1">
      <alignment horizontal="center" vertical="center"/>
    </xf>
    <xf numFmtId="195" fontId="34" fillId="0" borderId="46" xfId="1197" applyNumberFormat="1" applyFont="1" applyBorder="1" applyAlignment="1">
      <alignment horizontal="center" vertical="center" shrinkToFit="1"/>
    </xf>
    <xf numFmtId="195" fontId="34" fillId="0" borderId="48" xfId="1197" applyNumberFormat="1" applyFont="1" applyBorder="1" applyAlignment="1">
      <alignment horizontal="center" vertical="center" shrinkToFit="1"/>
    </xf>
    <xf numFmtId="195" fontId="34" fillId="0" borderId="47" xfId="1197" applyNumberFormat="1" applyFont="1" applyBorder="1" applyAlignment="1">
      <alignment horizontal="center" vertical="center" shrinkToFit="1"/>
    </xf>
    <xf numFmtId="0" fontId="38" fillId="0" borderId="67" xfId="1627" applyFont="1" applyFill="1" applyBorder="1" applyAlignment="1">
      <alignment horizontal="center" vertical="center"/>
    </xf>
    <xf numFmtId="0" fontId="38" fillId="0" borderId="0" xfId="1627" applyFont="1" applyFill="1" applyBorder="1" applyAlignment="1">
      <alignment horizontal="center" vertical="center"/>
    </xf>
    <xf numFmtId="4" fontId="64" fillId="0" borderId="0" xfId="1627" applyNumberFormat="1" applyFont="1" applyFill="1" applyBorder="1" applyAlignment="1">
      <alignment vertical="center" textRotation="90"/>
    </xf>
    <xf numFmtId="4" fontId="34" fillId="0" borderId="0" xfId="1627" applyNumberFormat="1" applyFont="1" applyFill="1" applyBorder="1" applyAlignment="1">
      <alignment horizontal="center" vertical="center"/>
    </xf>
    <xf numFmtId="203" fontId="22" fillId="0" borderId="111" xfId="1624" applyNumberFormat="1" applyFont="1" applyFill="1" applyBorder="1" applyAlignment="1">
      <alignment horizontal="center" vertical="center"/>
    </xf>
    <xf numFmtId="0" fontId="15" fillId="0" borderId="46" xfId="1624" applyFont="1" applyBorder="1" applyAlignment="1">
      <alignment horizontal="center" vertical="center"/>
    </xf>
    <xf numFmtId="0" fontId="15" fillId="0" borderId="48" xfId="1624" applyFont="1" applyBorder="1" applyAlignment="1">
      <alignment horizontal="center" vertical="center"/>
    </xf>
    <xf numFmtId="0" fontId="15" fillId="0" borderId="47" xfId="1624" applyFont="1" applyBorder="1" applyAlignment="1">
      <alignment horizontal="center" vertical="center"/>
    </xf>
    <xf numFmtId="195" fontId="15" fillId="0" borderId="46" xfId="1206" applyNumberFormat="1" applyFont="1" applyBorder="1" applyAlignment="1">
      <alignment horizontal="center" vertical="center" shrinkToFit="1"/>
    </xf>
    <xf numFmtId="195" fontId="15" fillId="0" borderId="48" xfId="1206" applyNumberFormat="1" applyFont="1" applyBorder="1" applyAlignment="1">
      <alignment horizontal="center" vertical="center" shrinkToFit="1"/>
    </xf>
    <xf numFmtId="195" fontId="15" fillId="0" borderId="47" xfId="1206" applyNumberFormat="1" applyFont="1" applyBorder="1" applyAlignment="1">
      <alignment horizontal="center" vertical="center" shrinkToFit="1"/>
    </xf>
    <xf numFmtId="0" fontId="14" fillId="0" borderId="50" xfId="1624" applyFont="1" applyBorder="1" applyAlignment="1">
      <alignment horizontal="center" vertical="center"/>
    </xf>
    <xf numFmtId="0" fontId="14" fillId="0" borderId="112" xfId="1624" applyFont="1" applyBorder="1" applyAlignment="1">
      <alignment horizontal="center" vertical="center"/>
    </xf>
    <xf numFmtId="0" fontId="14" fillId="0" borderId="0" xfId="1624" applyFont="1" applyBorder="1" applyAlignment="1">
      <alignment horizontal="center" vertical="center"/>
    </xf>
    <xf numFmtId="0" fontId="11" fillId="0" borderId="0" xfId="1624" applyFont="1" applyBorder="1" applyAlignment="1">
      <alignment horizontal="center" vertical="center"/>
    </xf>
    <xf numFmtId="0" fontId="11" fillId="0" borderId="0" xfId="1624" applyFont="1" applyFill="1" applyBorder="1" applyAlignment="1">
      <alignment horizontal="center" vertical="center"/>
    </xf>
    <xf numFmtId="0" fontId="15" fillId="0" borderId="46" xfId="1622" applyFont="1" applyBorder="1" applyAlignment="1">
      <alignment horizontal="center" vertical="center"/>
    </xf>
    <xf numFmtId="0" fontId="15" fillId="0" borderId="48" xfId="1622" applyFont="1" applyBorder="1" applyAlignment="1">
      <alignment horizontal="center" vertical="center"/>
    </xf>
    <xf numFmtId="0" fontId="15" fillId="0" borderId="47" xfId="1622" applyFont="1" applyBorder="1" applyAlignment="1">
      <alignment horizontal="center" vertical="center"/>
    </xf>
    <xf numFmtId="195" fontId="15" fillId="0" borderId="46" xfId="1204" applyNumberFormat="1" applyFont="1" applyBorder="1" applyAlignment="1">
      <alignment horizontal="center" vertical="center" shrinkToFit="1"/>
    </xf>
    <xf numFmtId="195" fontId="15" fillId="0" borderId="48" xfId="1204" applyNumberFormat="1" applyFont="1" applyBorder="1" applyAlignment="1">
      <alignment horizontal="center" vertical="center" shrinkToFit="1"/>
    </xf>
    <xf numFmtId="195" fontId="15" fillId="0" borderId="47" xfId="1204" applyNumberFormat="1" applyFont="1" applyBorder="1" applyAlignment="1">
      <alignment horizontal="center" vertical="center" shrinkToFit="1"/>
    </xf>
    <xf numFmtId="0" fontId="46" fillId="0" borderId="0" xfId="1622" applyFont="1" applyBorder="1" applyAlignment="1">
      <alignment horizontal="center" vertical="center"/>
    </xf>
    <xf numFmtId="4" fontId="50" fillId="0" borderId="0" xfId="1622" applyNumberFormat="1" applyFont="1" applyBorder="1" applyAlignment="1">
      <alignment vertical="center" textRotation="90"/>
    </xf>
    <xf numFmtId="4" fontId="15" fillId="0" borderId="0" xfId="1622" applyNumberFormat="1" applyFont="1" applyBorder="1" applyAlignment="1">
      <alignment horizontal="center" vertical="center"/>
    </xf>
    <xf numFmtId="0" fontId="15" fillId="0" borderId="0" xfId="1622" applyFont="1" applyAlignment="1">
      <alignment horizontal="center" vertical="center"/>
    </xf>
    <xf numFmtId="203" fontId="56" fillId="0" borderId="111" xfId="1622" applyNumberFormat="1" applyFont="1" applyBorder="1" applyAlignment="1">
      <alignment horizontal="center" vertical="center"/>
    </xf>
    <xf numFmtId="0" fontId="16" fillId="0" borderId="0" xfId="1622" applyFont="1" applyBorder="1" applyAlignment="1">
      <alignment horizontal="center"/>
    </xf>
    <xf numFmtId="0" fontId="47" fillId="0" borderId="0" xfId="1622" applyFont="1" applyBorder="1" applyAlignment="1">
      <alignment horizontal="center" vertical="center"/>
    </xf>
    <xf numFmtId="0" fontId="48" fillId="0" borderId="0" xfId="1624" applyFont="1" applyAlignment="1">
      <alignment horizontal="center" vertical="center"/>
    </xf>
    <xf numFmtId="0" fontId="46" fillId="0" borderId="50" xfId="1622" applyFont="1" applyBorder="1" applyAlignment="1">
      <alignment horizontal="center" vertical="center"/>
    </xf>
    <xf numFmtId="0" fontId="46" fillId="0" borderId="52" xfId="1622" applyFont="1" applyBorder="1" applyAlignment="1">
      <alignment horizontal="center" vertical="center"/>
    </xf>
    <xf numFmtId="0" fontId="11" fillId="0" borderId="90" xfId="0" applyFont="1" applyFill="1" applyBorder="1" applyAlignment="1">
      <alignment horizontal="center" vertical="center" wrapText="1"/>
    </xf>
    <xf numFmtId="0" fontId="11" fillId="0" borderId="98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1" fillId="0" borderId="99" xfId="0" applyFont="1" applyFill="1" applyBorder="1" applyAlignment="1">
      <alignment horizontal="center" vertical="center"/>
    </xf>
    <xf numFmtId="0" fontId="11" fillId="0" borderId="88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11" fillId="0" borderId="88" xfId="0" applyFont="1" applyFill="1" applyBorder="1" applyAlignment="1">
      <alignment horizontal="center" vertical="center" wrapText="1"/>
    </xf>
    <xf numFmtId="0" fontId="11" fillId="0" borderId="7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7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46" xfId="1620" applyFont="1" applyFill="1" applyBorder="1" applyAlignment="1">
      <alignment horizontal="center" vertical="center"/>
    </xf>
    <xf numFmtId="0" fontId="11" fillId="0" borderId="48" xfId="1620" applyFont="1" applyFill="1" applyBorder="1" applyAlignment="1">
      <alignment horizontal="center" vertical="center"/>
    </xf>
    <xf numFmtId="0" fontId="11" fillId="0" borderId="81" xfId="1620" applyFont="1" applyFill="1" applyBorder="1" applyAlignment="1">
      <alignment horizontal="center" vertical="center"/>
    </xf>
    <xf numFmtId="178" fontId="11" fillId="0" borderId="46" xfId="1203" applyNumberFormat="1" applyFont="1" applyFill="1" applyBorder="1" applyAlignment="1">
      <alignment horizontal="center" vertical="center"/>
    </xf>
    <xf numFmtId="178" fontId="11" fillId="0" borderId="48" xfId="1203" applyNumberFormat="1" applyFont="1" applyFill="1" applyBorder="1" applyAlignment="1">
      <alignment horizontal="center" vertical="center"/>
    </xf>
    <xf numFmtId="178" fontId="11" fillId="0" borderId="81" xfId="1203" applyNumberFormat="1" applyFont="1" applyFill="1" applyBorder="1" applyAlignment="1">
      <alignment horizontal="center" vertical="center"/>
    </xf>
    <xf numFmtId="0" fontId="17" fillId="0" borderId="39" xfId="1620" applyFont="1" applyBorder="1" applyAlignment="1">
      <alignment horizontal="center" vertical="center" textRotation="255"/>
    </xf>
    <xf numFmtId="0" fontId="17" fillId="0" borderId="82" xfId="1620" applyFont="1" applyBorder="1" applyAlignment="1">
      <alignment horizontal="center" vertical="center" textRotation="255"/>
    </xf>
    <xf numFmtId="0" fontId="17" fillId="0" borderId="32" xfId="1620" applyFont="1" applyBorder="1" applyAlignment="1">
      <alignment horizontal="center" vertical="center" textRotation="255"/>
    </xf>
    <xf numFmtId="178" fontId="11" fillId="0" borderId="15" xfId="1203" applyNumberFormat="1" applyFont="1" applyFill="1" applyBorder="1" applyAlignment="1">
      <alignment horizontal="center" vertical="center"/>
    </xf>
    <xf numFmtId="178" fontId="11" fillId="0" borderId="17" xfId="1203" applyNumberFormat="1" applyFont="1" applyFill="1" applyBorder="1" applyAlignment="1">
      <alignment horizontal="center" vertical="center"/>
    </xf>
    <xf numFmtId="178" fontId="11" fillId="0" borderId="96" xfId="1203" applyNumberFormat="1" applyFont="1" applyFill="1" applyBorder="1" applyAlignment="1">
      <alignment horizontal="center" vertical="center"/>
    </xf>
    <xf numFmtId="178" fontId="11" fillId="0" borderId="72" xfId="1203" applyNumberFormat="1" applyFont="1" applyFill="1" applyBorder="1" applyAlignment="1">
      <alignment horizontal="center" vertical="center"/>
    </xf>
    <xf numFmtId="178" fontId="11" fillId="0" borderId="96" xfId="1620" applyNumberFormat="1" applyFont="1" applyFill="1" applyBorder="1" applyAlignment="1">
      <alignment horizontal="center" vertical="center"/>
    </xf>
    <xf numFmtId="0" fontId="11" fillId="0" borderId="72" xfId="1620" applyFont="1" applyFill="1" applyBorder="1" applyAlignment="1">
      <alignment horizontal="center" vertical="center"/>
    </xf>
    <xf numFmtId="0" fontId="0" fillId="0" borderId="81" xfId="0" applyBorder="1">
      <alignment vertical="center"/>
    </xf>
    <xf numFmtId="0" fontId="11" fillId="0" borderId="96" xfId="1620" applyFont="1" applyFill="1" applyBorder="1" applyAlignment="1">
      <alignment horizontal="center" vertical="center"/>
    </xf>
    <xf numFmtId="0" fontId="34" fillId="0" borderId="0" xfId="1624" applyAlignment="1">
      <alignment horizontal="center" vertical="center"/>
    </xf>
    <xf numFmtId="0" fontId="35" fillId="0" borderId="0" xfId="1624" applyFont="1" applyBorder="1" applyAlignment="1">
      <alignment horizontal="center"/>
    </xf>
    <xf numFmtId="0" fontId="61" fillId="0" borderId="0" xfId="1624" applyFont="1" applyBorder="1" applyAlignment="1">
      <alignment horizontal="center" vertical="center"/>
    </xf>
    <xf numFmtId="0" fontId="36" fillId="0" borderId="0" xfId="1624" applyFont="1" applyAlignment="1">
      <alignment horizontal="center" vertical="center"/>
    </xf>
    <xf numFmtId="0" fontId="38" fillId="0" borderId="52" xfId="1624" applyFont="1" applyBorder="1" applyAlignment="1">
      <alignment horizontal="center" vertical="center"/>
    </xf>
    <xf numFmtId="203" fontId="63" fillId="0" borderId="111" xfId="1624" applyNumberFormat="1" applyFont="1" applyBorder="1" applyAlignment="1">
      <alignment horizontal="center" vertical="center"/>
    </xf>
    <xf numFmtId="0" fontId="11" fillId="0" borderId="79" xfId="0" applyFont="1" applyFill="1" applyBorder="1" applyAlignment="1">
      <alignment horizontal="center" vertical="center" wrapText="1"/>
    </xf>
    <xf numFmtId="181" fontId="11" fillId="0" borderId="96" xfId="0" applyNumberFormat="1" applyFont="1" applyFill="1" applyBorder="1" applyAlignment="1">
      <alignment horizontal="center" vertical="center"/>
    </xf>
    <xf numFmtId="181" fontId="11" fillId="0" borderId="71" xfId="0" applyNumberFormat="1" applyFont="1" applyFill="1" applyBorder="1" applyAlignment="1">
      <alignment horizontal="center" vertical="center"/>
    </xf>
    <xf numFmtId="181" fontId="11" fillId="0" borderId="72" xfId="0" applyNumberFormat="1" applyFont="1" applyFill="1" applyBorder="1" applyAlignment="1">
      <alignment horizontal="center" vertical="center"/>
    </xf>
    <xf numFmtId="0" fontId="11" fillId="0" borderId="7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96" xfId="0" applyFont="1" applyFill="1" applyBorder="1" applyAlignment="1">
      <alignment horizontal="left" vertical="center"/>
    </xf>
    <xf numFmtId="0" fontId="11" fillId="0" borderId="71" xfId="0" applyFont="1" applyFill="1" applyBorder="1" applyAlignment="1">
      <alignment horizontal="left" vertical="center"/>
    </xf>
    <xf numFmtId="0" fontId="11" fillId="0" borderId="72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46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189" fontId="11" fillId="0" borderId="38" xfId="1196" applyNumberFormat="1" applyFont="1" applyFill="1" applyBorder="1" applyAlignment="1">
      <alignment horizontal="center" vertical="center"/>
    </xf>
    <xf numFmtId="192" fontId="11" fillId="0" borderId="80" xfId="1196" applyNumberFormat="1" applyFont="1" applyFill="1" applyBorder="1" applyAlignment="1">
      <alignment horizontal="center" vertical="center"/>
    </xf>
  </cellXfs>
  <cellStyles count="1629">
    <cellStyle name="20% - 강조색1" xfId="1" builtinId="30" customBuiltin="1"/>
    <cellStyle name="20% - 강조색1 10" xfId="2"/>
    <cellStyle name="20% - 강조색1 10 2" xfId="3"/>
    <cellStyle name="20% - 강조색1 11" xfId="4"/>
    <cellStyle name="20% - 강조색1 11 2" xfId="5"/>
    <cellStyle name="20% - 강조색1 12" xfId="6"/>
    <cellStyle name="20% - 강조색1 12 2" xfId="7"/>
    <cellStyle name="20% - 강조색1 13" xfId="8"/>
    <cellStyle name="20% - 강조색1 13 2" xfId="9"/>
    <cellStyle name="20% - 강조색1 14" xfId="10"/>
    <cellStyle name="20% - 강조색1 14 2" xfId="11"/>
    <cellStyle name="20% - 강조색1 15" xfId="12"/>
    <cellStyle name="20% - 강조색1 15 2" xfId="13"/>
    <cellStyle name="20% - 강조색1 16" xfId="14"/>
    <cellStyle name="20% - 강조색1 17" xfId="15"/>
    <cellStyle name="20% - 강조색1 18" xfId="16"/>
    <cellStyle name="20% - 강조색1 19" xfId="17"/>
    <cellStyle name="20% - 강조색1 2" xfId="18"/>
    <cellStyle name="20% - 강조색1 20" xfId="19"/>
    <cellStyle name="20% - 강조색1 21" xfId="20"/>
    <cellStyle name="20% - 강조색1 22" xfId="21"/>
    <cellStyle name="20% - 강조색1 23" xfId="22"/>
    <cellStyle name="20% - 강조색1 24" xfId="23"/>
    <cellStyle name="20% - 강조색1 25" xfId="24"/>
    <cellStyle name="20% - 강조색1 3" xfId="25"/>
    <cellStyle name="20% - 강조색1 4" xfId="26"/>
    <cellStyle name="20% - 강조색1 4 2" xfId="27"/>
    <cellStyle name="20% - 강조색1 5" xfId="28"/>
    <cellStyle name="20% - 강조색1 5 2" xfId="29"/>
    <cellStyle name="20% - 강조색1 6" xfId="30"/>
    <cellStyle name="20% - 강조색1 6 2" xfId="31"/>
    <cellStyle name="20% - 강조색1 7" xfId="32"/>
    <cellStyle name="20% - 강조색1 7 2" xfId="33"/>
    <cellStyle name="20% - 강조색1 8" xfId="34"/>
    <cellStyle name="20% - 강조색1 8 2" xfId="35"/>
    <cellStyle name="20% - 강조색1 9" xfId="36"/>
    <cellStyle name="20% - 강조색1 9 2" xfId="37"/>
    <cellStyle name="20% - 강조색2" xfId="38" builtinId="34" customBuiltin="1"/>
    <cellStyle name="20% - 강조색2 10" xfId="39"/>
    <cellStyle name="20% - 강조색2 10 2" xfId="40"/>
    <cellStyle name="20% - 강조색2 11" xfId="41"/>
    <cellStyle name="20% - 강조색2 11 2" xfId="42"/>
    <cellStyle name="20% - 강조색2 12" xfId="43"/>
    <cellStyle name="20% - 강조색2 12 2" xfId="44"/>
    <cellStyle name="20% - 강조색2 13" xfId="45"/>
    <cellStyle name="20% - 강조색2 13 2" xfId="46"/>
    <cellStyle name="20% - 강조색2 14" xfId="47"/>
    <cellStyle name="20% - 강조색2 14 2" xfId="48"/>
    <cellStyle name="20% - 강조색2 15" xfId="49"/>
    <cellStyle name="20% - 강조색2 15 2" xfId="50"/>
    <cellStyle name="20% - 강조색2 16" xfId="51"/>
    <cellStyle name="20% - 강조색2 17" xfId="52"/>
    <cellStyle name="20% - 강조색2 18" xfId="53"/>
    <cellStyle name="20% - 강조색2 19" xfId="54"/>
    <cellStyle name="20% - 강조색2 2" xfId="55"/>
    <cellStyle name="20% - 강조색2 20" xfId="56"/>
    <cellStyle name="20% - 강조색2 21" xfId="57"/>
    <cellStyle name="20% - 강조색2 22" xfId="58"/>
    <cellStyle name="20% - 강조색2 23" xfId="59"/>
    <cellStyle name="20% - 강조색2 24" xfId="60"/>
    <cellStyle name="20% - 강조색2 25" xfId="61"/>
    <cellStyle name="20% - 강조색2 3" xfId="62"/>
    <cellStyle name="20% - 강조색2 4" xfId="63"/>
    <cellStyle name="20% - 강조색2 4 2" xfId="64"/>
    <cellStyle name="20% - 강조색2 5" xfId="65"/>
    <cellStyle name="20% - 강조색2 5 2" xfId="66"/>
    <cellStyle name="20% - 강조색2 6" xfId="67"/>
    <cellStyle name="20% - 강조색2 6 2" xfId="68"/>
    <cellStyle name="20% - 강조색2 7" xfId="69"/>
    <cellStyle name="20% - 강조색2 7 2" xfId="70"/>
    <cellStyle name="20% - 강조색2 8" xfId="71"/>
    <cellStyle name="20% - 강조색2 8 2" xfId="72"/>
    <cellStyle name="20% - 강조색2 9" xfId="73"/>
    <cellStyle name="20% - 강조색2 9 2" xfId="74"/>
    <cellStyle name="20% - 강조색3" xfId="75" builtinId="38" customBuiltin="1"/>
    <cellStyle name="20% - 강조색3 10" xfId="76"/>
    <cellStyle name="20% - 강조색3 10 2" xfId="77"/>
    <cellStyle name="20% - 강조색3 11" xfId="78"/>
    <cellStyle name="20% - 강조색3 11 2" xfId="79"/>
    <cellStyle name="20% - 강조색3 12" xfId="80"/>
    <cellStyle name="20% - 강조색3 12 2" xfId="81"/>
    <cellStyle name="20% - 강조색3 13" xfId="82"/>
    <cellStyle name="20% - 강조색3 13 2" xfId="83"/>
    <cellStyle name="20% - 강조색3 14" xfId="84"/>
    <cellStyle name="20% - 강조색3 14 2" xfId="85"/>
    <cellStyle name="20% - 강조색3 15" xfId="86"/>
    <cellStyle name="20% - 강조색3 15 2" xfId="87"/>
    <cellStyle name="20% - 강조색3 16" xfId="88"/>
    <cellStyle name="20% - 강조색3 17" xfId="89"/>
    <cellStyle name="20% - 강조색3 18" xfId="90"/>
    <cellStyle name="20% - 강조색3 19" xfId="91"/>
    <cellStyle name="20% - 강조색3 2" xfId="92"/>
    <cellStyle name="20% - 강조색3 20" xfId="93"/>
    <cellStyle name="20% - 강조색3 21" xfId="94"/>
    <cellStyle name="20% - 강조색3 22" xfId="95"/>
    <cellStyle name="20% - 강조색3 23" xfId="96"/>
    <cellStyle name="20% - 강조색3 24" xfId="97"/>
    <cellStyle name="20% - 강조색3 25" xfId="98"/>
    <cellStyle name="20% - 강조색3 3" xfId="99"/>
    <cellStyle name="20% - 강조색3 4" xfId="100"/>
    <cellStyle name="20% - 강조색3 4 2" xfId="101"/>
    <cellStyle name="20% - 강조색3 5" xfId="102"/>
    <cellStyle name="20% - 강조색3 5 2" xfId="103"/>
    <cellStyle name="20% - 강조색3 6" xfId="104"/>
    <cellStyle name="20% - 강조색3 6 2" xfId="105"/>
    <cellStyle name="20% - 강조색3 7" xfId="106"/>
    <cellStyle name="20% - 강조색3 7 2" xfId="107"/>
    <cellStyle name="20% - 강조색3 8" xfId="108"/>
    <cellStyle name="20% - 강조색3 8 2" xfId="109"/>
    <cellStyle name="20% - 강조색3 9" xfId="110"/>
    <cellStyle name="20% - 강조색3 9 2" xfId="111"/>
    <cellStyle name="20% - 강조색4" xfId="112" builtinId="42" customBuiltin="1"/>
    <cellStyle name="20% - 강조색4 10" xfId="113"/>
    <cellStyle name="20% - 강조색4 10 2" xfId="114"/>
    <cellStyle name="20% - 강조색4 11" xfId="115"/>
    <cellStyle name="20% - 강조색4 11 2" xfId="116"/>
    <cellStyle name="20% - 강조색4 12" xfId="117"/>
    <cellStyle name="20% - 강조색4 12 2" xfId="118"/>
    <cellStyle name="20% - 강조색4 13" xfId="119"/>
    <cellStyle name="20% - 강조색4 13 2" xfId="120"/>
    <cellStyle name="20% - 강조색4 14" xfId="121"/>
    <cellStyle name="20% - 강조색4 14 2" xfId="122"/>
    <cellStyle name="20% - 강조색4 15" xfId="123"/>
    <cellStyle name="20% - 강조색4 15 2" xfId="124"/>
    <cellStyle name="20% - 강조색4 16" xfId="125"/>
    <cellStyle name="20% - 강조색4 17" xfId="126"/>
    <cellStyle name="20% - 강조색4 18" xfId="127"/>
    <cellStyle name="20% - 강조색4 19" xfId="128"/>
    <cellStyle name="20% - 강조색4 2" xfId="129"/>
    <cellStyle name="20% - 강조색4 20" xfId="130"/>
    <cellStyle name="20% - 강조색4 21" xfId="131"/>
    <cellStyle name="20% - 강조색4 22" xfId="132"/>
    <cellStyle name="20% - 강조색4 23" xfId="133"/>
    <cellStyle name="20% - 강조색4 24" xfId="134"/>
    <cellStyle name="20% - 강조색4 25" xfId="135"/>
    <cellStyle name="20% - 강조색4 3" xfId="136"/>
    <cellStyle name="20% - 강조색4 4" xfId="137"/>
    <cellStyle name="20% - 강조색4 4 2" xfId="138"/>
    <cellStyle name="20% - 강조색4 5" xfId="139"/>
    <cellStyle name="20% - 강조색4 5 2" xfId="140"/>
    <cellStyle name="20% - 강조색4 6" xfId="141"/>
    <cellStyle name="20% - 강조색4 6 2" xfId="142"/>
    <cellStyle name="20% - 강조색4 7" xfId="143"/>
    <cellStyle name="20% - 강조색4 7 2" xfId="144"/>
    <cellStyle name="20% - 강조색4 8" xfId="145"/>
    <cellStyle name="20% - 강조색4 8 2" xfId="146"/>
    <cellStyle name="20% - 강조색4 9" xfId="147"/>
    <cellStyle name="20% - 강조색4 9 2" xfId="148"/>
    <cellStyle name="20% - 강조색5" xfId="149" builtinId="46" customBuiltin="1"/>
    <cellStyle name="20% - 강조색5 10" xfId="150"/>
    <cellStyle name="20% - 강조색5 10 2" xfId="151"/>
    <cellStyle name="20% - 강조색5 11" xfId="152"/>
    <cellStyle name="20% - 강조색5 11 2" xfId="153"/>
    <cellStyle name="20% - 강조색5 12" xfId="154"/>
    <cellStyle name="20% - 강조색5 12 2" xfId="155"/>
    <cellStyle name="20% - 강조색5 13" xfId="156"/>
    <cellStyle name="20% - 강조색5 13 2" xfId="157"/>
    <cellStyle name="20% - 강조색5 14" xfId="158"/>
    <cellStyle name="20% - 강조색5 14 2" xfId="159"/>
    <cellStyle name="20% - 강조색5 15" xfId="160"/>
    <cellStyle name="20% - 강조색5 15 2" xfId="161"/>
    <cellStyle name="20% - 강조색5 16" xfId="162"/>
    <cellStyle name="20% - 강조색5 17" xfId="163"/>
    <cellStyle name="20% - 강조색5 18" xfId="164"/>
    <cellStyle name="20% - 강조색5 19" xfId="165"/>
    <cellStyle name="20% - 강조색5 2" xfId="166"/>
    <cellStyle name="20% - 강조색5 20" xfId="167"/>
    <cellStyle name="20% - 강조색5 21" xfId="168"/>
    <cellStyle name="20% - 강조색5 22" xfId="169"/>
    <cellStyle name="20% - 강조색5 23" xfId="170"/>
    <cellStyle name="20% - 강조색5 24" xfId="171"/>
    <cellStyle name="20% - 강조색5 25" xfId="172"/>
    <cellStyle name="20% - 강조색5 3" xfId="173"/>
    <cellStyle name="20% - 강조색5 4" xfId="174"/>
    <cellStyle name="20% - 강조색5 4 2" xfId="175"/>
    <cellStyle name="20% - 강조색5 5" xfId="176"/>
    <cellStyle name="20% - 강조색5 5 2" xfId="177"/>
    <cellStyle name="20% - 강조색5 6" xfId="178"/>
    <cellStyle name="20% - 강조색5 6 2" xfId="179"/>
    <cellStyle name="20% - 강조색5 7" xfId="180"/>
    <cellStyle name="20% - 강조색5 7 2" xfId="181"/>
    <cellStyle name="20% - 강조색5 8" xfId="182"/>
    <cellStyle name="20% - 강조색5 8 2" xfId="183"/>
    <cellStyle name="20% - 강조색5 9" xfId="184"/>
    <cellStyle name="20% - 강조색5 9 2" xfId="185"/>
    <cellStyle name="20% - 강조색6" xfId="186" builtinId="50" customBuiltin="1"/>
    <cellStyle name="20% - 강조색6 10" xfId="187"/>
    <cellStyle name="20% - 강조색6 10 2" xfId="188"/>
    <cellStyle name="20% - 강조색6 11" xfId="189"/>
    <cellStyle name="20% - 강조색6 11 2" xfId="190"/>
    <cellStyle name="20% - 강조색6 12" xfId="191"/>
    <cellStyle name="20% - 강조색6 12 2" xfId="192"/>
    <cellStyle name="20% - 강조색6 13" xfId="193"/>
    <cellStyle name="20% - 강조색6 13 2" xfId="194"/>
    <cellStyle name="20% - 강조색6 14" xfId="195"/>
    <cellStyle name="20% - 강조색6 14 2" xfId="196"/>
    <cellStyle name="20% - 강조색6 15" xfId="197"/>
    <cellStyle name="20% - 강조색6 15 2" xfId="198"/>
    <cellStyle name="20% - 강조색6 16" xfId="199"/>
    <cellStyle name="20% - 강조색6 17" xfId="200"/>
    <cellStyle name="20% - 강조색6 18" xfId="201"/>
    <cellStyle name="20% - 강조색6 19" xfId="202"/>
    <cellStyle name="20% - 강조색6 2" xfId="203"/>
    <cellStyle name="20% - 강조색6 20" xfId="204"/>
    <cellStyle name="20% - 강조색6 21" xfId="205"/>
    <cellStyle name="20% - 강조색6 22" xfId="206"/>
    <cellStyle name="20% - 강조색6 23" xfId="207"/>
    <cellStyle name="20% - 강조색6 24" xfId="208"/>
    <cellStyle name="20% - 강조색6 25" xfId="209"/>
    <cellStyle name="20% - 강조색6 3" xfId="210"/>
    <cellStyle name="20% - 강조색6 4" xfId="211"/>
    <cellStyle name="20% - 강조색6 4 2" xfId="212"/>
    <cellStyle name="20% - 강조색6 5" xfId="213"/>
    <cellStyle name="20% - 강조색6 5 2" xfId="214"/>
    <cellStyle name="20% - 강조색6 6" xfId="215"/>
    <cellStyle name="20% - 강조색6 6 2" xfId="216"/>
    <cellStyle name="20% - 강조색6 7" xfId="217"/>
    <cellStyle name="20% - 강조색6 7 2" xfId="218"/>
    <cellStyle name="20% - 강조색6 8" xfId="219"/>
    <cellStyle name="20% - 강조색6 8 2" xfId="220"/>
    <cellStyle name="20% - 강조색6 9" xfId="221"/>
    <cellStyle name="20% - 강조색6 9 2" xfId="222"/>
    <cellStyle name="40% - 강조색1" xfId="223" builtinId="31" customBuiltin="1"/>
    <cellStyle name="40% - 강조색1 10" xfId="224"/>
    <cellStyle name="40% - 강조색1 10 2" xfId="225"/>
    <cellStyle name="40% - 강조색1 11" xfId="226"/>
    <cellStyle name="40% - 강조색1 11 2" xfId="227"/>
    <cellStyle name="40% - 강조색1 12" xfId="228"/>
    <cellStyle name="40% - 강조색1 12 2" xfId="229"/>
    <cellStyle name="40% - 강조색1 13" xfId="230"/>
    <cellStyle name="40% - 강조색1 13 2" xfId="231"/>
    <cellStyle name="40% - 강조색1 14" xfId="232"/>
    <cellStyle name="40% - 강조색1 14 2" xfId="233"/>
    <cellStyle name="40% - 강조색1 15" xfId="234"/>
    <cellStyle name="40% - 강조색1 15 2" xfId="235"/>
    <cellStyle name="40% - 강조색1 16" xfId="236"/>
    <cellStyle name="40% - 강조색1 17" xfId="237"/>
    <cellStyle name="40% - 강조색1 18" xfId="238"/>
    <cellStyle name="40% - 강조색1 19" xfId="239"/>
    <cellStyle name="40% - 강조색1 2" xfId="240"/>
    <cellStyle name="40% - 강조색1 20" xfId="241"/>
    <cellStyle name="40% - 강조색1 21" xfId="242"/>
    <cellStyle name="40% - 강조색1 22" xfId="243"/>
    <cellStyle name="40% - 강조색1 23" xfId="244"/>
    <cellStyle name="40% - 강조색1 24" xfId="245"/>
    <cellStyle name="40% - 강조색1 25" xfId="246"/>
    <cellStyle name="40% - 강조색1 3" xfId="247"/>
    <cellStyle name="40% - 강조색1 4" xfId="248"/>
    <cellStyle name="40% - 강조색1 4 2" xfId="249"/>
    <cellStyle name="40% - 강조색1 5" xfId="250"/>
    <cellStyle name="40% - 강조색1 5 2" xfId="251"/>
    <cellStyle name="40% - 강조색1 6" xfId="252"/>
    <cellStyle name="40% - 강조색1 6 2" xfId="253"/>
    <cellStyle name="40% - 강조색1 7" xfId="254"/>
    <cellStyle name="40% - 강조색1 7 2" xfId="255"/>
    <cellStyle name="40% - 강조색1 8" xfId="256"/>
    <cellStyle name="40% - 강조색1 8 2" xfId="257"/>
    <cellStyle name="40% - 강조색1 9" xfId="258"/>
    <cellStyle name="40% - 강조색1 9 2" xfId="259"/>
    <cellStyle name="40% - 강조색2" xfId="260" builtinId="35" customBuiltin="1"/>
    <cellStyle name="40% - 강조색2 10" xfId="261"/>
    <cellStyle name="40% - 강조색2 10 2" xfId="262"/>
    <cellStyle name="40% - 강조색2 11" xfId="263"/>
    <cellStyle name="40% - 강조색2 11 2" xfId="264"/>
    <cellStyle name="40% - 강조색2 12" xfId="265"/>
    <cellStyle name="40% - 강조색2 12 2" xfId="266"/>
    <cellStyle name="40% - 강조색2 13" xfId="267"/>
    <cellStyle name="40% - 강조색2 13 2" xfId="268"/>
    <cellStyle name="40% - 강조색2 14" xfId="269"/>
    <cellStyle name="40% - 강조색2 14 2" xfId="270"/>
    <cellStyle name="40% - 강조색2 15" xfId="271"/>
    <cellStyle name="40% - 강조색2 15 2" xfId="272"/>
    <cellStyle name="40% - 강조색2 16" xfId="273"/>
    <cellStyle name="40% - 강조색2 17" xfId="274"/>
    <cellStyle name="40% - 강조색2 18" xfId="275"/>
    <cellStyle name="40% - 강조색2 19" xfId="276"/>
    <cellStyle name="40% - 강조색2 2" xfId="277"/>
    <cellStyle name="40% - 강조색2 20" xfId="278"/>
    <cellStyle name="40% - 강조색2 21" xfId="279"/>
    <cellStyle name="40% - 강조색2 22" xfId="280"/>
    <cellStyle name="40% - 강조색2 23" xfId="281"/>
    <cellStyle name="40% - 강조색2 24" xfId="282"/>
    <cellStyle name="40% - 강조색2 25" xfId="283"/>
    <cellStyle name="40% - 강조색2 3" xfId="284"/>
    <cellStyle name="40% - 강조색2 4" xfId="285"/>
    <cellStyle name="40% - 강조색2 4 2" xfId="286"/>
    <cellStyle name="40% - 강조색2 5" xfId="287"/>
    <cellStyle name="40% - 강조색2 5 2" xfId="288"/>
    <cellStyle name="40% - 강조색2 6" xfId="289"/>
    <cellStyle name="40% - 강조색2 6 2" xfId="290"/>
    <cellStyle name="40% - 강조색2 7" xfId="291"/>
    <cellStyle name="40% - 강조색2 7 2" xfId="292"/>
    <cellStyle name="40% - 강조색2 8" xfId="293"/>
    <cellStyle name="40% - 강조색2 8 2" xfId="294"/>
    <cellStyle name="40% - 강조색2 9" xfId="295"/>
    <cellStyle name="40% - 강조색2 9 2" xfId="296"/>
    <cellStyle name="40% - 강조색3" xfId="297" builtinId="39" customBuiltin="1"/>
    <cellStyle name="40% - 강조색3 10" xfId="298"/>
    <cellStyle name="40% - 강조색3 10 2" xfId="299"/>
    <cellStyle name="40% - 강조색3 11" xfId="300"/>
    <cellStyle name="40% - 강조색3 11 2" xfId="301"/>
    <cellStyle name="40% - 강조색3 12" xfId="302"/>
    <cellStyle name="40% - 강조색3 12 2" xfId="303"/>
    <cellStyle name="40% - 강조색3 13" xfId="304"/>
    <cellStyle name="40% - 강조색3 13 2" xfId="305"/>
    <cellStyle name="40% - 강조색3 14" xfId="306"/>
    <cellStyle name="40% - 강조색3 14 2" xfId="307"/>
    <cellStyle name="40% - 강조색3 15" xfId="308"/>
    <cellStyle name="40% - 강조색3 15 2" xfId="309"/>
    <cellStyle name="40% - 강조색3 16" xfId="310"/>
    <cellStyle name="40% - 강조색3 17" xfId="311"/>
    <cellStyle name="40% - 강조색3 18" xfId="312"/>
    <cellStyle name="40% - 강조색3 19" xfId="313"/>
    <cellStyle name="40% - 강조색3 2" xfId="314"/>
    <cellStyle name="40% - 강조색3 20" xfId="315"/>
    <cellStyle name="40% - 강조색3 21" xfId="316"/>
    <cellStyle name="40% - 강조색3 22" xfId="317"/>
    <cellStyle name="40% - 강조색3 23" xfId="318"/>
    <cellStyle name="40% - 강조색3 24" xfId="319"/>
    <cellStyle name="40% - 강조색3 25" xfId="320"/>
    <cellStyle name="40% - 강조색3 3" xfId="321"/>
    <cellStyle name="40% - 강조색3 4" xfId="322"/>
    <cellStyle name="40% - 강조색3 4 2" xfId="323"/>
    <cellStyle name="40% - 강조색3 5" xfId="324"/>
    <cellStyle name="40% - 강조색3 5 2" xfId="325"/>
    <cellStyle name="40% - 강조색3 6" xfId="326"/>
    <cellStyle name="40% - 강조색3 6 2" xfId="327"/>
    <cellStyle name="40% - 강조색3 7" xfId="328"/>
    <cellStyle name="40% - 강조색3 7 2" xfId="329"/>
    <cellStyle name="40% - 강조색3 8" xfId="330"/>
    <cellStyle name="40% - 강조색3 8 2" xfId="331"/>
    <cellStyle name="40% - 강조색3 9" xfId="332"/>
    <cellStyle name="40% - 강조색3 9 2" xfId="333"/>
    <cellStyle name="40% - 강조색4" xfId="334" builtinId="43" customBuiltin="1"/>
    <cellStyle name="40% - 강조색4 10" xfId="335"/>
    <cellStyle name="40% - 강조색4 10 2" xfId="336"/>
    <cellStyle name="40% - 강조색4 11" xfId="337"/>
    <cellStyle name="40% - 강조색4 11 2" xfId="338"/>
    <cellStyle name="40% - 강조색4 12" xfId="339"/>
    <cellStyle name="40% - 강조색4 12 2" xfId="340"/>
    <cellStyle name="40% - 강조색4 13" xfId="341"/>
    <cellStyle name="40% - 강조색4 13 2" xfId="342"/>
    <cellStyle name="40% - 강조색4 14" xfId="343"/>
    <cellStyle name="40% - 강조색4 14 2" xfId="344"/>
    <cellStyle name="40% - 강조색4 15" xfId="345"/>
    <cellStyle name="40% - 강조색4 15 2" xfId="346"/>
    <cellStyle name="40% - 강조색4 16" xfId="347"/>
    <cellStyle name="40% - 강조색4 17" xfId="348"/>
    <cellStyle name="40% - 강조색4 18" xfId="349"/>
    <cellStyle name="40% - 강조색4 19" xfId="350"/>
    <cellStyle name="40% - 강조색4 2" xfId="351"/>
    <cellStyle name="40% - 강조색4 20" xfId="352"/>
    <cellStyle name="40% - 강조색4 21" xfId="353"/>
    <cellStyle name="40% - 강조색4 22" xfId="354"/>
    <cellStyle name="40% - 강조색4 23" xfId="355"/>
    <cellStyle name="40% - 강조색4 24" xfId="356"/>
    <cellStyle name="40% - 강조색4 25" xfId="357"/>
    <cellStyle name="40% - 강조색4 3" xfId="358"/>
    <cellStyle name="40% - 강조색4 4" xfId="359"/>
    <cellStyle name="40% - 강조색4 4 2" xfId="360"/>
    <cellStyle name="40% - 강조색4 5" xfId="361"/>
    <cellStyle name="40% - 강조색4 5 2" xfId="362"/>
    <cellStyle name="40% - 강조색4 6" xfId="363"/>
    <cellStyle name="40% - 강조색4 6 2" xfId="364"/>
    <cellStyle name="40% - 강조색4 7" xfId="365"/>
    <cellStyle name="40% - 강조색4 7 2" xfId="366"/>
    <cellStyle name="40% - 강조색4 8" xfId="367"/>
    <cellStyle name="40% - 강조색4 8 2" xfId="368"/>
    <cellStyle name="40% - 강조색4 9" xfId="369"/>
    <cellStyle name="40% - 강조색4 9 2" xfId="370"/>
    <cellStyle name="40% - 강조색5" xfId="371" builtinId="47" customBuiltin="1"/>
    <cellStyle name="40% - 강조색5 10" xfId="372"/>
    <cellStyle name="40% - 강조색5 10 2" xfId="373"/>
    <cellStyle name="40% - 강조색5 11" xfId="374"/>
    <cellStyle name="40% - 강조색5 11 2" xfId="375"/>
    <cellStyle name="40% - 강조색5 12" xfId="376"/>
    <cellStyle name="40% - 강조색5 12 2" xfId="377"/>
    <cellStyle name="40% - 강조색5 13" xfId="378"/>
    <cellStyle name="40% - 강조색5 13 2" xfId="379"/>
    <cellStyle name="40% - 강조색5 14" xfId="380"/>
    <cellStyle name="40% - 강조색5 14 2" xfId="381"/>
    <cellStyle name="40% - 강조색5 15" xfId="382"/>
    <cellStyle name="40% - 강조색5 15 2" xfId="383"/>
    <cellStyle name="40% - 강조색5 16" xfId="384"/>
    <cellStyle name="40% - 강조색5 17" xfId="385"/>
    <cellStyle name="40% - 강조색5 18" xfId="386"/>
    <cellStyle name="40% - 강조색5 19" xfId="387"/>
    <cellStyle name="40% - 강조색5 2" xfId="388"/>
    <cellStyle name="40% - 강조색5 20" xfId="389"/>
    <cellStyle name="40% - 강조색5 21" xfId="390"/>
    <cellStyle name="40% - 강조색5 22" xfId="391"/>
    <cellStyle name="40% - 강조색5 23" xfId="392"/>
    <cellStyle name="40% - 강조색5 24" xfId="393"/>
    <cellStyle name="40% - 강조색5 25" xfId="394"/>
    <cellStyle name="40% - 강조색5 3" xfId="395"/>
    <cellStyle name="40% - 강조색5 4" xfId="396"/>
    <cellStyle name="40% - 강조색5 4 2" xfId="397"/>
    <cellStyle name="40% - 강조색5 5" xfId="398"/>
    <cellStyle name="40% - 강조색5 5 2" xfId="399"/>
    <cellStyle name="40% - 강조색5 6" xfId="400"/>
    <cellStyle name="40% - 강조색5 6 2" xfId="401"/>
    <cellStyle name="40% - 강조색5 7" xfId="402"/>
    <cellStyle name="40% - 강조색5 7 2" xfId="403"/>
    <cellStyle name="40% - 강조색5 8" xfId="404"/>
    <cellStyle name="40% - 강조색5 8 2" xfId="405"/>
    <cellStyle name="40% - 강조색5 9" xfId="406"/>
    <cellStyle name="40% - 강조색5 9 2" xfId="407"/>
    <cellStyle name="40% - 강조색6" xfId="408" builtinId="51" customBuiltin="1"/>
    <cellStyle name="40% - 강조색6 10" xfId="409"/>
    <cellStyle name="40% - 강조색6 10 2" xfId="410"/>
    <cellStyle name="40% - 강조색6 11" xfId="411"/>
    <cellStyle name="40% - 강조색6 11 2" xfId="412"/>
    <cellStyle name="40% - 강조색6 12" xfId="413"/>
    <cellStyle name="40% - 강조색6 12 2" xfId="414"/>
    <cellStyle name="40% - 강조색6 13" xfId="415"/>
    <cellStyle name="40% - 강조색6 13 2" xfId="416"/>
    <cellStyle name="40% - 강조색6 14" xfId="417"/>
    <cellStyle name="40% - 강조색6 14 2" xfId="418"/>
    <cellStyle name="40% - 강조색6 15" xfId="419"/>
    <cellStyle name="40% - 강조색6 15 2" xfId="420"/>
    <cellStyle name="40% - 강조색6 16" xfId="421"/>
    <cellStyle name="40% - 강조색6 17" xfId="422"/>
    <cellStyle name="40% - 강조색6 18" xfId="423"/>
    <cellStyle name="40% - 강조색6 19" xfId="424"/>
    <cellStyle name="40% - 강조색6 2" xfId="425"/>
    <cellStyle name="40% - 강조색6 20" xfId="426"/>
    <cellStyle name="40% - 강조색6 21" xfId="427"/>
    <cellStyle name="40% - 강조색6 22" xfId="428"/>
    <cellStyle name="40% - 강조색6 23" xfId="429"/>
    <cellStyle name="40% - 강조색6 24" xfId="430"/>
    <cellStyle name="40% - 강조색6 25" xfId="431"/>
    <cellStyle name="40% - 강조색6 3" xfId="432"/>
    <cellStyle name="40% - 강조색6 4" xfId="433"/>
    <cellStyle name="40% - 강조색6 4 2" xfId="434"/>
    <cellStyle name="40% - 강조색6 5" xfId="435"/>
    <cellStyle name="40% - 강조색6 5 2" xfId="436"/>
    <cellStyle name="40% - 강조색6 6" xfId="437"/>
    <cellStyle name="40% - 강조색6 6 2" xfId="438"/>
    <cellStyle name="40% - 강조색6 7" xfId="439"/>
    <cellStyle name="40% - 강조색6 7 2" xfId="440"/>
    <cellStyle name="40% - 강조색6 8" xfId="441"/>
    <cellStyle name="40% - 강조색6 8 2" xfId="442"/>
    <cellStyle name="40% - 강조색6 9" xfId="443"/>
    <cellStyle name="40% - 강조색6 9 2" xfId="444"/>
    <cellStyle name="60% - 강조색1" xfId="445" builtinId="32" customBuiltin="1"/>
    <cellStyle name="60% - 강조색1 10" xfId="446"/>
    <cellStyle name="60% - 강조색1 10 2" xfId="447"/>
    <cellStyle name="60% - 강조색1 11" xfId="448"/>
    <cellStyle name="60% - 강조색1 11 2" xfId="449"/>
    <cellStyle name="60% - 강조색1 12" xfId="450"/>
    <cellStyle name="60% - 강조색1 12 2" xfId="451"/>
    <cellStyle name="60% - 강조색1 13" xfId="452"/>
    <cellStyle name="60% - 강조색1 13 2" xfId="453"/>
    <cellStyle name="60% - 강조색1 14" xfId="454"/>
    <cellStyle name="60% - 강조색1 14 2" xfId="455"/>
    <cellStyle name="60% - 강조색1 15" xfId="456"/>
    <cellStyle name="60% - 강조색1 15 2" xfId="457"/>
    <cellStyle name="60% - 강조색1 16" xfId="458"/>
    <cellStyle name="60% - 강조색1 17" xfId="459"/>
    <cellStyle name="60% - 강조색1 18" xfId="460"/>
    <cellStyle name="60% - 강조색1 19" xfId="461"/>
    <cellStyle name="60% - 강조색1 2" xfId="462"/>
    <cellStyle name="60% - 강조색1 20" xfId="463"/>
    <cellStyle name="60% - 강조색1 21" xfId="464"/>
    <cellStyle name="60% - 강조색1 22" xfId="465"/>
    <cellStyle name="60% - 강조색1 23" xfId="466"/>
    <cellStyle name="60% - 강조색1 24" xfId="467"/>
    <cellStyle name="60% - 강조색1 25" xfId="468"/>
    <cellStyle name="60% - 강조색1 3" xfId="469"/>
    <cellStyle name="60% - 강조색1 4" xfId="470"/>
    <cellStyle name="60% - 강조색1 4 2" xfId="471"/>
    <cellStyle name="60% - 강조색1 5" xfId="472"/>
    <cellStyle name="60% - 강조색1 5 2" xfId="473"/>
    <cellStyle name="60% - 강조색1 6" xfId="474"/>
    <cellStyle name="60% - 강조색1 6 2" xfId="475"/>
    <cellStyle name="60% - 강조색1 7" xfId="476"/>
    <cellStyle name="60% - 강조색1 7 2" xfId="477"/>
    <cellStyle name="60% - 강조색1 8" xfId="478"/>
    <cellStyle name="60% - 강조색1 8 2" xfId="479"/>
    <cellStyle name="60% - 강조색1 9" xfId="480"/>
    <cellStyle name="60% - 강조색1 9 2" xfId="481"/>
    <cellStyle name="60% - 강조색2" xfId="482" builtinId="36" customBuiltin="1"/>
    <cellStyle name="60% - 강조색2 10" xfId="483"/>
    <cellStyle name="60% - 강조색2 10 2" xfId="484"/>
    <cellStyle name="60% - 강조색2 11" xfId="485"/>
    <cellStyle name="60% - 강조색2 11 2" xfId="486"/>
    <cellStyle name="60% - 강조색2 12" xfId="487"/>
    <cellStyle name="60% - 강조색2 12 2" xfId="488"/>
    <cellStyle name="60% - 강조색2 13" xfId="489"/>
    <cellStyle name="60% - 강조색2 13 2" xfId="490"/>
    <cellStyle name="60% - 강조색2 14" xfId="491"/>
    <cellStyle name="60% - 강조색2 14 2" xfId="492"/>
    <cellStyle name="60% - 강조색2 15" xfId="493"/>
    <cellStyle name="60% - 강조색2 15 2" xfId="494"/>
    <cellStyle name="60% - 강조색2 16" xfId="495"/>
    <cellStyle name="60% - 강조색2 17" xfId="496"/>
    <cellStyle name="60% - 강조색2 18" xfId="497"/>
    <cellStyle name="60% - 강조색2 19" xfId="498"/>
    <cellStyle name="60% - 강조색2 2" xfId="499"/>
    <cellStyle name="60% - 강조색2 20" xfId="500"/>
    <cellStyle name="60% - 강조색2 21" xfId="501"/>
    <cellStyle name="60% - 강조색2 22" xfId="502"/>
    <cellStyle name="60% - 강조색2 23" xfId="503"/>
    <cellStyle name="60% - 강조색2 24" xfId="504"/>
    <cellStyle name="60% - 강조색2 25" xfId="505"/>
    <cellStyle name="60% - 강조색2 3" xfId="506"/>
    <cellStyle name="60% - 강조색2 4" xfId="507"/>
    <cellStyle name="60% - 강조색2 4 2" xfId="508"/>
    <cellStyle name="60% - 강조색2 5" xfId="509"/>
    <cellStyle name="60% - 강조색2 5 2" xfId="510"/>
    <cellStyle name="60% - 강조색2 6" xfId="511"/>
    <cellStyle name="60% - 강조색2 6 2" xfId="512"/>
    <cellStyle name="60% - 강조색2 7" xfId="513"/>
    <cellStyle name="60% - 강조색2 7 2" xfId="514"/>
    <cellStyle name="60% - 강조색2 8" xfId="515"/>
    <cellStyle name="60% - 강조색2 8 2" xfId="516"/>
    <cellStyle name="60% - 강조색2 9" xfId="517"/>
    <cellStyle name="60% - 강조색2 9 2" xfId="518"/>
    <cellStyle name="60% - 강조색3" xfId="519" builtinId="40" customBuiltin="1"/>
    <cellStyle name="60% - 강조색3 10" xfId="520"/>
    <cellStyle name="60% - 강조색3 10 2" xfId="521"/>
    <cellStyle name="60% - 강조색3 11" xfId="522"/>
    <cellStyle name="60% - 강조색3 11 2" xfId="523"/>
    <cellStyle name="60% - 강조색3 12" xfId="524"/>
    <cellStyle name="60% - 강조색3 12 2" xfId="525"/>
    <cellStyle name="60% - 강조색3 13" xfId="526"/>
    <cellStyle name="60% - 강조색3 13 2" xfId="527"/>
    <cellStyle name="60% - 강조색3 14" xfId="528"/>
    <cellStyle name="60% - 강조색3 14 2" xfId="529"/>
    <cellStyle name="60% - 강조색3 15" xfId="530"/>
    <cellStyle name="60% - 강조색3 15 2" xfId="531"/>
    <cellStyle name="60% - 강조색3 16" xfId="532"/>
    <cellStyle name="60% - 강조색3 17" xfId="533"/>
    <cellStyle name="60% - 강조색3 18" xfId="534"/>
    <cellStyle name="60% - 강조색3 19" xfId="535"/>
    <cellStyle name="60% - 강조색3 2" xfId="536"/>
    <cellStyle name="60% - 강조색3 20" xfId="537"/>
    <cellStyle name="60% - 강조색3 21" xfId="538"/>
    <cellStyle name="60% - 강조색3 22" xfId="539"/>
    <cellStyle name="60% - 강조색3 23" xfId="540"/>
    <cellStyle name="60% - 강조색3 24" xfId="541"/>
    <cellStyle name="60% - 강조색3 25" xfId="542"/>
    <cellStyle name="60% - 강조색3 3" xfId="543"/>
    <cellStyle name="60% - 강조색3 4" xfId="544"/>
    <cellStyle name="60% - 강조색3 4 2" xfId="545"/>
    <cellStyle name="60% - 강조색3 5" xfId="546"/>
    <cellStyle name="60% - 강조색3 5 2" xfId="547"/>
    <cellStyle name="60% - 강조색3 6" xfId="548"/>
    <cellStyle name="60% - 강조색3 6 2" xfId="549"/>
    <cellStyle name="60% - 강조색3 7" xfId="550"/>
    <cellStyle name="60% - 강조색3 7 2" xfId="551"/>
    <cellStyle name="60% - 강조색3 8" xfId="552"/>
    <cellStyle name="60% - 강조색3 8 2" xfId="553"/>
    <cellStyle name="60% - 강조색3 9" xfId="554"/>
    <cellStyle name="60% - 강조색3 9 2" xfId="555"/>
    <cellStyle name="60% - 강조색4" xfId="556" builtinId="44" customBuiltin="1"/>
    <cellStyle name="60% - 강조색4 10" xfId="557"/>
    <cellStyle name="60% - 강조색4 10 2" xfId="558"/>
    <cellStyle name="60% - 강조색4 11" xfId="559"/>
    <cellStyle name="60% - 강조색4 11 2" xfId="560"/>
    <cellStyle name="60% - 강조색4 12" xfId="561"/>
    <cellStyle name="60% - 강조색4 12 2" xfId="562"/>
    <cellStyle name="60% - 강조색4 13" xfId="563"/>
    <cellStyle name="60% - 강조색4 13 2" xfId="564"/>
    <cellStyle name="60% - 강조색4 14" xfId="565"/>
    <cellStyle name="60% - 강조색4 14 2" xfId="566"/>
    <cellStyle name="60% - 강조색4 15" xfId="567"/>
    <cellStyle name="60% - 강조색4 15 2" xfId="568"/>
    <cellStyle name="60% - 강조색4 16" xfId="569"/>
    <cellStyle name="60% - 강조색4 17" xfId="570"/>
    <cellStyle name="60% - 강조색4 18" xfId="571"/>
    <cellStyle name="60% - 강조색4 19" xfId="572"/>
    <cellStyle name="60% - 강조색4 2" xfId="573"/>
    <cellStyle name="60% - 강조색4 20" xfId="574"/>
    <cellStyle name="60% - 강조색4 21" xfId="575"/>
    <cellStyle name="60% - 강조색4 22" xfId="576"/>
    <cellStyle name="60% - 강조색4 23" xfId="577"/>
    <cellStyle name="60% - 강조색4 24" xfId="578"/>
    <cellStyle name="60% - 강조색4 25" xfId="579"/>
    <cellStyle name="60% - 강조색4 3" xfId="580"/>
    <cellStyle name="60% - 강조색4 4" xfId="581"/>
    <cellStyle name="60% - 강조색4 4 2" xfId="582"/>
    <cellStyle name="60% - 강조색4 5" xfId="583"/>
    <cellStyle name="60% - 강조색4 5 2" xfId="584"/>
    <cellStyle name="60% - 강조색4 6" xfId="585"/>
    <cellStyle name="60% - 강조색4 6 2" xfId="586"/>
    <cellStyle name="60% - 강조색4 7" xfId="587"/>
    <cellStyle name="60% - 강조색4 7 2" xfId="588"/>
    <cellStyle name="60% - 강조색4 8" xfId="589"/>
    <cellStyle name="60% - 강조색4 8 2" xfId="590"/>
    <cellStyle name="60% - 강조색4 9" xfId="591"/>
    <cellStyle name="60% - 강조색4 9 2" xfId="592"/>
    <cellStyle name="60% - 강조색5" xfId="593" builtinId="48" customBuiltin="1"/>
    <cellStyle name="60% - 강조색5 10" xfId="594"/>
    <cellStyle name="60% - 강조색5 10 2" xfId="595"/>
    <cellStyle name="60% - 강조색5 11" xfId="596"/>
    <cellStyle name="60% - 강조색5 11 2" xfId="597"/>
    <cellStyle name="60% - 강조색5 12" xfId="598"/>
    <cellStyle name="60% - 강조색5 12 2" xfId="599"/>
    <cellStyle name="60% - 강조색5 13" xfId="600"/>
    <cellStyle name="60% - 강조색5 13 2" xfId="601"/>
    <cellStyle name="60% - 강조색5 14" xfId="602"/>
    <cellStyle name="60% - 강조색5 14 2" xfId="603"/>
    <cellStyle name="60% - 강조색5 15" xfId="604"/>
    <cellStyle name="60% - 강조색5 15 2" xfId="605"/>
    <cellStyle name="60% - 강조색5 16" xfId="606"/>
    <cellStyle name="60% - 강조색5 17" xfId="607"/>
    <cellStyle name="60% - 강조색5 18" xfId="608"/>
    <cellStyle name="60% - 강조색5 19" xfId="609"/>
    <cellStyle name="60% - 강조색5 2" xfId="610"/>
    <cellStyle name="60% - 강조색5 20" xfId="611"/>
    <cellStyle name="60% - 강조색5 21" xfId="612"/>
    <cellStyle name="60% - 강조색5 22" xfId="613"/>
    <cellStyle name="60% - 강조색5 23" xfId="614"/>
    <cellStyle name="60% - 강조색5 24" xfId="615"/>
    <cellStyle name="60% - 강조색5 25" xfId="616"/>
    <cellStyle name="60% - 강조색5 3" xfId="617"/>
    <cellStyle name="60% - 강조색5 4" xfId="618"/>
    <cellStyle name="60% - 강조색5 4 2" xfId="619"/>
    <cellStyle name="60% - 강조색5 5" xfId="620"/>
    <cellStyle name="60% - 강조색5 5 2" xfId="621"/>
    <cellStyle name="60% - 강조색5 6" xfId="622"/>
    <cellStyle name="60% - 강조색5 6 2" xfId="623"/>
    <cellStyle name="60% - 강조색5 7" xfId="624"/>
    <cellStyle name="60% - 강조색5 7 2" xfId="625"/>
    <cellStyle name="60% - 강조색5 8" xfId="626"/>
    <cellStyle name="60% - 강조색5 8 2" xfId="627"/>
    <cellStyle name="60% - 강조색5 9" xfId="628"/>
    <cellStyle name="60% - 강조색5 9 2" xfId="629"/>
    <cellStyle name="60% - 강조색6" xfId="630" builtinId="52" customBuiltin="1"/>
    <cellStyle name="60% - 강조색6 10" xfId="631"/>
    <cellStyle name="60% - 강조색6 10 2" xfId="632"/>
    <cellStyle name="60% - 강조색6 11" xfId="633"/>
    <cellStyle name="60% - 강조색6 11 2" xfId="634"/>
    <cellStyle name="60% - 강조색6 12" xfId="635"/>
    <cellStyle name="60% - 강조색6 12 2" xfId="636"/>
    <cellStyle name="60% - 강조색6 13" xfId="637"/>
    <cellStyle name="60% - 강조색6 13 2" xfId="638"/>
    <cellStyle name="60% - 강조색6 14" xfId="639"/>
    <cellStyle name="60% - 강조색6 14 2" xfId="640"/>
    <cellStyle name="60% - 강조색6 15" xfId="641"/>
    <cellStyle name="60% - 강조색6 15 2" xfId="642"/>
    <cellStyle name="60% - 강조색6 16" xfId="643"/>
    <cellStyle name="60% - 강조색6 17" xfId="644"/>
    <cellStyle name="60% - 강조색6 18" xfId="645"/>
    <cellStyle name="60% - 강조색6 19" xfId="646"/>
    <cellStyle name="60% - 강조색6 2" xfId="647"/>
    <cellStyle name="60% - 강조색6 20" xfId="648"/>
    <cellStyle name="60% - 강조색6 21" xfId="649"/>
    <cellStyle name="60% - 강조색6 22" xfId="650"/>
    <cellStyle name="60% - 강조색6 23" xfId="651"/>
    <cellStyle name="60% - 강조색6 24" xfId="652"/>
    <cellStyle name="60% - 강조색6 25" xfId="653"/>
    <cellStyle name="60% - 강조색6 3" xfId="654"/>
    <cellStyle name="60% - 강조색6 4" xfId="655"/>
    <cellStyle name="60% - 강조색6 4 2" xfId="656"/>
    <cellStyle name="60% - 강조색6 5" xfId="657"/>
    <cellStyle name="60% - 강조색6 5 2" xfId="658"/>
    <cellStyle name="60% - 강조색6 6" xfId="659"/>
    <cellStyle name="60% - 강조색6 6 2" xfId="660"/>
    <cellStyle name="60% - 강조색6 7" xfId="661"/>
    <cellStyle name="60% - 강조색6 7 2" xfId="662"/>
    <cellStyle name="60% - 강조색6 8" xfId="663"/>
    <cellStyle name="60% - 강조색6 8 2" xfId="664"/>
    <cellStyle name="60% - 강조색6 9" xfId="665"/>
    <cellStyle name="60% - 강조색6 9 2" xfId="666"/>
    <cellStyle name="Currency [0]_laroux" xfId="667"/>
    <cellStyle name="Currency_laroux" xfId="668"/>
    <cellStyle name="Normal_Certs Q2" xfId="669"/>
    <cellStyle name="강조색1" xfId="670" builtinId="29" customBuiltin="1"/>
    <cellStyle name="강조색1 10" xfId="671"/>
    <cellStyle name="강조색1 10 2" xfId="672"/>
    <cellStyle name="강조색1 11" xfId="673"/>
    <cellStyle name="강조색1 11 2" xfId="674"/>
    <cellStyle name="강조색1 12" xfId="675"/>
    <cellStyle name="강조색1 12 2" xfId="676"/>
    <cellStyle name="강조색1 13" xfId="677"/>
    <cellStyle name="강조색1 13 2" xfId="678"/>
    <cellStyle name="강조색1 14" xfId="679"/>
    <cellStyle name="강조색1 14 2" xfId="680"/>
    <cellStyle name="강조색1 15" xfId="681"/>
    <cellStyle name="강조색1 15 2" xfId="682"/>
    <cellStyle name="강조색1 16" xfId="683"/>
    <cellStyle name="강조색1 17" xfId="684"/>
    <cellStyle name="강조색1 18" xfId="685"/>
    <cellStyle name="강조색1 19" xfId="686"/>
    <cellStyle name="강조색1 2" xfId="687"/>
    <cellStyle name="강조색1 20" xfId="688"/>
    <cellStyle name="강조색1 21" xfId="689"/>
    <cellStyle name="강조색1 22" xfId="690"/>
    <cellStyle name="강조색1 23" xfId="691"/>
    <cellStyle name="강조색1 24" xfId="692"/>
    <cellStyle name="강조색1 25" xfId="693"/>
    <cellStyle name="강조색1 3" xfId="694"/>
    <cellStyle name="강조색1 4" xfId="695"/>
    <cellStyle name="강조색1 4 2" xfId="696"/>
    <cellStyle name="강조색1 5" xfId="697"/>
    <cellStyle name="강조색1 5 2" xfId="698"/>
    <cellStyle name="강조색1 6" xfId="699"/>
    <cellStyle name="강조색1 6 2" xfId="700"/>
    <cellStyle name="강조색1 7" xfId="701"/>
    <cellStyle name="강조색1 7 2" xfId="702"/>
    <cellStyle name="강조색1 8" xfId="703"/>
    <cellStyle name="강조색1 8 2" xfId="704"/>
    <cellStyle name="강조색1 9" xfId="705"/>
    <cellStyle name="강조색1 9 2" xfId="706"/>
    <cellStyle name="강조색2" xfId="707" builtinId="33" customBuiltin="1"/>
    <cellStyle name="강조색2 10" xfId="708"/>
    <cellStyle name="강조색2 10 2" xfId="709"/>
    <cellStyle name="강조색2 11" xfId="710"/>
    <cellStyle name="강조색2 11 2" xfId="711"/>
    <cellStyle name="강조색2 12" xfId="712"/>
    <cellStyle name="강조색2 12 2" xfId="713"/>
    <cellStyle name="강조색2 13" xfId="714"/>
    <cellStyle name="강조색2 13 2" xfId="715"/>
    <cellStyle name="강조색2 14" xfId="716"/>
    <cellStyle name="강조색2 14 2" xfId="717"/>
    <cellStyle name="강조색2 15" xfId="718"/>
    <cellStyle name="강조색2 15 2" xfId="719"/>
    <cellStyle name="강조색2 16" xfId="720"/>
    <cellStyle name="강조색2 17" xfId="721"/>
    <cellStyle name="강조색2 18" xfId="722"/>
    <cellStyle name="강조색2 19" xfId="723"/>
    <cellStyle name="강조색2 2" xfId="724"/>
    <cellStyle name="강조색2 20" xfId="725"/>
    <cellStyle name="강조색2 21" xfId="726"/>
    <cellStyle name="강조색2 22" xfId="727"/>
    <cellStyle name="강조색2 23" xfId="728"/>
    <cellStyle name="강조색2 24" xfId="729"/>
    <cellStyle name="강조색2 25" xfId="730"/>
    <cellStyle name="강조색2 3" xfId="731"/>
    <cellStyle name="강조색2 4" xfId="732"/>
    <cellStyle name="강조색2 4 2" xfId="733"/>
    <cellStyle name="강조색2 5" xfId="734"/>
    <cellStyle name="강조색2 5 2" xfId="735"/>
    <cellStyle name="강조색2 6" xfId="736"/>
    <cellStyle name="강조색2 6 2" xfId="737"/>
    <cellStyle name="강조색2 7" xfId="738"/>
    <cellStyle name="강조색2 7 2" xfId="739"/>
    <cellStyle name="강조색2 8" xfId="740"/>
    <cellStyle name="강조색2 8 2" xfId="741"/>
    <cellStyle name="강조색2 9" xfId="742"/>
    <cellStyle name="강조색2 9 2" xfId="743"/>
    <cellStyle name="강조색3" xfId="744" builtinId="37" customBuiltin="1"/>
    <cellStyle name="강조색3 10" xfId="745"/>
    <cellStyle name="강조색3 10 2" xfId="746"/>
    <cellStyle name="강조색3 11" xfId="747"/>
    <cellStyle name="강조색3 11 2" xfId="748"/>
    <cellStyle name="강조색3 12" xfId="749"/>
    <cellStyle name="강조색3 12 2" xfId="750"/>
    <cellStyle name="강조색3 13" xfId="751"/>
    <cellStyle name="강조색3 13 2" xfId="752"/>
    <cellStyle name="강조색3 14" xfId="753"/>
    <cellStyle name="강조색3 14 2" xfId="754"/>
    <cellStyle name="강조색3 15" xfId="755"/>
    <cellStyle name="강조색3 15 2" xfId="756"/>
    <cellStyle name="강조색3 16" xfId="757"/>
    <cellStyle name="강조색3 17" xfId="758"/>
    <cellStyle name="강조색3 18" xfId="759"/>
    <cellStyle name="강조색3 19" xfId="760"/>
    <cellStyle name="강조색3 2" xfId="761"/>
    <cellStyle name="강조색3 20" xfId="762"/>
    <cellStyle name="강조색3 21" xfId="763"/>
    <cellStyle name="강조색3 22" xfId="764"/>
    <cellStyle name="강조색3 23" xfId="765"/>
    <cellStyle name="강조색3 24" xfId="766"/>
    <cellStyle name="강조색3 25" xfId="767"/>
    <cellStyle name="강조색3 3" xfId="768"/>
    <cellStyle name="강조색3 4" xfId="769"/>
    <cellStyle name="강조색3 4 2" xfId="770"/>
    <cellStyle name="강조색3 5" xfId="771"/>
    <cellStyle name="강조색3 5 2" xfId="772"/>
    <cellStyle name="강조색3 6" xfId="773"/>
    <cellStyle name="강조색3 6 2" xfId="774"/>
    <cellStyle name="강조색3 7" xfId="775"/>
    <cellStyle name="강조색3 7 2" xfId="776"/>
    <cellStyle name="강조색3 8" xfId="777"/>
    <cellStyle name="강조색3 8 2" xfId="778"/>
    <cellStyle name="강조색3 9" xfId="779"/>
    <cellStyle name="강조색3 9 2" xfId="780"/>
    <cellStyle name="강조색4" xfId="781" builtinId="41" customBuiltin="1"/>
    <cellStyle name="강조색4 10" xfId="782"/>
    <cellStyle name="강조색4 10 2" xfId="783"/>
    <cellStyle name="강조색4 11" xfId="784"/>
    <cellStyle name="강조색4 11 2" xfId="785"/>
    <cellStyle name="강조색4 12" xfId="786"/>
    <cellStyle name="강조색4 12 2" xfId="787"/>
    <cellStyle name="강조색4 13" xfId="788"/>
    <cellStyle name="강조색4 13 2" xfId="789"/>
    <cellStyle name="강조색4 14" xfId="790"/>
    <cellStyle name="강조색4 14 2" xfId="791"/>
    <cellStyle name="강조색4 15" xfId="792"/>
    <cellStyle name="강조색4 15 2" xfId="793"/>
    <cellStyle name="강조색4 16" xfId="794"/>
    <cellStyle name="강조색4 17" xfId="795"/>
    <cellStyle name="강조색4 18" xfId="796"/>
    <cellStyle name="강조색4 19" xfId="797"/>
    <cellStyle name="강조색4 2" xfId="798"/>
    <cellStyle name="강조색4 20" xfId="799"/>
    <cellStyle name="강조색4 21" xfId="800"/>
    <cellStyle name="강조색4 22" xfId="801"/>
    <cellStyle name="강조색4 23" xfId="802"/>
    <cellStyle name="강조색4 24" xfId="803"/>
    <cellStyle name="강조색4 25" xfId="804"/>
    <cellStyle name="강조색4 3" xfId="805"/>
    <cellStyle name="강조색4 4" xfId="806"/>
    <cellStyle name="강조색4 4 2" xfId="807"/>
    <cellStyle name="강조색4 5" xfId="808"/>
    <cellStyle name="강조색4 5 2" xfId="809"/>
    <cellStyle name="강조색4 6" xfId="810"/>
    <cellStyle name="강조색4 6 2" xfId="811"/>
    <cellStyle name="강조색4 7" xfId="812"/>
    <cellStyle name="강조색4 7 2" xfId="813"/>
    <cellStyle name="강조색4 8" xfId="814"/>
    <cellStyle name="강조색4 8 2" xfId="815"/>
    <cellStyle name="강조색4 9" xfId="816"/>
    <cellStyle name="강조색4 9 2" xfId="817"/>
    <cellStyle name="강조색5" xfId="818" builtinId="45" customBuiltin="1"/>
    <cellStyle name="강조색5 10" xfId="819"/>
    <cellStyle name="강조색5 10 2" xfId="820"/>
    <cellStyle name="강조색5 11" xfId="821"/>
    <cellStyle name="강조색5 11 2" xfId="822"/>
    <cellStyle name="강조색5 12" xfId="823"/>
    <cellStyle name="강조색5 12 2" xfId="824"/>
    <cellStyle name="강조색5 13" xfId="825"/>
    <cellStyle name="강조색5 13 2" xfId="826"/>
    <cellStyle name="강조색5 14" xfId="827"/>
    <cellStyle name="강조색5 14 2" xfId="828"/>
    <cellStyle name="강조색5 15" xfId="829"/>
    <cellStyle name="강조색5 15 2" xfId="830"/>
    <cellStyle name="강조색5 16" xfId="831"/>
    <cellStyle name="강조색5 17" xfId="832"/>
    <cellStyle name="강조색5 18" xfId="833"/>
    <cellStyle name="강조색5 19" xfId="834"/>
    <cellStyle name="강조색5 2" xfId="835"/>
    <cellStyle name="강조색5 20" xfId="836"/>
    <cellStyle name="강조색5 21" xfId="837"/>
    <cellStyle name="강조색5 22" xfId="838"/>
    <cellStyle name="강조색5 23" xfId="839"/>
    <cellStyle name="강조색5 24" xfId="840"/>
    <cellStyle name="강조색5 25" xfId="841"/>
    <cellStyle name="강조색5 3" xfId="842"/>
    <cellStyle name="강조색5 4" xfId="843"/>
    <cellStyle name="강조색5 4 2" xfId="844"/>
    <cellStyle name="강조색5 5" xfId="845"/>
    <cellStyle name="강조색5 5 2" xfId="846"/>
    <cellStyle name="강조색5 6" xfId="847"/>
    <cellStyle name="강조색5 6 2" xfId="848"/>
    <cellStyle name="강조색5 7" xfId="849"/>
    <cellStyle name="강조색5 7 2" xfId="850"/>
    <cellStyle name="강조색5 8" xfId="851"/>
    <cellStyle name="강조색5 8 2" xfId="852"/>
    <cellStyle name="강조색5 9" xfId="853"/>
    <cellStyle name="강조색5 9 2" xfId="854"/>
    <cellStyle name="강조색6" xfId="855" builtinId="49" customBuiltin="1"/>
    <cellStyle name="강조색6 10" xfId="856"/>
    <cellStyle name="강조색6 10 2" xfId="857"/>
    <cellStyle name="강조색6 11" xfId="858"/>
    <cellStyle name="강조색6 11 2" xfId="859"/>
    <cellStyle name="강조색6 12" xfId="860"/>
    <cellStyle name="강조색6 12 2" xfId="861"/>
    <cellStyle name="강조색6 13" xfId="862"/>
    <cellStyle name="강조색6 13 2" xfId="863"/>
    <cellStyle name="강조색6 14" xfId="864"/>
    <cellStyle name="강조색6 14 2" xfId="865"/>
    <cellStyle name="강조색6 15" xfId="866"/>
    <cellStyle name="강조색6 15 2" xfId="867"/>
    <cellStyle name="강조색6 16" xfId="868"/>
    <cellStyle name="강조색6 17" xfId="869"/>
    <cellStyle name="강조색6 18" xfId="870"/>
    <cellStyle name="강조색6 19" xfId="871"/>
    <cellStyle name="강조색6 2" xfId="872"/>
    <cellStyle name="강조색6 20" xfId="873"/>
    <cellStyle name="강조색6 21" xfId="874"/>
    <cellStyle name="강조색6 22" xfId="875"/>
    <cellStyle name="강조색6 23" xfId="876"/>
    <cellStyle name="강조색6 24" xfId="877"/>
    <cellStyle name="강조색6 25" xfId="878"/>
    <cellStyle name="강조색6 3" xfId="879"/>
    <cellStyle name="강조색6 4" xfId="880"/>
    <cellStyle name="강조색6 4 2" xfId="881"/>
    <cellStyle name="강조색6 5" xfId="882"/>
    <cellStyle name="강조색6 5 2" xfId="883"/>
    <cellStyle name="강조색6 6" xfId="884"/>
    <cellStyle name="강조색6 6 2" xfId="885"/>
    <cellStyle name="강조색6 7" xfId="886"/>
    <cellStyle name="강조색6 7 2" xfId="887"/>
    <cellStyle name="강조색6 8" xfId="888"/>
    <cellStyle name="강조색6 8 2" xfId="889"/>
    <cellStyle name="강조색6 9" xfId="890"/>
    <cellStyle name="강조색6 9 2" xfId="891"/>
    <cellStyle name="경고문" xfId="892" builtinId="11" customBuiltin="1"/>
    <cellStyle name="경고문 10" xfId="893"/>
    <cellStyle name="경고문 10 2" xfId="894"/>
    <cellStyle name="경고문 11" xfId="895"/>
    <cellStyle name="경고문 11 2" xfId="896"/>
    <cellStyle name="경고문 12" xfId="897"/>
    <cellStyle name="경고문 12 2" xfId="898"/>
    <cellStyle name="경고문 13" xfId="899"/>
    <cellStyle name="경고문 13 2" xfId="900"/>
    <cellStyle name="경고문 14" xfId="901"/>
    <cellStyle name="경고문 14 2" xfId="902"/>
    <cellStyle name="경고문 15" xfId="903"/>
    <cellStyle name="경고문 15 2" xfId="904"/>
    <cellStyle name="경고문 16" xfId="905"/>
    <cellStyle name="경고문 17" xfId="906"/>
    <cellStyle name="경고문 18" xfId="907"/>
    <cellStyle name="경고문 19" xfId="908"/>
    <cellStyle name="경고문 2" xfId="909"/>
    <cellStyle name="경고문 20" xfId="910"/>
    <cellStyle name="경고문 21" xfId="911"/>
    <cellStyle name="경고문 22" xfId="912"/>
    <cellStyle name="경고문 23" xfId="913"/>
    <cellStyle name="경고문 24" xfId="914"/>
    <cellStyle name="경고문 25" xfId="915"/>
    <cellStyle name="경고문 3" xfId="916"/>
    <cellStyle name="경고문 4" xfId="917"/>
    <cellStyle name="경고문 4 2" xfId="918"/>
    <cellStyle name="경고문 5" xfId="919"/>
    <cellStyle name="경고문 5 2" xfId="920"/>
    <cellStyle name="경고문 6" xfId="921"/>
    <cellStyle name="경고문 6 2" xfId="922"/>
    <cellStyle name="경고문 7" xfId="923"/>
    <cellStyle name="경고문 7 2" xfId="924"/>
    <cellStyle name="경고문 8" xfId="925"/>
    <cellStyle name="경고문 8 2" xfId="926"/>
    <cellStyle name="경고문 9" xfId="927"/>
    <cellStyle name="경고문 9 2" xfId="928"/>
    <cellStyle name="계산" xfId="929" builtinId="22" customBuiltin="1"/>
    <cellStyle name="계산 10" xfId="930"/>
    <cellStyle name="계산 10 2" xfId="931"/>
    <cellStyle name="계산 11" xfId="932"/>
    <cellStyle name="계산 11 2" xfId="933"/>
    <cellStyle name="계산 12" xfId="934"/>
    <cellStyle name="계산 12 2" xfId="935"/>
    <cellStyle name="계산 13" xfId="936"/>
    <cellStyle name="계산 13 2" xfId="937"/>
    <cellStyle name="계산 14" xfId="938"/>
    <cellStyle name="계산 14 2" xfId="939"/>
    <cellStyle name="계산 15" xfId="940"/>
    <cellStyle name="계산 15 2" xfId="941"/>
    <cellStyle name="계산 16" xfId="942"/>
    <cellStyle name="계산 17" xfId="943"/>
    <cellStyle name="계산 18" xfId="944"/>
    <cellStyle name="계산 19" xfId="945"/>
    <cellStyle name="계산 2" xfId="946"/>
    <cellStyle name="계산 20" xfId="947"/>
    <cellStyle name="계산 21" xfId="948"/>
    <cellStyle name="계산 22" xfId="949"/>
    <cellStyle name="계산 23" xfId="950"/>
    <cellStyle name="계산 24" xfId="951"/>
    <cellStyle name="계산 25" xfId="952"/>
    <cellStyle name="계산 3" xfId="953"/>
    <cellStyle name="계산 4" xfId="954"/>
    <cellStyle name="계산 4 2" xfId="955"/>
    <cellStyle name="계산 5" xfId="956"/>
    <cellStyle name="계산 5 2" xfId="957"/>
    <cellStyle name="계산 6" xfId="958"/>
    <cellStyle name="계산 6 2" xfId="959"/>
    <cellStyle name="계산 7" xfId="960"/>
    <cellStyle name="계산 7 2" xfId="961"/>
    <cellStyle name="계산 8" xfId="962"/>
    <cellStyle name="계산 8 2" xfId="963"/>
    <cellStyle name="계산 9" xfId="964"/>
    <cellStyle name="계산 9 2" xfId="965"/>
    <cellStyle name="나쁨" xfId="966" builtinId="27" customBuiltin="1"/>
    <cellStyle name="나쁨 10" xfId="967"/>
    <cellStyle name="나쁨 10 2" xfId="968"/>
    <cellStyle name="나쁨 11" xfId="969"/>
    <cellStyle name="나쁨 11 2" xfId="970"/>
    <cellStyle name="나쁨 12" xfId="971"/>
    <cellStyle name="나쁨 12 2" xfId="972"/>
    <cellStyle name="나쁨 13" xfId="973"/>
    <cellStyle name="나쁨 13 2" xfId="974"/>
    <cellStyle name="나쁨 14" xfId="975"/>
    <cellStyle name="나쁨 14 2" xfId="976"/>
    <cellStyle name="나쁨 15" xfId="977"/>
    <cellStyle name="나쁨 15 2" xfId="978"/>
    <cellStyle name="나쁨 16" xfId="979"/>
    <cellStyle name="나쁨 17" xfId="980"/>
    <cellStyle name="나쁨 18" xfId="981"/>
    <cellStyle name="나쁨 19" xfId="982"/>
    <cellStyle name="나쁨 2" xfId="983"/>
    <cellStyle name="나쁨 20" xfId="984"/>
    <cellStyle name="나쁨 21" xfId="985"/>
    <cellStyle name="나쁨 22" xfId="986"/>
    <cellStyle name="나쁨 23" xfId="987"/>
    <cellStyle name="나쁨 24" xfId="988"/>
    <cellStyle name="나쁨 25" xfId="989"/>
    <cellStyle name="나쁨 3" xfId="990"/>
    <cellStyle name="나쁨 4" xfId="991"/>
    <cellStyle name="나쁨 4 2" xfId="992"/>
    <cellStyle name="나쁨 5" xfId="993"/>
    <cellStyle name="나쁨 5 2" xfId="994"/>
    <cellStyle name="나쁨 6" xfId="995"/>
    <cellStyle name="나쁨 6 2" xfId="996"/>
    <cellStyle name="나쁨 7" xfId="997"/>
    <cellStyle name="나쁨 7 2" xfId="998"/>
    <cellStyle name="나쁨 8" xfId="999"/>
    <cellStyle name="나쁨 8 2" xfId="1000"/>
    <cellStyle name="나쁨 9" xfId="1001"/>
    <cellStyle name="나쁨 9 2" xfId="1002"/>
    <cellStyle name="메모 10" xfId="1003"/>
    <cellStyle name="메모 10 2" xfId="1004"/>
    <cellStyle name="메모 10 3" xfId="1005"/>
    <cellStyle name="메모 11" xfId="1006"/>
    <cellStyle name="메모 11 2" xfId="1007"/>
    <cellStyle name="메모 11 3" xfId="1008"/>
    <cellStyle name="메모 12" xfId="1009"/>
    <cellStyle name="메모 12 2" xfId="1010"/>
    <cellStyle name="메모 13" xfId="1011"/>
    <cellStyle name="메모 13 2" xfId="1012"/>
    <cellStyle name="메모 14" xfId="1013"/>
    <cellStyle name="메모 14 2" xfId="1014"/>
    <cellStyle name="메모 15" xfId="1015"/>
    <cellStyle name="메모 15 2" xfId="1016"/>
    <cellStyle name="메모 16" xfId="1017"/>
    <cellStyle name="메모 16 2" xfId="1018"/>
    <cellStyle name="메모 17" xfId="1019"/>
    <cellStyle name="메모 17 2" xfId="1020"/>
    <cellStyle name="메모 18" xfId="1021"/>
    <cellStyle name="메모 19" xfId="1022"/>
    <cellStyle name="메모 2" xfId="1023"/>
    <cellStyle name="메모 2 2" xfId="1024"/>
    <cellStyle name="메모 2 3" xfId="1025"/>
    <cellStyle name="메모 20" xfId="1026"/>
    <cellStyle name="메모 20 2" xfId="1027"/>
    <cellStyle name="메모 21" xfId="1028"/>
    <cellStyle name="메모 21 2" xfId="1029"/>
    <cellStyle name="메모 22" xfId="1030"/>
    <cellStyle name="메모 22 2" xfId="1031"/>
    <cellStyle name="메모 23" xfId="1032"/>
    <cellStyle name="메모 23 2" xfId="1033"/>
    <cellStyle name="메모 24" xfId="1034"/>
    <cellStyle name="메모 24 2" xfId="1035"/>
    <cellStyle name="메모 25" xfId="1036"/>
    <cellStyle name="메모 25 2" xfId="1037"/>
    <cellStyle name="메모 26" xfId="1038"/>
    <cellStyle name="메모 26 2" xfId="1039"/>
    <cellStyle name="메모 27" xfId="1040"/>
    <cellStyle name="메모 27 2" xfId="1041"/>
    <cellStyle name="메모 28" xfId="1042"/>
    <cellStyle name="메모 28 2" xfId="1043"/>
    <cellStyle name="메모 29" xfId="1044"/>
    <cellStyle name="메모 29 2" xfId="1045"/>
    <cellStyle name="메모 3" xfId="1046"/>
    <cellStyle name="메모 3 2" xfId="1047"/>
    <cellStyle name="메모 3 3" xfId="1048"/>
    <cellStyle name="메모 30" xfId="1049"/>
    <cellStyle name="메모 30 2" xfId="1050"/>
    <cellStyle name="메모 31" xfId="1051"/>
    <cellStyle name="메모 31 2" xfId="1052"/>
    <cellStyle name="메모 32" xfId="1053"/>
    <cellStyle name="메모 33" xfId="1054"/>
    <cellStyle name="메모 34" xfId="1055"/>
    <cellStyle name="메모 35" xfId="1056"/>
    <cellStyle name="메모 36" xfId="1057"/>
    <cellStyle name="메모 37" xfId="1058"/>
    <cellStyle name="메모 38" xfId="1059"/>
    <cellStyle name="메모 39" xfId="1060"/>
    <cellStyle name="메모 4" xfId="1061"/>
    <cellStyle name="메모 4 2" xfId="1062"/>
    <cellStyle name="메모 4 3" xfId="1063"/>
    <cellStyle name="메모 40" xfId="1064"/>
    <cellStyle name="메모 41" xfId="1065"/>
    <cellStyle name="메모 42" xfId="1066"/>
    <cellStyle name="메모 5" xfId="1067"/>
    <cellStyle name="메모 5 2" xfId="1068"/>
    <cellStyle name="메모 5 3" xfId="1069"/>
    <cellStyle name="메모 6" xfId="1070"/>
    <cellStyle name="메모 6 2" xfId="1071"/>
    <cellStyle name="메모 6 3" xfId="1072"/>
    <cellStyle name="메모 7" xfId="1073"/>
    <cellStyle name="메모 7 2" xfId="1074"/>
    <cellStyle name="메모 7 3" xfId="1075"/>
    <cellStyle name="메모 8" xfId="1076"/>
    <cellStyle name="메모 8 2" xfId="1077"/>
    <cellStyle name="메모 8 3" xfId="1078"/>
    <cellStyle name="메모 9" xfId="1079"/>
    <cellStyle name="메모 9 2" xfId="1080"/>
    <cellStyle name="메모 9 3" xfId="1081"/>
    <cellStyle name="백분율" xfId="1082" builtinId="5"/>
    <cellStyle name="백분율 2" xfId="1083"/>
    <cellStyle name="백분율 2 2" xfId="1084"/>
    <cellStyle name="보통" xfId="1085" builtinId="28" customBuiltin="1"/>
    <cellStyle name="보통 10" xfId="1086"/>
    <cellStyle name="보통 10 2" xfId="1087"/>
    <cellStyle name="보통 11" xfId="1088"/>
    <cellStyle name="보통 11 2" xfId="1089"/>
    <cellStyle name="보통 12" xfId="1090"/>
    <cellStyle name="보통 12 2" xfId="1091"/>
    <cellStyle name="보통 13" xfId="1092"/>
    <cellStyle name="보통 13 2" xfId="1093"/>
    <cellStyle name="보통 14" xfId="1094"/>
    <cellStyle name="보통 14 2" xfId="1095"/>
    <cellStyle name="보통 15" xfId="1096"/>
    <cellStyle name="보통 15 2" xfId="1097"/>
    <cellStyle name="보통 16" xfId="1098"/>
    <cellStyle name="보통 17" xfId="1099"/>
    <cellStyle name="보통 18" xfId="1100"/>
    <cellStyle name="보통 19" xfId="1101"/>
    <cellStyle name="보통 2" xfId="1102"/>
    <cellStyle name="보통 20" xfId="1103"/>
    <cellStyle name="보통 21" xfId="1104"/>
    <cellStyle name="보통 22" xfId="1105"/>
    <cellStyle name="보통 23" xfId="1106"/>
    <cellStyle name="보통 24" xfId="1107"/>
    <cellStyle name="보통 25" xfId="1108"/>
    <cellStyle name="보통 3" xfId="1109"/>
    <cellStyle name="보통 4" xfId="1110"/>
    <cellStyle name="보통 4 2" xfId="1111"/>
    <cellStyle name="보통 5" xfId="1112"/>
    <cellStyle name="보통 5 2" xfId="1113"/>
    <cellStyle name="보통 6" xfId="1114"/>
    <cellStyle name="보통 6 2" xfId="1115"/>
    <cellStyle name="보통 7" xfId="1116"/>
    <cellStyle name="보통 7 2" xfId="1117"/>
    <cellStyle name="보통 8" xfId="1118"/>
    <cellStyle name="보통 8 2" xfId="1119"/>
    <cellStyle name="보통 9" xfId="1120"/>
    <cellStyle name="보통 9 2" xfId="1121"/>
    <cellStyle name="설명 텍스트" xfId="1122" builtinId="53" customBuiltin="1"/>
    <cellStyle name="설명 텍스트 10" xfId="1123"/>
    <cellStyle name="설명 텍스트 10 2" xfId="1124"/>
    <cellStyle name="설명 텍스트 11" xfId="1125"/>
    <cellStyle name="설명 텍스트 11 2" xfId="1126"/>
    <cellStyle name="설명 텍스트 12" xfId="1127"/>
    <cellStyle name="설명 텍스트 12 2" xfId="1128"/>
    <cellStyle name="설명 텍스트 13" xfId="1129"/>
    <cellStyle name="설명 텍스트 13 2" xfId="1130"/>
    <cellStyle name="설명 텍스트 14" xfId="1131"/>
    <cellStyle name="설명 텍스트 14 2" xfId="1132"/>
    <cellStyle name="설명 텍스트 15" xfId="1133"/>
    <cellStyle name="설명 텍스트 15 2" xfId="1134"/>
    <cellStyle name="설명 텍스트 16" xfId="1135"/>
    <cellStyle name="설명 텍스트 17" xfId="1136"/>
    <cellStyle name="설명 텍스트 18" xfId="1137"/>
    <cellStyle name="설명 텍스트 19" xfId="1138"/>
    <cellStyle name="설명 텍스트 2" xfId="1139"/>
    <cellStyle name="설명 텍스트 20" xfId="1140"/>
    <cellStyle name="설명 텍스트 21" xfId="1141"/>
    <cellStyle name="설명 텍스트 22" xfId="1142"/>
    <cellStyle name="설명 텍스트 23" xfId="1143"/>
    <cellStyle name="설명 텍스트 24" xfId="1144"/>
    <cellStyle name="설명 텍스트 25" xfId="1145"/>
    <cellStyle name="설명 텍스트 3" xfId="1146"/>
    <cellStyle name="설명 텍스트 4" xfId="1147"/>
    <cellStyle name="설명 텍스트 4 2" xfId="1148"/>
    <cellStyle name="설명 텍스트 5" xfId="1149"/>
    <cellStyle name="설명 텍스트 5 2" xfId="1150"/>
    <cellStyle name="설명 텍스트 6" xfId="1151"/>
    <cellStyle name="설명 텍스트 6 2" xfId="1152"/>
    <cellStyle name="설명 텍스트 7" xfId="1153"/>
    <cellStyle name="설명 텍스트 7 2" xfId="1154"/>
    <cellStyle name="설명 텍스트 8" xfId="1155"/>
    <cellStyle name="설명 텍스트 8 2" xfId="1156"/>
    <cellStyle name="설명 텍스트 9" xfId="1157"/>
    <cellStyle name="설명 텍스트 9 2" xfId="1158"/>
    <cellStyle name="셀 확인" xfId="1159" builtinId="23" customBuiltin="1"/>
    <cellStyle name="셀 확인 10" xfId="1160"/>
    <cellStyle name="셀 확인 10 2" xfId="1161"/>
    <cellStyle name="셀 확인 11" xfId="1162"/>
    <cellStyle name="셀 확인 11 2" xfId="1163"/>
    <cellStyle name="셀 확인 12" xfId="1164"/>
    <cellStyle name="셀 확인 12 2" xfId="1165"/>
    <cellStyle name="셀 확인 13" xfId="1166"/>
    <cellStyle name="셀 확인 13 2" xfId="1167"/>
    <cellStyle name="셀 확인 14" xfId="1168"/>
    <cellStyle name="셀 확인 14 2" xfId="1169"/>
    <cellStyle name="셀 확인 15" xfId="1170"/>
    <cellStyle name="셀 확인 15 2" xfId="1171"/>
    <cellStyle name="셀 확인 16" xfId="1172"/>
    <cellStyle name="셀 확인 17" xfId="1173"/>
    <cellStyle name="셀 확인 18" xfId="1174"/>
    <cellStyle name="셀 확인 19" xfId="1175"/>
    <cellStyle name="셀 확인 2" xfId="1176"/>
    <cellStyle name="셀 확인 20" xfId="1177"/>
    <cellStyle name="셀 확인 21" xfId="1178"/>
    <cellStyle name="셀 확인 22" xfId="1179"/>
    <cellStyle name="셀 확인 23" xfId="1180"/>
    <cellStyle name="셀 확인 24" xfId="1181"/>
    <cellStyle name="셀 확인 25" xfId="1182"/>
    <cellStyle name="셀 확인 3" xfId="1183"/>
    <cellStyle name="셀 확인 4" xfId="1184"/>
    <cellStyle name="셀 확인 4 2" xfId="1185"/>
    <cellStyle name="셀 확인 5" xfId="1186"/>
    <cellStyle name="셀 확인 5 2" xfId="1187"/>
    <cellStyle name="셀 확인 6" xfId="1188"/>
    <cellStyle name="셀 확인 6 2" xfId="1189"/>
    <cellStyle name="셀 확인 7" xfId="1190"/>
    <cellStyle name="셀 확인 7 2" xfId="1191"/>
    <cellStyle name="셀 확인 8" xfId="1192"/>
    <cellStyle name="셀 확인 8 2" xfId="1193"/>
    <cellStyle name="셀 확인 9" xfId="1194"/>
    <cellStyle name="셀 확인 9 2" xfId="1195"/>
    <cellStyle name="쉼표 [0]" xfId="1196" builtinId="6"/>
    <cellStyle name="쉼표 [0] 2" xfId="1197"/>
    <cellStyle name="쉼표 [0] 3 2" xfId="1198"/>
    <cellStyle name="쉼표 [0] 4" xfId="1199"/>
    <cellStyle name="쉼표 [0] 5" xfId="1200"/>
    <cellStyle name="쉼표 [0]_01.구조물재료산출(봉화봉성금봉)" xfId="1201"/>
    <cellStyle name="쉼표 [0]_01.구조물재료산출(성주벽진봉학) 2" xfId="1202"/>
    <cellStyle name="쉼표 [0]_1-토적집계-구룡_(치료)재적산출서(1)" xfId="1203"/>
    <cellStyle name="쉼표 [0]_4.수리계산-칠곡지천백운~창평(본)" xfId="1204"/>
    <cellStyle name="쉼표 [0]_4.토적(구미 산동 인덕)-변경" xfId="1205"/>
    <cellStyle name="쉼표 [0]_수리계산" xfId="1206"/>
    <cellStyle name="연결된 셀" xfId="1207" builtinId="24" customBuiltin="1"/>
    <cellStyle name="연결된 셀 10" xfId="1208"/>
    <cellStyle name="연결된 셀 10 2" xfId="1209"/>
    <cellStyle name="연결된 셀 11" xfId="1210"/>
    <cellStyle name="연결된 셀 11 2" xfId="1211"/>
    <cellStyle name="연결된 셀 12" xfId="1212"/>
    <cellStyle name="연결된 셀 12 2" xfId="1213"/>
    <cellStyle name="연결된 셀 13" xfId="1214"/>
    <cellStyle name="연결된 셀 13 2" xfId="1215"/>
    <cellStyle name="연결된 셀 14" xfId="1216"/>
    <cellStyle name="연결된 셀 14 2" xfId="1217"/>
    <cellStyle name="연결된 셀 15" xfId="1218"/>
    <cellStyle name="연결된 셀 15 2" xfId="1219"/>
    <cellStyle name="연결된 셀 16" xfId="1220"/>
    <cellStyle name="연결된 셀 17" xfId="1221"/>
    <cellStyle name="연결된 셀 18" xfId="1222"/>
    <cellStyle name="연결된 셀 19" xfId="1223"/>
    <cellStyle name="연결된 셀 2" xfId="1224"/>
    <cellStyle name="연결된 셀 20" xfId="1225"/>
    <cellStyle name="연결된 셀 21" xfId="1226"/>
    <cellStyle name="연결된 셀 22" xfId="1227"/>
    <cellStyle name="연결된 셀 23" xfId="1228"/>
    <cellStyle name="연결된 셀 24" xfId="1229"/>
    <cellStyle name="연결된 셀 25" xfId="1230"/>
    <cellStyle name="연결된 셀 3" xfId="1231"/>
    <cellStyle name="연결된 셀 4" xfId="1232"/>
    <cellStyle name="연결된 셀 4 2" xfId="1233"/>
    <cellStyle name="연결된 셀 5" xfId="1234"/>
    <cellStyle name="연결된 셀 5 2" xfId="1235"/>
    <cellStyle name="연결된 셀 6" xfId="1236"/>
    <cellStyle name="연결된 셀 6 2" xfId="1237"/>
    <cellStyle name="연결된 셀 7" xfId="1238"/>
    <cellStyle name="연결된 셀 7 2" xfId="1239"/>
    <cellStyle name="연결된 셀 8" xfId="1240"/>
    <cellStyle name="연결된 셀 8 2" xfId="1241"/>
    <cellStyle name="연결된 셀 9" xfId="1242"/>
    <cellStyle name="연결된 셀 9 2" xfId="1243"/>
    <cellStyle name="요약" xfId="1244" builtinId="25" customBuiltin="1"/>
    <cellStyle name="요약 10" xfId="1245"/>
    <cellStyle name="요약 10 2" xfId="1246"/>
    <cellStyle name="요약 11" xfId="1247"/>
    <cellStyle name="요약 11 2" xfId="1248"/>
    <cellStyle name="요약 12" xfId="1249"/>
    <cellStyle name="요약 12 2" xfId="1250"/>
    <cellStyle name="요약 13" xfId="1251"/>
    <cellStyle name="요약 13 2" xfId="1252"/>
    <cellStyle name="요약 14" xfId="1253"/>
    <cellStyle name="요약 14 2" xfId="1254"/>
    <cellStyle name="요약 15" xfId="1255"/>
    <cellStyle name="요약 15 2" xfId="1256"/>
    <cellStyle name="요약 16" xfId="1257"/>
    <cellStyle name="요약 17" xfId="1258"/>
    <cellStyle name="요약 18" xfId="1259"/>
    <cellStyle name="요약 19" xfId="1260"/>
    <cellStyle name="요약 2" xfId="1261"/>
    <cellStyle name="요약 20" xfId="1262"/>
    <cellStyle name="요약 21" xfId="1263"/>
    <cellStyle name="요약 22" xfId="1264"/>
    <cellStyle name="요약 23" xfId="1265"/>
    <cellStyle name="요약 24" xfId="1266"/>
    <cellStyle name="요약 25" xfId="1267"/>
    <cellStyle name="요약 3" xfId="1268"/>
    <cellStyle name="요약 4" xfId="1269"/>
    <cellStyle name="요약 4 2" xfId="1270"/>
    <cellStyle name="요약 5" xfId="1271"/>
    <cellStyle name="요약 5 2" xfId="1272"/>
    <cellStyle name="요약 6" xfId="1273"/>
    <cellStyle name="요약 6 2" xfId="1274"/>
    <cellStyle name="요약 7" xfId="1275"/>
    <cellStyle name="요약 7 2" xfId="1276"/>
    <cellStyle name="요약 8" xfId="1277"/>
    <cellStyle name="요약 8 2" xfId="1278"/>
    <cellStyle name="요약 9" xfId="1279"/>
    <cellStyle name="요약 9 2" xfId="1280"/>
    <cellStyle name="입력" xfId="1281" builtinId="20" customBuiltin="1"/>
    <cellStyle name="입력 10" xfId="1282"/>
    <cellStyle name="입력 10 2" xfId="1283"/>
    <cellStyle name="입력 11" xfId="1284"/>
    <cellStyle name="입력 11 2" xfId="1285"/>
    <cellStyle name="입력 12" xfId="1286"/>
    <cellStyle name="입력 12 2" xfId="1287"/>
    <cellStyle name="입력 13" xfId="1288"/>
    <cellStyle name="입력 13 2" xfId="1289"/>
    <cellStyle name="입력 14" xfId="1290"/>
    <cellStyle name="입력 14 2" xfId="1291"/>
    <cellStyle name="입력 15" xfId="1292"/>
    <cellStyle name="입력 15 2" xfId="1293"/>
    <cellStyle name="입력 16" xfId="1294"/>
    <cellStyle name="입력 17" xfId="1295"/>
    <cellStyle name="입력 18" xfId="1296"/>
    <cellStyle name="입력 19" xfId="1297"/>
    <cellStyle name="입력 2" xfId="1298"/>
    <cellStyle name="입력 20" xfId="1299"/>
    <cellStyle name="입력 21" xfId="1300"/>
    <cellStyle name="입력 22" xfId="1301"/>
    <cellStyle name="입력 23" xfId="1302"/>
    <cellStyle name="입력 24" xfId="1303"/>
    <cellStyle name="입력 25" xfId="1304"/>
    <cellStyle name="입력 3" xfId="1305"/>
    <cellStyle name="입력 4" xfId="1306"/>
    <cellStyle name="입력 4 2" xfId="1307"/>
    <cellStyle name="입력 5" xfId="1308"/>
    <cellStyle name="입력 5 2" xfId="1309"/>
    <cellStyle name="입력 6" xfId="1310"/>
    <cellStyle name="입력 6 2" xfId="1311"/>
    <cellStyle name="입력 7" xfId="1312"/>
    <cellStyle name="입력 7 2" xfId="1313"/>
    <cellStyle name="입력 8" xfId="1314"/>
    <cellStyle name="입력 8 2" xfId="1315"/>
    <cellStyle name="입력 9" xfId="1316"/>
    <cellStyle name="입력 9 2" xfId="1317"/>
    <cellStyle name="제목" xfId="1318" builtinId="15" customBuiltin="1"/>
    <cellStyle name="제목 1" xfId="1319" builtinId="16" customBuiltin="1"/>
    <cellStyle name="제목 1 10" xfId="1320"/>
    <cellStyle name="제목 1 10 2" xfId="1321"/>
    <cellStyle name="제목 1 11" xfId="1322"/>
    <cellStyle name="제목 1 11 2" xfId="1323"/>
    <cellStyle name="제목 1 12" xfId="1324"/>
    <cellStyle name="제목 1 12 2" xfId="1325"/>
    <cellStyle name="제목 1 13" xfId="1326"/>
    <cellStyle name="제목 1 13 2" xfId="1327"/>
    <cellStyle name="제목 1 14" xfId="1328"/>
    <cellStyle name="제목 1 14 2" xfId="1329"/>
    <cellStyle name="제목 1 15" xfId="1330"/>
    <cellStyle name="제목 1 15 2" xfId="1331"/>
    <cellStyle name="제목 1 16" xfId="1332"/>
    <cellStyle name="제목 1 17" xfId="1333"/>
    <cellStyle name="제목 1 18" xfId="1334"/>
    <cellStyle name="제목 1 19" xfId="1335"/>
    <cellStyle name="제목 1 2" xfId="1336"/>
    <cellStyle name="제목 1 20" xfId="1337"/>
    <cellStyle name="제목 1 21" xfId="1338"/>
    <cellStyle name="제목 1 22" xfId="1339"/>
    <cellStyle name="제목 1 23" xfId="1340"/>
    <cellStyle name="제목 1 24" xfId="1341"/>
    <cellStyle name="제목 1 25" xfId="1342"/>
    <cellStyle name="제목 1 3" xfId="1343"/>
    <cellStyle name="제목 1 4" xfId="1344"/>
    <cellStyle name="제목 1 4 2" xfId="1345"/>
    <cellStyle name="제목 1 5" xfId="1346"/>
    <cellStyle name="제목 1 5 2" xfId="1347"/>
    <cellStyle name="제목 1 6" xfId="1348"/>
    <cellStyle name="제목 1 6 2" xfId="1349"/>
    <cellStyle name="제목 1 7" xfId="1350"/>
    <cellStyle name="제목 1 7 2" xfId="1351"/>
    <cellStyle name="제목 1 8" xfId="1352"/>
    <cellStyle name="제목 1 8 2" xfId="1353"/>
    <cellStyle name="제목 1 9" xfId="1354"/>
    <cellStyle name="제목 1 9 2" xfId="1355"/>
    <cellStyle name="제목 10" xfId="1356"/>
    <cellStyle name="제목 10 2" xfId="1357"/>
    <cellStyle name="제목 11" xfId="1358"/>
    <cellStyle name="제목 11 2" xfId="1359"/>
    <cellStyle name="제목 12" xfId="1360"/>
    <cellStyle name="제목 12 2" xfId="1361"/>
    <cellStyle name="제목 13" xfId="1362"/>
    <cellStyle name="제목 13 2" xfId="1363"/>
    <cellStyle name="제목 14" xfId="1364"/>
    <cellStyle name="제목 14 2" xfId="1365"/>
    <cellStyle name="제목 15" xfId="1366"/>
    <cellStyle name="제목 15 2" xfId="1367"/>
    <cellStyle name="제목 16" xfId="1368"/>
    <cellStyle name="제목 16 2" xfId="1369"/>
    <cellStyle name="제목 17" xfId="1370"/>
    <cellStyle name="제목 17 2" xfId="1371"/>
    <cellStyle name="제목 18" xfId="1372"/>
    <cellStyle name="제목 18 2" xfId="1373"/>
    <cellStyle name="제목 19" xfId="1374"/>
    <cellStyle name="제목 2" xfId="1375" builtinId="17" customBuiltin="1"/>
    <cellStyle name="제목 2 10" xfId="1376"/>
    <cellStyle name="제목 2 10 2" xfId="1377"/>
    <cellStyle name="제목 2 11" xfId="1378"/>
    <cellStyle name="제목 2 11 2" xfId="1379"/>
    <cellStyle name="제목 2 12" xfId="1380"/>
    <cellStyle name="제목 2 12 2" xfId="1381"/>
    <cellStyle name="제목 2 13" xfId="1382"/>
    <cellStyle name="제목 2 13 2" xfId="1383"/>
    <cellStyle name="제목 2 14" xfId="1384"/>
    <cellStyle name="제목 2 14 2" xfId="1385"/>
    <cellStyle name="제목 2 15" xfId="1386"/>
    <cellStyle name="제목 2 15 2" xfId="1387"/>
    <cellStyle name="제목 2 16" xfId="1388"/>
    <cellStyle name="제목 2 17" xfId="1389"/>
    <cellStyle name="제목 2 18" xfId="1390"/>
    <cellStyle name="제목 2 19" xfId="1391"/>
    <cellStyle name="제목 2 2" xfId="1392"/>
    <cellStyle name="제목 2 20" xfId="1393"/>
    <cellStyle name="제목 2 21" xfId="1394"/>
    <cellStyle name="제목 2 22" xfId="1395"/>
    <cellStyle name="제목 2 23" xfId="1396"/>
    <cellStyle name="제목 2 24" xfId="1397"/>
    <cellStyle name="제목 2 25" xfId="1398"/>
    <cellStyle name="제목 2 3" xfId="1399"/>
    <cellStyle name="제목 2 4" xfId="1400"/>
    <cellStyle name="제목 2 4 2" xfId="1401"/>
    <cellStyle name="제목 2 5" xfId="1402"/>
    <cellStyle name="제목 2 5 2" xfId="1403"/>
    <cellStyle name="제목 2 6" xfId="1404"/>
    <cellStyle name="제목 2 6 2" xfId="1405"/>
    <cellStyle name="제목 2 7" xfId="1406"/>
    <cellStyle name="제목 2 7 2" xfId="1407"/>
    <cellStyle name="제목 2 8" xfId="1408"/>
    <cellStyle name="제목 2 8 2" xfId="1409"/>
    <cellStyle name="제목 2 9" xfId="1410"/>
    <cellStyle name="제목 2 9 2" xfId="1411"/>
    <cellStyle name="제목 20" xfId="1412"/>
    <cellStyle name="제목 21" xfId="1413"/>
    <cellStyle name="제목 22" xfId="1414"/>
    <cellStyle name="제목 23" xfId="1415"/>
    <cellStyle name="제목 24" xfId="1416"/>
    <cellStyle name="제목 25" xfId="1417"/>
    <cellStyle name="제목 26" xfId="1418"/>
    <cellStyle name="제목 27" xfId="1419"/>
    <cellStyle name="제목 28" xfId="1420"/>
    <cellStyle name="제목 3" xfId="1421" builtinId="18" customBuiltin="1"/>
    <cellStyle name="제목 3 10" xfId="1422"/>
    <cellStyle name="제목 3 10 2" xfId="1423"/>
    <cellStyle name="제목 3 11" xfId="1424"/>
    <cellStyle name="제목 3 11 2" xfId="1425"/>
    <cellStyle name="제목 3 12" xfId="1426"/>
    <cellStyle name="제목 3 12 2" xfId="1427"/>
    <cellStyle name="제목 3 13" xfId="1428"/>
    <cellStyle name="제목 3 13 2" xfId="1429"/>
    <cellStyle name="제목 3 14" xfId="1430"/>
    <cellStyle name="제목 3 14 2" xfId="1431"/>
    <cellStyle name="제목 3 15" xfId="1432"/>
    <cellStyle name="제목 3 15 2" xfId="1433"/>
    <cellStyle name="제목 3 16" xfId="1434"/>
    <cellStyle name="제목 3 17" xfId="1435"/>
    <cellStyle name="제목 3 18" xfId="1436"/>
    <cellStyle name="제목 3 19" xfId="1437"/>
    <cellStyle name="제목 3 2" xfId="1438"/>
    <cellStyle name="제목 3 20" xfId="1439"/>
    <cellStyle name="제목 3 21" xfId="1440"/>
    <cellStyle name="제목 3 22" xfId="1441"/>
    <cellStyle name="제목 3 23" xfId="1442"/>
    <cellStyle name="제목 3 24" xfId="1443"/>
    <cellStyle name="제목 3 25" xfId="1444"/>
    <cellStyle name="제목 3 3" xfId="1445"/>
    <cellStyle name="제목 3 4" xfId="1446"/>
    <cellStyle name="제목 3 4 2" xfId="1447"/>
    <cellStyle name="제목 3 5" xfId="1448"/>
    <cellStyle name="제목 3 5 2" xfId="1449"/>
    <cellStyle name="제목 3 6" xfId="1450"/>
    <cellStyle name="제목 3 6 2" xfId="1451"/>
    <cellStyle name="제목 3 7" xfId="1452"/>
    <cellStyle name="제목 3 7 2" xfId="1453"/>
    <cellStyle name="제목 3 8" xfId="1454"/>
    <cellStyle name="제목 3 8 2" xfId="1455"/>
    <cellStyle name="제목 3 9" xfId="1456"/>
    <cellStyle name="제목 3 9 2" xfId="1457"/>
    <cellStyle name="제목 4" xfId="1458" builtinId="19" customBuiltin="1"/>
    <cellStyle name="제목 4 10" xfId="1459"/>
    <cellStyle name="제목 4 10 2" xfId="1460"/>
    <cellStyle name="제목 4 11" xfId="1461"/>
    <cellStyle name="제목 4 11 2" xfId="1462"/>
    <cellStyle name="제목 4 12" xfId="1463"/>
    <cellStyle name="제목 4 12 2" xfId="1464"/>
    <cellStyle name="제목 4 13" xfId="1465"/>
    <cellStyle name="제목 4 13 2" xfId="1466"/>
    <cellStyle name="제목 4 14" xfId="1467"/>
    <cellStyle name="제목 4 14 2" xfId="1468"/>
    <cellStyle name="제목 4 15" xfId="1469"/>
    <cellStyle name="제목 4 15 2" xfId="1470"/>
    <cellStyle name="제목 4 16" xfId="1471"/>
    <cellStyle name="제목 4 17" xfId="1472"/>
    <cellStyle name="제목 4 18" xfId="1473"/>
    <cellStyle name="제목 4 19" xfId="1474"/>
    <cellStyle name="제목 4 2" xfId="1475"/>
    <cellStyle name="제목 4 20" xfId="1476"/>
    <cellStyle name="제목 4 21" xfId="1477"/>
    <cellStyle name="제목 4 22" xfId="1478"/>
    <cellStyle name="제목 4 23" xfId="1479"/>
    <cellStyle name="제목 4 24" xfId="1480"/>
    <cellStyle name="제목 4 25" xfId="1481"/>
    <cellStyle name="제목 4 3" xfId="1482"/>
    <cellStyle name="제목 4 4" xfId="1483"/>
    <cellStyle name="제목 4 4 2" xfId="1484"/>
    <cellStyle name="제목 4 5" xfId="1485"/>
    <cellStyle name="제목 4 5 2" xfId="1486"/>
    <cellStyle name="제목 4 6" xfId="1487"/>
    <cellStyle name="제목 4 6 2" xfId="1488"/>
    <cellStyle name="제목 4 7" xfId="1489"/>
    <cellStyle name="제목 4 7 2" xfId="1490"/>
    <cellStyle name="제목 4 8" xfId="1491"/>
    <cellStyle name="제목 4 8 2" xfId="1492"/>
    <cellStyle name="제목 4 9" xfId="1493"/>
    <cellStyle name="제목 4 9 2" xfId="1494"/>
    <cellStyle name="제목 5" xfId="1495"/>
    <cellStyle name="제목 6" xfId="1496"/>
    <cellStyle name="제목 7" xfId="1497"/>
    <cellStyle name="제목 7 2" xfId="1498"/>
    <cellStyle name="제목 8" xfId="1499"/>
    <cellStyle name="제목 8 2" xfId="1500"/>
    <cellStyle name="제목 9" xfId="1501"/>
    <cellStyle name="제목 9 2" xfId="1502"/>
    <cellStyle name="좋음" xfId="1503" builtinId="26" customBuiltin="1"/>
    <cellStyle name="좋음 10" xfId="1504"/>
    <cellStyle name="좋음 10 2" xfId="1505"/>
    <cellStyle name="좋음 11" xfId="1506"/>
    <cellStyle name="좋음 11 2" xfId="1507"/>
    <cellStyle name="좋음 12" xfId="1508"/>
    <cellStyle name="좋음 12 2" xfId="1509"/>
    <cellStyle name="좋음 13" xfId="1510"/>
    <cellStyle name="좋음 13 2" xfId="1511"/>
    <cellStyle name="좋음 14" xfId="1512"/>
    <cellStyle name="좋음 14 2" xfId="1513"/>
    <cellStyle name="좋음 15" xfId="1514"/>
    <cellStyle name="좋음 15 2" xfId="1515"/>
    <cellStyle name="좋음 16" xfId="1516"/>
    <cellStyle name="좋음 17" xfId="1517"/>
    <cellStyle name="좋음 18" xfId="1518"/>
    <cellStyle name="좋음 19" xfId="1519"/>
    <cellStyle name="좋음 2" xfId="1520"/>
    <cellStyle name="좋음 20" xfId="1521"/>
    <cellStyle name="좋음 21" xfId="1522"/>
    <cellStyle name="좋음 22" xfId="1523"/>
    <cellStyle name="좋음 23" xfId="1524"/>
    <cellStyle name="좋음 24" xfId="1525"/>
    <cellStyle name="좋음 25" xfId="1526"/>
    <cellStyle name="좋음 3" xfId="1527"/>
    <cellStyle name="좋음 4" xfId="1528"/>
    <cellStyle name="좋음 4 2" xfId="1529"/>
    <cellStyle name="좋음 5" xfId="1530"/>
    <cellStyle name="좋음 5 2" xfId="1531"/>
    <cellStyle name="좋음 6" xfId="1532"/>
    <cellStyle name="좋음 6 2" xfId="1533"/>
    <cellStyle name="좋음 7" xfId="1534"/>
    <cellStyle name="좋음 7 2" xfId="1535"/>
    <cellStyle name="좋음 8" xfId="1536"/>
    <cellStyle name="좋음 8 2" xfId="1537"/>
    <cellStyle name="좋음 9" xfId="1538"/>
    <cellStyle name="좋음 9 2" xfId="1539"/>
    <cellStyle name="출력" xfId="1540" builtinId="21" customBuiltin="1"/>
    <cellStyle name="출력 10" xfId="1541"/>
    <cellStyle name="출력 10 2" xfId="1542"/>
    <cellStyle name="출력 11" xfId="1543"/>
    <cellStyle name="출력 11 2" xfId="1544"/>
    <cellStyle name="출력 12" xfId="1545"/>
    <cellStyle name="출력 12 2" xfId="1546"/>
    <cellStyle name="출력 13" xfId="1547"/>
    <cellStyle name="출력 13 2" xfId="1548"/>
    <cellStyle name="출력 14" xfId="1549"/>
    <cellStyle name="출력 14 2" xfId="1550"/>
    <cellStyle name="출력 15" xfId="1551"/>
    <cellStyle name="출력 15 2" xfId="1552"/>
    <cellStyle name="출력 16" xfId="1553"/>
    <cellStyle name="출력 17" xfId="1554"/>
    <cellStyle name="출력 18" xfId="1555"/>
    <cellStyle name="출력 19" xfId="1556"/>
    <cellStyle name="출력 2" xfId="1557"/>
    <cellStyle name="출력 20" xfId="1558"/>
    <cellStyle name="출력 21" xfId="1559"/>
    <cellStyle name="출력 22" xfId="1560"/>
    <cellStyle name="출력 23" xfId="1561"/>
    <cellStyle name="출력 24" xfId="1562"/>
    <cellStyle name="출력 25" xfId="1563"/>
    <cellStyle name="출력 3" xfId="1564"/>
    <cellStyle name="출력 4" xfId="1565"/>
    <cellStyle name="출력 4 2" xfId="1566"/>
    <cellStyle name="출력 5" xfId="1567"/>
    <cellStyle name="출력 5 2" xfId="1568"/>
    <cellStyle name="출력 6" xfId="1569"/>
    <cellStyle name="출력 6 2" xfId="1570"/>
    <cellStyle name="출력 7" xfId="1571"/>
    <cellStyle name="출력 7 2" xfId="1572"/>
    <cellStyle name="출력 8" xfId="1573"/>
    <cellStyle name="출력 8 2" xfId="1574"/>
    <cellStyle name="출력 9" xfId="1575"/>
    <cellStyle name="출력 9 2" xfId="1576"/>
    <cellStyle name="콤마 [0]_94하반기" xfId="1577"/>
    <cellStyle name="콤마_94하반기" xfId="1578"/>
    <cellStyle name="표준" xfId="0" builtinId="0"/>
    <cellStyle name="표준 10 2" xfId="1579"/>
    <cellStyle name="표준 10 3" xfId="1580"/>
    <cellStyle name="표준 11 2" xfId="1581"/>
    <cellStyle name="표준 11 3" xfId="1582"/>
    <cellStyle name="표준 12 2" xfId="1583"/>
    <cellStyle name="표준 13 2" xfId="1584"/>
    <cellStyle name="표준 14 2" xfId="1585"/>
    <cellStyle name="표준 16 2" xfId="1586"/>
    <cellStyle name="표준 17 2" xfId="1587"/>
    <cellStyle name="표준 18" xfId="1588"/>
    <cellStyle name="표준 19" xfId="1589"/>
    <cellStyle name="표준 2" xfId="1627"/>
    <cellStyle name="표준 2 2" xfId="1590"/>
    <cellStyle name="표준 2 2 2" xfId="1591"/>
    <cellStyle name="표준 2 2 3" xfId="1592"/>
    <cellStyle name="표준 2 3" xfId="1593"/>
    <cellStyle name="표준 2 4" xfId="1594"/>
    <cellStyle name="표준 2 5" xfId="1595"/>
    <cellStyle name="표준 27" xfId="1596"/>
    <cellStyle name="표준 27 2" xfId="1597"/>
    <cellStyle name="표준 28" xfId="1598"/>
    <cellStyle name="표준 28 2" xfId="1599"/>
    <cellStyle name="표준 29" xfId="1600"/>
    <cellStyle name="표준 29 2" xfId="1601"/>
    <cellStyle name="표준 3 2" xfId="1602"/>
    <cellStyle name="표준 3 2 2" xfId="1603"/>
    <cellStyle name="표준 3 2 2 2" xfId="1604"/>
    <cellStyle name="표준 3 3" xfId="1605"/>
    <cellStyle name="표준 30" xfId="1606"/>
    <cellStyle name="표준 30 2" xfId="1607"/>
    <cellStyle name="표준 31" xfId="1608"/>
    <cellStyle name="표준 31 2" xfId="1609"/>
    <cellStyle name="표준 32" xfId="1610"/>
    <cellStyle name="표준 33" xfId="1611"/>
    <cellStyle name="표준 34" xfId="1612"/>
    <cellStyle name="표준 4 2" xfId="1613"/>
    <cellStyle name="표준 5 2" xfId="1614"/>
    <cellStyle name="표준 6 2" xfId="1615"/>
    <cellStyle name="표준 7 2" xfId="1616"/>
    <cellStyle name="표준 8 2" xfId="1617"/>
    <cellStyle name="표준 8 3" xfId="1618"/>
    <cellStyle name="표준 9 2" xfId="1619"/>
    <cellStyle name="표준_1-토적집계-구룡" xfId="1620"/>
    <cellStyle name="표준_2008년 영양 석보 포산(기본)" xfId="1621"/>
    <cellStyle name="표준_4.수리계산-칠곡지천백운~창평(본)" xfId="1622"/>
    <cellStyle name="표준_수리계산" xfId="1623"/>
    <cellStyle name="표준_수리계산_1" xfId="1624"/>
    <cellStyle name="표준_수리계산_1 2" xfId="1628"/>
    <cellStyle name="표준_수리계산-영양수비오기" xfId="1625"/>
    <cellStyle name="표준_이정표모음" xfId="16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18</xdr:row>
      <xdr:rowOff>0</xdr:rowOff>
    </xdr:from>
    <xdr:to>
      <xdr:col>8</xdr:col>
      <xdr:colOff>0</xdr:colOff>
      <xdr:row>18</xdr:row>
      <xdr:rowOff>0</xdr:rowOff>
    </xdr:to>
    <xdr:sp macro="" textlink="">
      <xdr:nvSpPr>
        <xdr:cNvPr id="183595" name="Line 1"/>
        <xdr:cNvSpPr>
          <a:spLocks noChangeShapeType="1"/>
        </xdr:cNvSpPr>
      </xdr:nvSpPr>
      <xdr:spPr bwMode="auto">
        <a:xfrm>
          <a:off x="6896100" y="5153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19051</xdr:colOff>
      <xdr:row>3</xdr:row>
      <xdr:rowOff>28572</xdr:rowOff>
    </xdr:from>
    <xdr:to>
      <xdr:col>7</xdr:col>
      <xdr:colOff>815768</xdr:colOff>
      <xdr:row>23</xdr:row>
      <xdr:rowOff>266699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53" b="3086"/>
        <a:stretch/>
      </xdr:blipFill>
      <xdr:spPr>
        <a:xfrm rot="16200000">
          <a:off x="1046058" y="1011340"/>
          <a:ext cx="6010277" cy="56639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219075</xdr:colOff>
      <xdr:row>4</xdr:row>
      <xdr:rowOff>209550</xdr:rowOff>
    </xdr:from>
    <xdr:to>
      <xdr:col>21</xdr:col>
      <xdr:colOff>723900</xdr:colOff>
      <xdr:row>6</xdr:row>
      <xdr:rowOff>219075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4962525" y="11620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6 h 49"/>
            <a:gd name="T4" fmla="*/ 0 w 599"/>
            <a:gd name="T5" fmla="*/ 2147483646 h 49"/>
            <a:gd name="T6" fmla="*/ 0 w 599"/>
            <a:gd name="T7" fmla="*/ 2147483646 h 49"/>
            <a:gd name="T8" fmla="*/ 0 w 599"/>
            <a:gd name="T9" fmla="*/ 2147483646 h 49"/>
            <a:gd name="T10" fmla="*/ 0 w 599"/>
            <a:gd name="T11" fmla="*/ 2147483646 h 49"/>
            <a:gd name="T12" fmla="*/ 0 w 599"/>
            <a:gd name="T13" fmla="*/ 2147483646 h 49"/>
            <a:gd name="T14" fmla="*/ 0 w 599"/>
            <a:gd name="T15" fmla="*/ 2147483646 h 49"/>
            <a:gd name="T16" fmla="*/ 0 w 599"/>
            <a:gd name="T17" fmla="*/ 2147483646 h 49"/>
            <a:gd name="T18" fmla="*/ 0 w 599"/>
            <a:gd name="T19" fmla="*/ 2147483646 h 49"/>
            <a:gd name="T20" fmla="*/ 0 w 599"/>
            <a:gd name="T21" fmla="*/ 2147483646 h 49"/>
            <a:gd name="T22" fmla="*/ 0 w 599"/>
            <a:gd name="T23" fmla="*/ 2147483646 h 49"/>
            <a:gd name="T24" fmla="*/ 0 w 599"/>
            <a:gd name="T25" fmla="*/ 2147483646 h 49"/>
            <a:gd name="T26" fmla="*/ 0 w 599"/>
            <a:gd name="T27" fmla="*/ 2147483646 h 49"/>
            <a:gd name="T28" fmla="*/ 0 w 599"/>
            <a:gd name="T29" fmla="*/ 2147483646 h 49"/>
            <a:gd name="T30" fmla="*/ 0 w 599"/>
            <a:gd name="T31" fmla="*/ 2147483646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400050</xdr:colOff>
      <xdr:row>5</xdr:row>
      <xdr:rowOff>95250</xdr:rowOff>
    </xdr:from>
    <xdr:to>
      <xdr:col>20</xdr:col>
      <xdr:colOff>76200</xdr:colOff>
      <xdr:row>5</xdr:row>
      <xdr:rowOff>95250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>
          <a:off x="4962525" y="1285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6</xdr:row>
      <xdr:rowOff>219075</xdr:rowOff>
    </xdr:from>
    <xdr:to>
      <xdr:col>16</xdr:col>
      <xdr:colOff>333375</xdr:colOff>
      <xdr:row>7</xdr:row>
      <xdr:rowOff>219075</xdr:rowOff>
    </xdr:to>
    <xdr:sp macro="" textlink="">
      <xdr:nvSpPr>
        <xdr:cNvPr id="4" name="Freefor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/>
        </xdr:cNvSpPr>
      </xdr:nvSpPr>
      <xdr:spPr bwMode="auto">
        <a:xfrm>
          <a:off x="4962525" y="16478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6 h 24"/>
            <a:gd name="T4" fmla="*/ 0 w 35"/>
            <a:gd name="T5" fmla="*/ 2147483646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6</xdr:row>
      <xdr:rowOff>219075</xdr:rowOff>
    </xdr:from>
    <xdr:to>
      <xdr:col>16</xdr:col>
      <xdr:colOff>333375</xdr:colOff>
      <xdr:row>7</xdr:row>
      <xdr:rowOff>219075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ShapeType="1"/>
        </xdr:cNvSpPr>
      </xdr:nvSpPr>
      <xdr:spPr bwMode="auto">
        <a:xfrm>
          <a:off x="4962525" y="16478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7</xdr:row>
      <xdr:rowOff>47625</xdr:rowOff>
    </xdr:from>
    <xdr:to>
      <xdr:col>14</xdr:col>
      <xdr:colOff>0</xdr:colOff>
      <xdr:row>8</xdr:row>
      <xdr:rowOff>57150</xdr:rowOff>
    </xdr:to>
    <xdr:grpSp>
      <xdr:nvGrpSpPr>
        <xdr:cNvPr id="10" name="Group 1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pSpPr>
          <a:grpSpLocks/>
        </xdr:cNvGrpSpPr>
      </xdr:nvGrpSpPr>
      <xdr:grpSpPr bwMode="auto">
        <a:xfrm flipV="1">
          <a:off x="4962525" y="1714500"/>
          <a:ext cx="0" cy="247650"/>
          <a:chOff x="269" y="1224"/>
          <a:chExt cx="216" cy="24"/>
        </a:xfrm>
      </xdr:grpSpPr>
      <xdr:sp macro="" textlink="">
        <xdr:nvSpPr>
          <xdr:cNvPr id="11" name="Line 14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5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16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5</xdr:row>
      <xdr:rowOff>95250</xdr:rowOff>
    </xdr:from>
    <xdr:to>
      <xdr:col>14</xdr:col>
      <xdr:colOff>0</xdr:colOff>
      <xdr:row>6</xdr:row>
      <xdr:rowOff>219075</xdr:rowOff>
    </xdr:to>
    <xdr:grpSp>
      <xdr:nvGrpSpPr>
        <xdr:cNvPr id="14" name="Group 1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>
          <a:grpSpLocks/>
        </xdr:cNvGrpSpPr>
      </xdr:nvGrpSpPr>
      <xdr:grpSpPr bwMode="auto">
        <a:xfrm rot="-5400000">
          <a:off x="4781550" y="1466850"/>
          <a:ext cx="361950" cy="0"/>
          <a:chOff x="269" y="1224"/>
          <a:chExt cx="216" cy="24"/>
        </a:xfrm>
      </xdr:grpSpPr>
      <xdr:sp macro="" textlink="">
        <xdr:nvSpPr>
          <xdr:cNvPr id="15" name="Line 18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19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0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4</xdr:row>
      <xdr:rowOff>190500</xdr:rowOff>
    </xdr:from>
    <xdr:to>
      <xdr:col>14</xdr:col>
      <xdr:colOff>0</xdr:colOff>
      <xdr:row>6</xdr:row>
      <xdr:rowOff>209550</xdr:rowOff>
    </xdr:to>
    <xdr:grpSp>
      <xdr:nvGrpSpPr>
        <xdr:cNvPr id="18" name="Group 2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>
          <a:grpSpLocks/>
        </xdr:cNvGrpSpPr>
      </xdr:nvGrpSpPr>
      <xdr:grpSpPr bwMode="auto">
        <a:xfrm rot="-5400000">
          <a:off x="4714875" y="1390650"/>
          <a:ext cx="495300" cy="0"/>
          <a:chOff x="269" y="1224"/>
          <a:chExt cx="216" cy="24"/>
        </a:xfrm>
      </xdr:grpSpPr>
      <xdr:sp macro="" textlink="">
        <xdr:nvSpPr>
          <xdr:cNvPr id="19" name="Line 22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23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4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22" name="Group 2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23" name="Line 26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7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Line 28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26" name="Group 29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27" name="Line 30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31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32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30" name="Group 3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31" name="Line 34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35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6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4</xdr:row>
      <xdr:rowOff>0</xdr:rowOff>
    </xdr:from>
    <xdr:to>
      <xdr:col>14</xdr:col>
      <xdr:colOff>0</xdr:colOff>
      <xdr:row>8</xdr:row>
      <xdr:rowOff>76200</xdr:rowOff>
    </xdr:to>
    <xdr:grpSp>
      <xdr:nvGrpSpPr>
        <xdr:cNvPr id="34" name="Group 37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GrpSpPr>
          <a:grpSpLocks/>
        </xdr:cNvGrpSpPr>
      </xdr:nvGrpSpPr>
      <xdr:grpSpPr bwMode="auto">
        <a:xfrm>
          <a:off x="4962525" y="952500"/>
          <a:ext cx="0" cy="1028700"/>
          <a:chOff x="931" y="159"/>
          <a:chExt cx="601" cy="161"/>
        </a:xfrm>
      </xdr:grpSpPr>
      <xdr:sp macro="" textlink="">
        <xdr:nvSpPr>
          <xdr:cNvPr id="35" name="Freeform 38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SpPr>
            <a:spLocks/>
          </xdr:cNvSpPr>
        </xdr:nvSpPr>
        <xdr:spPr bwMode="auto">
          <a:xfrm>
            <a:off x="931" y="216"/>
            <a:ext cx="601" cy="72"/>
          </a:xfrm>
          <a:custGeom>
            <a:avLst/>
            <a:gdLst>
              <a:gd name="T0" fmla="*/ 0 w 601"/>
              <a:gd name="T1" fmla="*/ 0 h 72"/>
              <a:gd name="T2" fmla="*/ 59 w 601"/>
              <a:gd name="T3" fmla="*/ 0 h 72"/>
              <a:gd name="T4" fmla="*/ 164 w 601"/>
              <a:gd name="T5" fmla="*/ 72 h 72"/>
              <a:gd name="T6" fmla="*/ 435 w 601"/>
              <a:gd name="T7" fmla="*/ 72 h 72"/>
              <a:gd name="T8" fmla="*/ 524 w 601"/>
              <a:gd name="T9" fmla="*/ 0 h 72"/>
              <a:gd name="T10" fmla="*/ 601 w 601"/>
              <a:gd name="T11" fmla="*/ 0 h 7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01"/>
              <a:gd name="T19" fmla="*/ 0 h 72"/>
              <a:gd name="T20" fmla="*/ 601 w 601"/>
              <a:gd name="T21" fmla="*/ 72 h 7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01" h="72">
                <a:moveTo>
                  <a:pt x="0" y="0"/>
                </a:moveTo>
                <a:lnTo>
                  <a:pt x="59" y="0"/>
                </a:lnTo>
                <a:lnTo>
                  <a:pt x="164" y="72"/>
                </a:lnTo>
                <a:lnTo>
                  <a:pt x="435" y="72"/>
                </a:lnTo>
                <a:lnTo>
                  <a:pt x="524" y="0"/>
                </a:lnTo>
                <a:lnTo>
                  <a:pt x="601" y="0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Line 39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SpPr>
            <a:spLocks noChangeShapeType="1"/>
          </xdr:cNvSpPr>
        </xdr:nvSpPr>
        <xdr:spPr bwMode="auto">
          <a:xfrm>
            <a:off x="1198" y="240"/>
            <a:ext cx="186" cy="0"/>
          </a:xfrm>
          <a:prstGeom prst="line">
            <a:avLst/>
          </a:prstGeom>
          <a:noFill/>
          <a:ln w="12700">
            <a:solidFill>
              <a:srgbClr val="000000"/>
            </a:solidFill>
            <a:prstDash val="lg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Freeform 40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SpPr>
            <a:spLocks/>
          </xdr:cNvSpPr>
        </xdr:nvSpPr>
        <xdr:spPr bwMode="auto">
          <a:xfrm>
            <a:off x="1003" y="288"/>
            <a:ext cx="35" cy="24"/>
          </a:xfrm>
          <a:custGeom>
            <a:avLst/>
            <a:gdLst>
              <a:gd name="T0" fmla="*/ 0 w 35"/>
              <a:gd name="T1" fmla="*/ 0 h 24"/>
              <a:gd name="T2" fmla="*/ 0 w 35"/>
              <a:gd name="T3" fmla="*/ 24 h 24"/>
              <a:gd name="T4" fmla="*/ 35 w 35"/>
              <a:gd name="T5" fmla="*/ 24 h 24"/>
              <a:gd name="T6" fmla="*/ 0 60000 65536"/>
              <a:gd name="T7" fmla="*/ 0 60000 65536"/>
              <a:gd name="T8" fmla="*/ 0 60000 65536"/>
              <a:gd name="T9" fmla="*/ 0 w 35"/>
              <a:gd name="T10" fmla="*/ 0 h 24"/>
              <a:gd name="T11" fmla="*/ 35 w 35"/>
              <a:gd name="T12" fmla="*/ 24 h 2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" h="24">
                <a:moveTo>
                  <a:pt x="0" y="0"/>
                </a:moveTo>
                <a:lnTo>
                  <a:pt x="0" y="24"/>
                </a:lnTo>
                <a:lnTo>
                  <a:pt x="35" y="24"/>
                </a:lnTo>
              </a:path>
            </a:pathLst>
          </a:custGeom>
          <a:noFill/>
          <a:ln w="3175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Line 41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SpPr>
            <a:spLocks noChangeShapeType="1"/>
          </xdr:cNvSpPr>
        </xdr:nvSpPr>
        <xdr:spPr bwMode="auto">
          <a:xfrm>
            <a:off x="1003" y="288"/>
            <a:ext cx="35" cy="2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9" name="Group 42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GrpSpPr>
            <a:grpSpLocks/>
          </xdr:cNvGrpSpPr>
        </xdr:nvGrpSpPr>
        <xdr:grpSpPr bwMode="auto">
          <a:xfrm>
            <a:off x="1096" y="183"/>
            <a:ext cx="264" cy="32"/>
            <a:chOff x="269" y="1224"/>
            <a:chExt cx="216" cy="24"/>
          </a:xfrm>
        </xdr:grpSpPr>
        <xdr:sp macro="" textlink="">
          <xdr:nvSpPr>
            <xdr:cNvPr id="68" name="Line 43">
              <a:extLst>
                <a:ext uri="{FF2B5EF4-FFF2-40B4-BE49-F238E27FC236}">
                  <a16:creationId xmlns:a16="http://schemas.microsoft.com/office/drawing/2014/main" id="{00000000-0008-0000-0200-000044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9" name="Line 44">
              <a:extLst>
                <a:ext uri="{FF2B5EF4-FFF2-40B4-BE49-F238E27FC236}">
                  <a16:creationId xmlns:a16="http://schemas.microsoft.com/office/drawing/2014/main" id="{00000000-0008-0000-0200-000045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0" name="Line 45">
              <a:extLst>
                <a:ext uri="{FF2B5EF4-FFF2-40B4-BE49-F238E27FC236}">
                  <a16:creationId xmlns:a16="http://schemas.microsoft.com/office/drawing/2014/main" id="{00000000-0008-0000-0200-00004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0" name="Group 46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1202" y="212"/>
            <a:ext cx="24" cy="32"/>
            <a:chOff x="269" y="1224"/>
            <a:chExt cx="216" cy="24"/>
          </a:xfrm>
        </xdr:grpSpPr>
        <xdr:sp macro="" textlink="">
          <xdr:nvSpPr>
            <xdr:cNvPr id="65" name="Line 47">
              <a:extLst>
                <a:ext uri="{FF2B5EF4-FFF2-40B4-BE49-F238E27FC236}">
                  <a16:creationId xmlns:a16="http://schemas.microsoft.com/office/drawing/2014/main" id="{00000000-0008-0000-0200-000041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6" name="Line 48">
              <a:extLst>
                <a:ext uri="{FF2B5EF4-FFF2-40B4-BE49-F238E27FC236}">
                  <a16:creationId xmlns:a16="http://schemas.microsoft.com/office/drawing/2014/main" id="{00000000-0008-0000-0200-000042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7" name="Line 49">
              <a:extLst>
                <a:ext uri="{FF2B5EF4-FFF2-40B4-BE49-F238E27FC236}">
                  <a16:creationId xmlns:a16="http://schemas.microsoft.com/office/drawing/2014/main" id="{00000000-0008-0000-0200-00004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1" name="Group 5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GrpSpPr>
            <a:grpSpLocks/>
          </xdr:cNvGrpSpPr>
        </xdr:nvGrpSpPr>
        <xdr:grpSpPr bwMode="auto">
          <a:xfrm flipV="1">
            <a:off x="1095" y="292"/>
            <a:ext cx="269" cy="28"/>
            <a:chOff x="269" y="1224"/>
            <a:chExt cx="216" cy="24"/>
          </a:xfrm>
        </xdr:grpSpPr>
        <xdr:sp macro="" textlink="">
          <xdr:nvSpPr>
            <xdr:cNvPr id="62" name="Line 51">
              <a:extLst>
                <a:ext uri="{FF2B5EF4-FFF2-40B4-BE49-F238E27FC236}">
                  <a16:creationId xmlns:a16="http://schemas.microsoft.com/office/drawing/2014/main" id="{00000000-0008-0000-0200-00003E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" name="Line 52">
              <a:extLst>
                <a:ext uri="{FF2B5EF4-FFF2-40B4-BE49-F238E27FC236}">
                  <a16:creationId xmlns:a16="http://schemas.microsoft.com/office/drawing/2014/main" id="{00000000-0008-0000-0200-00003F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" name="Line 53">
              <a:extLst>
                <a:ext uri="{FF2B5EF4-FFF2-40B4-BE49-F238E27FC236}">
                  <a16:creationId xmlns:a16="http://schemas.microsoft.com/office/drawing/2014/main" id="{00000000-0008-0000-0200-00004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2" name="Group 54"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1190" y="248"/>
            <a:ext cx="47" cy="32"/>
            <a:chOff x="269" y="1224"/>
            <a:chExt cx="216" cy="24"/>
          </a:xfrm>
        </xdr:grpSpPr>
        <xdr:sp macro="" textlink="">
          <xdr:nvSpPr>
            <xdr:cNvPr id="59" name="Line 55">
              <a:extLst>
                <a:ext uri="{FF2B5EF4-FFF2-40B4-BE49-F238E27FC236}">
                  <a16:creationId xmlns:a16="http://schemas.microsoft.com/office/drawing/2014/main" id="{00000000-0008-0000-0200-00003B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" name="Line 56">
              <a:extLst>
                <a:ext uri="{FF2B5EF4-FFF2-40B4-BE49-F238E27FC236}">
                  <a16:creationId xmlns:a16="http://schemas.microsoft.com/office/drawing/2014/main" id="{00000000-0008-0000-0200-00003C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" name="Line 57">
              <a:extLst>
                <a:ext uri="{FF2B5EF4-FFF2-40B4-BE49-F238E27FC236}">
                  <a16:creationId xmlns:a16="http://schemas.microsoft.com/office/drawing/2014/main" id="{00000000-0008-0000-0200-00003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3" name="Group 58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1156" y="236"/>
            <a:ext cx="71" cy="32"/>
            <a:chOff x="269" y="1224"/>
            <a:chExt cx="216" cy="24"/>
          </a:xfrm>
        </xdr:grpSpPr>
        <xdr:sp macro="" textlink="">
          <xdr:nvSpPr>
            <xdr:cNvPr id="56" name="Line 59">
              <a:extLst>
                <a:ext uri="{FF2B5EF4-FFF2-40B4-BE49-F238E27FC236}">
                  <a16:creationId xmlns:a16="http://schemas.microsoft.com/office/drawing/2014/main" id="{00000000-0008-0000-0200-000038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" name="Line 60">
              <a:extLst>
                <a:ext uri="{FF2B5EF4-FFF2-40B4-BE49-F238E27FC236}">
                  <a16:creationId xmlns:a16="http://schemas.microsoft.com/office/drawing/2014/main" id="{00000000-0008-0000-0200-000039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" name="Line 61">
              <a:extLst>
                <a:ext uri="{FF2B5EF4-FFF2-40B4-BE49-F238E27FC236}">
                  <a16:creationId xmlns:a16="http://schemas.microsoft.com/office/drawing/2014/main" id="{00000000-0008-0000-0200-00003A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4" name="Group 62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GrpSpPr>
            <a:grpSpLocks/>
          </xdr:cNvGrpSpPr>
        </xdr:nvGrpSpPr>
        <xdr:grpSpPr bwMode="auto">
          <a:xfrm>
            <a:off x="1360" y="183"/>
            <a:ext cx="94" cy="32"/>
            <a:chOff x="269" y="1224"/>
            <a:chExt cx="216" cy="24"/>
          </a:xfrm>
        </xdr:grpSpPr>
        <xdr:sp macro="" textlink="">
          <xdr:nvSpPr>
            <xdr:cNvPr id="53" name="Line 63">
              <a:extLst>
                <a:ext uri="{FF2B5EF4-FFF2-40B4-BE49-F238E27FC236}">
                  <a16:creationId xmlns:a16="http://schemas.microsoft.com/office/drawing/2014/main" id="{00000000-0008-0000-0200-000035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" name="Line 64">
              <a:extLst>
                <a:ext uri="{FF2B5EF4-FFF2-40B4-BE49-F238E27FC236}">
                  <a16:creationId xmlns:a16="http://schemas.microsoft.com/office/drawing/2014/main" id="{00000000-0008-0000-0200-000036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" name="Line 65">
              <a:extLst>
                <a:ext uri="{FF2B5EF4-FFF2-40B4-BE49-F238E27FC236}">
                  <a16:creationId xmlns:a16="http://schemas.microsoft.com/office/drawing/2014/main" id="{00000000-0008-0000-0200-00003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5" name="Group 66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GrpSpPr>
            <a:grpSpLocks/>
          </xdr:cNvGrpSpPr>
        </xdr:nvGrpSpPr>
        <xdr:grpSpPr bwMode="auto">
          <a:xfrm>
            <a:off x="991" y="183"/>
            <a:ext cx="105" cy="32"/>
            <a:chOff x="269" y="1224"/>
            <a:chExt cx="216" cy="24"/>
          </a:xfrm>
        </xdr:grpSpPr>
        <xdr:sp macro="" textlink="">
          <xdr:nvSpPr>
            <xdr:cNvPr id="50" name="Line 67">
              <a:extLst>
                <a:ext uri="{FF2B5EF4-FFF2-40B4-BE49-F238E27FC236}">
                  <a16:creationId xmlns:a16="http://schemas.microsoft.com/office/drawing/2014/main" id="{00000000-0008-0000-0200-000032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" name="Line 68">
              <a:extLst>
                <a:ext uri="{FF2B5EF4-FFF2-40B4-BE49-F238E27FC236}">
                  <a16:creationId xmlns:a16="http://schemas.microsoft.com/office/drawing/2014/main" id="{00000000-0008-0000-0200-000033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" name="Line 69">
              <a:extLst>
                <a:ext uri="{FF2B5EF4-FFF2-40B4-BE49-F238E27FC236}">
                  <a16:creationId xmlns:a16="http://schemas.microsoft.com/office/drawing/2014/main" id="{00000000-0008-0000-0200-00003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6" name="Group 70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GrpSpPr>
            <a:grpSpLocks/>
          </xdr:cNvGrpSpPr>
        </xdr:nvGrpSpPr>
        <xdr:grpSpPr bwMode="auto">
          <a:xfrm>
            <a:off x="991" y="159"/>
            <a:ext cx="463" cy="32"/>
            <a:chOff x="269" y="1224"/>
            <a:chExt cx="216" cy="24"/>
          </a:xfrm>
        </xdr:grpSpPr>
        <xdr:sp macro="" textlink="">
          <xdr:nvSpPr>
            <xdr:cNvPr id="47" name="Line 71">
              <a:extLst>
                <a:ext uri="{FF2B5EF4-FFF2-40B4-BE49-F238E27FC236}">
                  <a16:creationId xmlns:a16="http://schemas.microsoft.com/office/drawing/2014/main" id="{00000000-0008-0000-0200-00002F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" name="Line 72">
              <a:extLst>
                <a:ext uri="{FF2B5EF4-FFF2-40B4-BE49-F238E27FC236}">
                  <a16:creationId xmlns:a16="http://schemas.microsoft.com/office/drawing/2014/main" id="{00000000-0008-0000-0200-000030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" name="Line 73">
              <a:extLst>
                <a:ext uri="{FF2B5EF4-FFF2-40B4-BE49-F238E27FC236}">
                  <a16:creationId xmlns:a16="http://schemas.microsoft.com/office/drawing/2014/main" id="{00000000-0008-0000-0200-00003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 editAs="oneCell">
    <xdr:from>
      <xdr:col>34</xdr:col>
      <xdr:colOff>180272</xdr:colOff>
      <xdr:row>7</xdr:row>
      <xdr:rowOff>209550</xdr:rowOff>
    </xdr:from>
    <xdr:to>
      <xdr:col>37</xdr:col>
      <xdr:colOff>0</xdr:colOff>
      <xdr:row>15</xdr:row>
      <xdr:rowOff>66676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2" t="22711" r="32959" b="10445"/>
        <a:stretch/>
      </xdr:blipFill>
      <xdr:spPr bwMode="auto">
        <a:xfrm>
          <a:off x="5142797" y="1876425"/>
          <a:ext cx="2048578" cy="1762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219075</xdr:colOff>
      <xdr:row>4</xdr:row>
      <xdr:rowOff>209550</xdr:rowOff>
    </xdr:from>
    <xdr:to>
      <xdr:col>21</xdr:col>
      <xdr:colOff>723900</xdr:colOff>
      <xdr:row>6</xdr:row>
      <xdr:rowOff>219075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/>
        </xdr:cNvSpPr>
      </xdr:nvSpPr>
      <xdr:spPr bwMode="auto">
        <a:xfrm>
          <a:off x="4962525" y="11620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6 h 49"/>
            <a:gd name="T4" fmla="*/ 0 w 599"/>
            <a:gd name="T5" fmla="*/ 2147483646 h 49"/>
            <a:gd name="T6" fmla="*/ 0 w 599"/>
            <a:gd name="T7" fmla="*/ 2147483646 h 49"/>
            <a:gd name="T8" fmla="*/ 0 w 599"/>
            <a:gd name="T9" fmla="*/ 2147483646 h 49"/>
            <a:gd name="T10" fmla="*/ 0 w 599"/>
            <a:gd name="T11" fmla="*/ 2147483646 h 49"/>
            <a:gd name="T12" fmla="*/ 0 w 599"/>
            <a:gd name="T13" fmla="*/ 2147483646 h 49"/>
            <a:gd name="T14" fmla="*/ 0 w 599"/>
            <a:gd name="T15" fmla="*/ 2147483646 h 49"/>
            <a:gd name="T16" fmla="*/ 0 w 599"/>
            <a:gd name="T17" fmla="*/ 2147483646 h 49"/>
            <a:gd name="T18" fmla="*/ 0 w 599"/>
            <a:gd name="T19" fmla="*/ 2147483646 h 49"/>
            <a:gd name="T20" fmla="*/ 0 w 599"/>
            <a:gd name="T21" fmla="*/ 2147483646 h 49"/>
            <a:gd name="T22" fmla="*/ 0 w 599"/>
            <a:gd name="T23" fmla="*/ 2147483646 h 49"/>
            <a:gd name="T24" fmla="*/ 0 w 599"/>
            <a:gd name="T25" fmla="*/ 2147483646 h 49"/>
            <a:gd name="T26" fmla="*/ 0 w 599"/>
            <a:gd name="T27" fmla="*/ 2147483646 h 49"/>
            <a:gd name="T28" fmla="*/ 0 w 599"/>
            <a:gd name="T29" fmla="*/ 2147483646 h 49"/>
            <a:gd name="T30" fmla="*/ 0 w 599"/>
            <a:gd name="T31" fmla="*/ 2147483646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400050</xdr:colOff>
      <xdr:row>5</xdr:row>
      <xdr:rowOff>95250</xdr:rowOff>
    </xdr:from>
    <xdr:to>
      <xdr:col>20</xdr:col>
      <xdr:colOff>76200</xdr:colOff>
      <xdr:row>5</xdr:row>
      <xdr:rowOff>95250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>
          <a:off x="4962525" y="1285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6</xdr:row>
      <xdr:rowOff>219075</xdr:rowOff>
    </xdr:from>
    <xdr:to>
      <xdr:col>16</xdr:col>
      <xdr:colOff>333375</xdr:colOff>
      <xdr:row>7</xdr:row>
      <xdr:rowOff>219075</xdr:rowOff>
    </xdr:to>
    <xdr:sp macro="" textlink="">
      <xdr:nvSpPr>
        <xdr:cNvPr id="4" name="Freefor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/>
        </xdr:cNvSpPr>
      </xdr:nvSpPr>
      <xdr:spPr bwMode="auto">
        <a:xfrm>
          <a:off x="4962525" y="16478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6 h 24"/>
            <a:gd name="T4" fmla="*/ 0 w 35"/>
            <a:gd name="T5" fmla="*/ 2147483646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6</xdr:row>
      <xdr:rowOff>219075</xdr:rowOff>
    </xdr:from>
    <xdr:to>
      <xdr:col>16</xdr:col>
      <xdr:colOff>333375</xdr:colOff>
      <xdr:row>7</xdr:row>
      <xdr:rowOff>219075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ShapeType="1"/>
        </xdr:cNvSpPr>
      </xdr:nvSpPr>
      <xdr:spPr bwMode="auto">
        <a:xfrm>
          <a:off x="4962525" y="16478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7</xdr:row>
      <xdr:rowOff>47625</xdr:rowOff>
    </xdr:from>
    <xdr:to>
      <xdr:col>14</xdr:col>
      <xdr:colOff>0</xdr:colOff>
      <xdr:row>8</xdr:row>
      <xdr:rowOff>57150</xdr:rowOff>
    </xdr:to>
    <xdr:grpSp>
      <xdr:nvGrpSpPr>
        <xdr:cNvPr id="10" name="Group 1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pSpPr>
          <a:grpSpLocks/>
        </xdr:cNvGrpSpPr>
      </xdr:nvGrpSpPr>
      <xdr:grpSpPr bwMode="auto">
        <a:xfrm flipV="1">
          <a:off x="4962525" y="1714500"/>
          <a:ext cx="0" cy="247650"/>
          <a:chOff x="269" y="1224"/>
          <a:chExt cx="216" cy="24"/>
        </a:xfrm>
      </xdr:grpSpPr>
      <xdr:sp macro="" textlink="">
        <xdr:nvSpPr>
          <xdr:cNvPr id="11" name="Line 14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5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16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5</xdr:row>
      <xdr:rowOff>95250</xdr:rowOff>
    </xdr:from>
    <xdr:to>
      <xdr:col>14</xdr:col>
      <xdr:colOff>0</xdr:colOff>
      <xdr:row>6</xdr:row>
      <xdr:rowOff>219075</xdr:rowOff>
    </xdr:to>
    <xdr:grpSp>
      <xdr:nvGrpSpPr>
        <xdr:cNvPr id="14" name="Group 1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pSpPr>
          <a:grpSpLocks/>
        </xdr:cNvGrpSpPr>
      </xdr:nvGrpSpPr>
      <xdr:grpSpPr bwMode="auto">
        <a:xfrm rot="-5400000">
          <a:off x="4781550" y="1466850"/>
          <a:ext cx="361950" cy="0"/>
          <a:chOff x="269" y="1224"/>
          <a:chExt cx="216" cy="24"/>
        </a:xfrm>
      </xdr:grpSpPr>
      <xdr:sp macro="" textlink="">
        <xdr:nvSpPr>
          <xdr:cNvPr id="15" name="Line 18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19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0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4</xdr:row>
      <xdr:rowOff>190500</xdr:rowOff>
    </xdr:from>
    <xdr:to>
      <xdr:col>14</xdr:col>
      <xdr:colOff>0</xdr:colOff>
      <xdr:row>6</xdr:row>
      <xdr:rowOff>209550</xdr:rowOff>
    </xdr:to>
    <xdr:grpSp>
      <xdr:nvGrpSpPr>
        <xdr:cNvPr id="18" name="Group 2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pSpPr>
          <a:grpSpLocks/>
        </xdr:cNvGrpSpPr>
      </xdr:nvGrpSpPr>
      <xdr:grpSpPr bwMode="auto">
        <a:xfrm rot="-5400000">
          <a:off x="4714875" y="1390650"/>
          <a:ext cx="495300" cy="0"/>
          <a:chOff x="269" y="1224"/>
          <a:chExt cx="216" cy="24"/>
        </a:xfrm>
      </xdr:grpSpPr>
      <xdr:sp macro="" textlink="">
        <xdr:nvSpPr>
          <xdr:cNvPr id="19" name="Line 22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23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4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22" name="Group 25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23" name="Line 26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7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Line 28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26" name="Group 29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27" name="Line 30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31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32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30" name="Group 33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31" name="Line 34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35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6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4</xdr:row>
      <xdr:rowOff>0</xdr:rowOff>
    </xdr:from>
    <xdr:to>
      <xdr:col>14</xdr:col>
      <xdr:colOff>0</xdr:colOff>
      <xdr:row>8</xdr:row>
      <xdr:rowOff>76200</xdr:rowOff>
    </xdr:to>
    <xdr:grpSp>
      <xdr:nvGrpSpPr>
        <xdr:cNvPr id="34" name="Group 37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pSpPr>
          <a:grpSpLocks/>
        </xdr:cNvGrpSpPr>
      </xdr:nvGrpSpPr>
      <xdr:grpSpPr bwMode="auto">
        <a:xfrm>
          <a:off x="4962525" y="952500"/>
          <a:ext cx="0" cy="1028700"/>
          <a:chOff x="931" y="159"/>
          <a:chExt cx="601" cy="161"/>
        </a:xfrm>
      </xdr:grpSpPr>
      <xdr:sp macro="" textlink="">
        <xdr:nvSpPr>
          <xdr:cNvPr id="35" name="Freeform 38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SpPr>
            <a:spLocks/>
          </xdr:cNvSpPr>
        </xdr:nvSpPr>
        <xdr:spPr bwMode="auto">
          <a:xfrm>
            <a:off x="931" y="216"/>
            <a:ext cx="601" cy="72"/>
          </a:xfrm>
          <a:custGeom>
            <a:avLst/>
            <a:gdLst>
              <a:gd name="T0" fmla="*/ 0 w 601"/>
              <a:gd name="T1" fmla="*/ 0 h 72"/>
              <a:gd name="T2" fmla="*/ 59 w 601"/>
              <a:gd name="T3" fmla="*/ 0 h 72"/>
              <a:gd name="T4" fmla="*/ 164 w 601"/>
              <a:gd name="T5" fmla="*/ 72 h 72"/>
              <a:gd name="T6" fmla="*/ 435 w 601"/>
              <a:gd name="T7" fmla="*/ 72 h 72"/>
              <a:gd name="T8" fmla="*/ 524 w 601"/>
              <a:gd name="T9" fmla="*/ 0 h 72"/>
              <a:gd name="T10" fmla="*/ 601 w 601"/>
              <a:gd name="T11" fmla="*/ 0 h 7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01"/>
              <a:gd name="T19" fmla="*/ 0 h 72"/>
              <a:gd name="T20" fmla="*/ 601 w 601"/>
              <a:gd name="T21" fmla="*/ 72 h 7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01" h="72">
                <a:moveTo>
                  <a:pt x="0" y="0"/>
                </a:moveTo>
                <a:lnTo>
                  <a:pt x="59" y="0"/>
                </a:lnTo>
                <a:lnTo>
                  <a:pt x="164" y="72"/>
                </a:lnTo>
                <a:lnTo>
                  <a:pt x="435" y="72"/>
                </a:lnTo>
                <a:lnTo>
                  <a:pt x="524" y="0"/>
                </a:lnTo>
                <a:lnTo>
                  <a:pt x="601" y="0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Line 39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SpPr>
            <a:spLocks noChangeShapeType="1"/>
          </xdr:cNvSpPr>
        </xdr:nvSpPr>
        <xdr:spPr bwMode="auto">
          <a:xfrm>
            <a:off x="1198" y="240"/>
            <a:ext cx="186" cy="0"/>
          </a:xfrm>
          <a:prstGeom prst="line">
            <a:avLst/>
          </a:prstGeom>
          <a:noFill/>
          <a:ln w="12700">
            <a:solidFill>
              <a:srgbClr val="000000"/>
            </a:solidFill>
            <a:prstDash val="lg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Freeform 40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SpPr>
            <a:spLocks/>
          </xdr:cNvSpPr>
        </xdr:nvSpPr>
        <xdr:spPr bwMode="auto">
          <a:xfrm>
            <a:off x="1003" y="288"/>
            <a:ext cx="35" cy="24"/>
          </a:xfrm>
          <a:custGeom>
            <a:avLst/>
            <a:gdLst>
              <a:gd name="T0" fmla="*/ 0 w 35"/>
              <a:gd name="T1" fmla="*/ 0 h 24"/>
              <a:gd name="T2" fmla="*/ 0 w 35"/>
              <a:gd name="T3" fmla="*/ 24 h 24"/>
              <a:gd name="T4" fmla="*/ 35 w 35"/>
              <a:gd name="T5" fmla="*/ 24 h 24"/>
              <a:gd name="T6" fmla="*/ 0 60000 65536"/>
              <a:gd name="T7" fmla="*/ 0 60000 65536"/>
              <a:gd name="T8" fmla="*/ 0 60000 65536"/>
              <a:gd name="T9" fmla="*/ 0 w 35"/>
              <a:gd name="T10" fmla="*/ 0 h 24"/>
              <a:gd name="T11" fmla="*/ 35 w 35"/>
              <a:gd name="T12" fmla="*/ 24 h 2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" h="24">
                <a:moveTo>
                  <a:pt x="0" y="0"/>
                </a:moveTo>
                <a:lnTo>
                  <a:pt x="0" y="24"/>
                </a:lnTo>
                <a:lnTo>
                  <a:pt x="35" y="24"/>
                </a:lnTo>
              </a:path>
            </a:pathLst>
          </a:custGeom>
          <a:noFill/>
          <a:ln w="3175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Line 41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SpPr>
            <a:spLocks noChangeShapeType="1"/>
          </xdr:cNvSpPr>
        </xdr:nvSpPr>
        <xdr:spPr bwMode="auto">
          <a:xfrm>
            <a:off x="1003" y="288"/>
            <a:ext cx="35" cy="2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9" name="Group 42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GrpSpPr>
            <a:grpSpLocks/>
          </xdr:cNvGrpSpPr>
        </xdr:nvGrpSpPr>
        <xdr:grpSpPr bwMode="auto">
          <a:xfrm>
            <a:off x="1096" y="183"/>
            <a:ext cx="264" cy="32"/>
            <a:chOff x="269" y="1224"/>
            <a:chExt cx="216" cy="24"/>
          </a:xfrm>
        </xdr:grpSpPr>
        <xdr:sp macro="" textlink="">
          <xdr:nvSpPr>
            <xdr:cNvPr id="68" name="Line 43">
              <a:extLst>
                <a:ext uri="{FF2B5EF4-FFF2-40B4-BE49-F238E27FC236}">
                  <a16:creationId xmlns:a16="http://schemas.microsoft.com/office/drawing/2014/main" id="{00000000-0008-0000-0300-000044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9" name="Line 44">
              <a:extLst>
                <a:ext uri="{FF2B5EF4-FFF2-40B4-BE49-F238E27FC236}">
                  <a16:creationId xmlns:a16="http://schemas.microsoft.com/office/drawing/2014/main" id="{00000000-0008-0000-0300-000045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0" name="Line 45">
              <a:extLst>
                <a:ext uri="{FF2B5EF4-FFF2-40B4-BE49-F238E27FC236}">
                  <a16:creationId xmlns:a16="http://schemas.microsoft.com/office/drawing/2014/main" id="{00000000-0008-0000-0300-00004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0" name="Group 46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1202" y="212"/>
            <a:ext cx="24" cy="32"/>
            <a:chOff x="269" y="1224"/>
            <a:chExt cx="216" cy="24"/>
          </a:xfrm>
        </xdr:grpSpPr>
        <xdr:sp macro="" textlink="">
          <xdr:nvSpPr>
            <xdr:cNvPr id="65" name="Line 47">
              <a:extLst>
                <a:ext uri="{FF2B5EF4-FFF2-40B4-BE49-F238E27FC236}">
                  <a16:creationId xmlns:a16="http://schemas.microsoft.com/office/drawing/2014/main" id="{00000000-0008-0000-0300-000041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6" name="Line 48">
              <a:extLst>
                <a:ext uri="{FF2B5EF4-FFF2-40B4-BE49-F238E27FC236}">
                  <a16:creationId xmlns:a16="http://schemas.microsoft.com/office/drawing/2014/main" id="{00000000-0008-0000-0300-000042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7" name="Line 49">
              <a:extLst>
                <a:ext uri="{FF2B5EF4-FFF2-40B4-BE49-F238E27FC236}">
                  <a16:creationId xmlns:a16="http://schemas.microsoft.com/office/drawing/2014/main" id="{00000000-0008-0000-0300-00004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1" name="Group 5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GrpSpPr>
            <a:grpSpLocks/>
          </xdr:cNvGrpSpPr>
        </xdr:nvGrpSpPr>
        <xdr:grpSpPr bwMode="auto">
          <a:xfrm flipV="1">
            <a:off x="1095" y="292"/>
            <a:ext cx="269" cy="28"/>
            <a:chOff x="269" y="1224"/>
            <a:chExt cx="216" cy="24"/>
          </a:xfrm>
        </xdr:grpSpPr>
        <xdr:sp macro="" textlink="">
          <xdr:nvSpPr>
            <xdr:cNvPr id="62" name="Line 51">
              <a:extLst>
                <a:ext uri="{FF2B5EF4-FFF2-40B4-BE49-F238E27FC236}">
                  <a16:creationId xmlns:a16="http://schemas.microsoft.com/office/drawing/2014/main" id="{00000000-0008-0000-0300-00003E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" name="Line 52">
              <a:extLst>
                <a:ext uri="{FF2B5EF4-FFF2-40B4-BE49-F238E27FC236}">
                  <a16:creationId xmlns:a16="http://schemas.microsoft.com/office/drawing/2014/main" id="{00000000-0008-0000-0300-00003F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" name="Line 53">
              <a:extLst>
                <a:ext uri="{FF2B5EF4-FFF2-40B4-BE49-F238E27FC236}">
                  <a16:creationId xmlns:a16="http://schemas.microsoft.com/office/drawing/2014/main" id="{00000000-0008-0000-0300-00004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2" name="Group 54"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1190" y="248"/>
            <a:ext cx="47" cy="32"/>
            <a:chOff x="269" y="1224"/>
            <a:chExt cx="216" cy="24"/>
          </a:xfrm>
        </xdr:grpSpPr>
        <xdr:sp macro="" textlink="">
          <xdr:nvSpPr>
            <xdr:cNvPr id="59" name="Line 55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" name="Line 56">
              <a:extLst>
                <a:ext uri="{FF2B5EF4-FFF2-40B4-BE49-F238E27FC236}">
                  <a16:creationId xmlns:a16="http://schemas.microsoft.com/office/drawing/2014/main" id="{00000000-0008-0000-0300-00003C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" name="Line 57">
              <a:extLst>
                <a:ext uri="{FF2B5EF4-FFF2-40B4-BE49-F238E27FC236}">
                  <a16:creationId xmlns:a16="http://schemas.microsoft.com/office/drawing/2014/main" id="{00000000-0008-0000-0300-00003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3" name="Group 58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1156" y="236"/>
            <a:ext cx="71" cy="32"/>
            <a:chOff x="269" y="1224"/>
            <a:chExt cx="216" cy="24"/>
          </a:xfrm>
        </xdr:grpSpPr>
        <xdr:sp macro="" textlink="">
          <xdr:nvSpPr>
            <xdr:cNvPr id="56" name="Line 59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" name="Line 60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" name="Line 61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4" name="Group 62">
            <a:extLst>
              <a:ext uri="{FF2B5EF4-FFF2-40B4-BE49-F238E27FC236}">
                <a16:creationId xmlns:a16="http://schemas.microsoft.com/office/drawing/2014/main" id="{00000000-0008-0000-0300-00002C000000}"/>
              </a:ext>
            </a:extLst>
          </xdr:cNvPr>
          <xdr:cNvGrpSpPr>
            <a:grpSpLocks/>
          </xdr:cNvGrpSpPr>
        </xdr:nvGrpSpPr>
        <xdr:grpSpPr bwMode="auto">
          <a:xfrm>
            <a:off x="1360" y="183"/>
            <a:ext cx="94" cy="32"/>
            <a:chOff x="269" y="1224"/>
            <a:chExt cx="216" cy="24"/>
          </a:xfrm>
        </xdr:grpSpPr>
        <xdr:sp macro="" textlink="">
          <xdr:nvSpPr>
            <xdr:cNvPr id="53" name="Line 63">
              <a:extLst>
                <a:ext uri="{FF2B5EF4-FFF2-40B4-BE49-F238E27FC236}">
                  <a16:creationId xmlns:a16="http://schemas.microsoft.com/office/drawing/2014/main" id="{00000000-0008-0000-0300-000035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" name="Line 64">
              <a:extLst>
                <a:ext uri="{FF2B5EF4-FFF2-40B4-BE49-F238E27FC236}">
                  <a16:creationId xmlns:a16="http://schemas.microsoft.com/office/drawing/2014/main" id="{00000000-0008-0000-0300-000036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" name="Line 65">
              <a:extLst>
                <a:ext uri="{FF2B5EF4-FFF2-40B4-BE49-F238E27FC236}">
                  <a16:creationId xmlns:a16="http://schemas.microsoft.com/office/drawing/2014/main" id="{00000000-0008-0000-0300-00003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5" name="Group 66">
            <a:extLst>
              <a:ext uri="{FF2B5EF4-FFF2-40B4-BE49-F238E27FC236}">
                <a16:creationId xmlns:a16="http://schemas.microsoft.com/office/drawing/2014/main" id="{00000000-0008-0000-0300-00002D000000}"/>
              </a:ext>
            </a:extLst>
          </xdr:cNvPr>
          <xdr:cNvGrpSpPr>
            <a:grpSpLocks/>
          </xdr:cNvGrpSpPr>
        </xdr:nvGrpSpPr>
        <xdr:grpSpPr bwMode="auto">
          <a:xfrm>
            <a:off x="991" y="183"/>
            <a:ext cx="105" cy="32"/>
            <a:chOff x="269" y="1224"/>
            <a:chExt cx="216" cy="24"/>
          </a:xfrm>
        </xdr:grpSpPr>
        <xdr:sp macro="" textlink="">
          <xdr:nvSpPr>
            <xdr:cNvPr id="50" name="Line 67">
              <a:extLst>
                <a:ext uri="{FF2B5EF4-FFF2-40B4-BE49-F238E27FC236}">
                  <a16:creationId xmlns:a16="http://schemas.microsoft.com/office/drawing/2014/main" id="{00000000-0008-0000-0300-000032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" name="Line 68">
              <a:extLst>
                <a:ext uri="{FF2B5EF4-FFF2-40B4-BE49-F238E27FC236}">
                  <a16:creationId xmlns:a16="http://schemas.microsoft.com/office/drawing/2014/main" id="{00000000-0008-0000-0300-000033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" name="Line 69">
              <a:extLst>
                <a:ext uri="{FF2B5EF4-FFF2-40B4-BE49-F238E27FC236}">
                  <a16:creationId xmlns:a16="http://schemas.microsoft.com/office/drawing/2014/main" id="{00000000-0008-0000-0300-00003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6" name="Group 70">
            <a:extLst>
              <a:ext uri="{FF2B5EF4-FFF2-40B4-BE49-F238E27FC236}">
                <a16:creationId xmlns:a16="http://schemas.microsoft.com/office/drawing/2014/main" id="{00000000-0008-0000-0300-00002E000000}"/>
              </a:ext>
            </a:extLst>
          </xdr:cNvPr>
          <xdr:cNvGrpSpPr>
            <a:grpSpLocks/>
          </xdr:cNvGrpSpPr>
        </xdr:nvGrpSpPr>
        <xdr:grpSpPr bwMode="auto">
          <a:xfrm>
            <a:off x="991" y="159"/>
            <a:ext cx="463" cy="32"/>
            <a:chOff x="269" y="1224"/>
            <a:chExt cx="216" cy="24"/>
          </a:xfrm>
        </xdr:grpSpPr>
        <xdr:sp macro="" textlink="">
          <xdr:nvSpPr>
            <xdr:cNvPr id="47" name="Line 71">
              <a:extLst>
                <a:ext uri="{FF2B5EF4-FFF2-40B4-BE49-F238E27FC236}">
                  <a16:creationId xmlns:a16="http://schemas.microsoft.com/office/drawing/2014/main" id="{00000000-0008-0000-0300-00002F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" name="Line 72">
              <a:extLst>
                <a:ext uri="{FF2B5EF4-FFF2-40B4-BE49-F238E27FC236}">
                  <a16:creationId xmlns:a16="http://schemas.microsoft.com/office/drawing/2014/main" id="{00000000-0008-0000-0300-000030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" name="Line 73">
              <a:extLst>
                <a:ext uri="{FF2B5EF4-FFF2-40B4-BE49-F238E27FC236}">
                  <a16:creationId xmlns:a16="http://schemas.microsoft.com/office/drawing/2014/main" id="{00000000-0008-0000-0300-00003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 editAs="oneCell">
    <xdr:from>
      <xdr:col>34</xdr:col>
      <xdr:colOff>180272</xdr:colOff>
      <xdr:row>7</xdr:row>
      <xdr:rowOff>209550</xdr:rowOff>
    </xdr:from>
    <xdr:to>
      <xdr:col>37</xdr:col>
      <xdr:colOff>0</xdr:colOff>
      <xdr:row>15</xdr:row>
      <xdr:rowOff>66676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2" t="22711" r="32959" b="10445"/>
        <a:stretch/>
      </xdr:blipFill>
      <xdr:spPr bwMode="auto">
        <a:xfrm>
          <a:off x="5142797" y="1876425"/>
          <a:ext cx="2048578" cy="1762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8</xdr:row>
      <xdr:rowOff>95250</xdr:rowOff>
    </xdr:from>
    <xdr:to>
      <xdr:col>13</xdr:col>
      <xdr:colOff>0</xdr:colOff>
      <xdr:row>8</xdr:row>
      <xdr:rowOff>95250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500-0000FF770700}"/>
            </a:ext>
          </a:extLst>
        </xdr:cNvPr>
        <xdr:cNvSpPr>
          <a:spLocks noChangeShapeType="1"/>
        </xdr:cNvSpPr>
      </xdr:nvSpPr>
      <xdr:spPr bwMode="auto">
        <a:xfrm>
          <a:off x="4514850" y="2000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0</xdr:rowOff>
    </xdr:from>
    <xdr:to>
      <xdr:col>13</xdr:col>
      <xdr:colOff>0</xdr:colOff>
      <xdr:row>9</xdr:row>
      <xdr:rowOff>0</xdr:rowOff>
    </xdr:to>
    <xdr:sp macro="" textlink="">
      <xdr:nvSpPr>
        <xdr:cNvPr id="3" name="Freeform 3">
          <a:extLst>
            <a:ext uri="{FF2B5EF4-FFF2-40B4-BE49-F238E27FC236}">
              <a16:creationId xmlns:a16="http://schemas.microsoft.com/office/drawing/2014/main" id="{00000000-0008-0000-0500-000000240800}"/>
            </a:ext>
          </a:extLst>
        </xdr:cNvPr>
        <xdr:cNvSpPr>
          <a:spLocks/>
        </xdr:cNvSpPr>
      </xdr:nvSpPr>
      <xdr:spPr bwMode="auto">
        <a:xfrm>
          <a:off x="4514850" y="2143125"/>
          <a:ext cx="0" cy="0"/>
        </a:xfrm>
        <a:custGeom>
          <a:avLst/>
          <a:gdLst>
            <a:gd name="T0" fmla="*/ 0 w 35"/>
            <a:gd name="T1" fmla="*/ 0 h 24"/>
            <a:gd name="T2" fmla="*/ 0 w 35"/>
            <a:gd name="T3" fmla="*/ 0 h 24"/>
            <a:gd name="T4" fmla="*/ 0 w 35"/>
            <a:gd name="T5" fmla="*/ 0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35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0</xdr:rowOff>
    </xdr:from>
    <xdr:to>
      <xdr:col>13</xdr:col>
      <xdr:colOff>0</xdr:colOff>
      <xdr:row>9</xdr:row>
      <xdr:rowOff>0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0500-000001240800}"/>
            </a:ext>
          </a:extLst>
        </xdr:cNvPr>
        <xdr:cNvSpPr>
          <a:spLocks noChangeShapeType="1"/>
        </xdr:cNvSpPr>
      </xdr:nvSpPr>
      <xdr:spPr bwMode="auto">
        <a:xfrm>
          <a:off x="4514850" y="2143125"/>
          <a:ext cx="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0</xdr:rowOff>
    </xdr:from>
    <xdr:to>
      <xdr:col>13</xdr:col>
      <xdr:colOff>0</xdr:colOff>
      <xdr:row>9</xdr:row>
      <xdr:rowOff>0</xdr:rowOff>
    </xdr:to>
    <xdr:grpSp>
      <xdr:nvGrpSpPr>
        <xdr:cNvPr id="5" name="Group 13">
          <a:extLst>
            <a:ext uri="{FF2B5EF4-FFF2-40B4-BE49-F238E27FC236}">
              <a16:creationId xmlns:a16="http://schemas.microsoft.com/office/drawing/2014/main" id="{00000000-0008-0000-0500-000002240800}"/>
            </a:ext>
          </a:extLst>
        </xdr:cNvPr>
        <xdr:cNvGrpSpPr>
          <a:grpSpLocks/>
        </xdr:cNvGrpSpPr>
      </xdr:nvGrpSpPr>
      <xdr:grpSpPr bwMode="auto">
        <a:xfrm flipV="1">
          <a:off x="4514850" y="2143125"/>
          <a:ext cx="0" cy="0"/>
          <a:chOff x="269" y="1224"/>
          <a:chExt cx="216" cy="24"/>
        </a:xfrm>
      </xdr:grpSpPr>
      <xdr:sp macro="" textlink="">
        <xdr:nvSpPr>
          <xdr:cNvPr id="6" name="Line 14">
            <a:extLst>
              <a:ext uri="{FF2B5EF4-FFF2-40B4-BE49-F238E27FC236}">
                <a16:creationId xmlns:a16="http://schemas.microsoft.com/office/drawing/2014/main" id="{00000000-0008-0000-0500-000051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15">
            <a:extLst>
              <a:ext uri="{FF2B5EF4-FFF2-40B4-BE49-F238E27FC236}">
                <a16:creationId xmlns:a16="http://schemas.microsoft.com/office/drawing/2014/main" id="{00000000-0008-0000-0500-000052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16">
            <a:extLst>
              <a:ext uri="{FF2B5EF4-FFF2-40B4-BE49-F238E27FC236}">
                <a16:creationId xmlns:a16="http://schemas.microsoft.com/office/drawing/2014/main" id="{00000000-0008-0000-0500-0000532408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504825</xdr:colOff>
      <xdr:row>6</xdr:row>
      <xdr:rowOff>228600</xdr:rowOff>
    </xdr:from>
    <xdr:to>
      <xdr:col>18</xdr:col>
      <xdr:colOff>666750</xdr:colOff>
      <xdr:row>6</xdr:row>
      <xdr:rowOff>228600</xdr:rowOff>
    </xdr:to>
    <xdr:sp macro="" textlink="">
      <xdr:nvSpPr>
        <xdr:cNvPr id="9" name="Line 74">
          <a:extLst>
            <a:ext uri="{FF2B5EF4-FFF2-40B4-BE49-F238E27FC236}">
              <a16:creationId xmlns:a16="http://schemas.microsoft.com/office/drawing/2014/main" id="{00000000-0008-0000-0500-000003240800}"/>
            </a:ext>
          </a:extLst>
        </xdr:cNvPr>
        <xdr:cNvSpPr>
          <a:spLocks noChangeShapeType="1"/>
        </xdr:cNvSpPr>
      </xdr:nvSpPr>
      <xdr:spPr bwMode="auto">
        <a:xfrm>
          <a:off x="7820025" y="1657350"/>
          <a:ext cx="74295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361950</xdr:colOff>
      <xdr:row>4</xdr:row>
      <xdr:rowOff>152400</xdr:rowOff>
    </xdr:from>
    <xdr:to>
      <xdr:col>20</xdr:col>
      <xdr:colOff>0</xdr:colOff>
      <xdr:row>5</xdr:row>
      <xdr:rowOff>228600</xdr:rowOff>
    </xdr:to>
    <xdr:grpSp>
      <xdr:nvGrpSpPr>
        <xdr:cNvPr id="10" name="Group 75">
          <a:extLst>
            <a:ext uri="{FF2B5EF4-FFF2-40B4-BE49-F238E27FC236}">
              <a16:creationId xmlns:a16="http://schemas.microsoft.com/office/drawing/2014/main" id="{00000000-0008-0000-0500-000004240800}"/>
            </a:ext>
          </a:extLst>
        </xdr:cNvPr>
        <xdr:cNvGrpSpPr>
          <a:grpSpLocks/>
        </xdr:cNvGrpSpPr>
      </xdr:nvGrpSpPr>
      <xdr:grpSpPr bwMode="auto">
        <a:xfrm>
          <a:off x="5943600" y="1104900"/>
          <a:ext cx="3162300" cy="314325"/>
          <a:chOff x="269" y="1224"/>
          <a:chExt cx="216" cy="24"/>
        </a:xfrm>
      </xdr:grpSpPr>
      <xdr:sp macro="" textlink="">
        <xdr:nvSpPr>
          <xdr:cNvPr id="11" name="Line 76">
            <a:extLst>
              <a:ext uri="{FF2B5EF4-FFF2-40B4-BE49-F238E27FC236}">
                <a16:creationId xmlns:a16="http://schemas.microsoft.com/office/drawing/2014/main" id="{00000000-0008-0000-0500-00004E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77">
            <a:extLst>
              <a:ext uri="{FF2B5EF4-FFF2-40B4-BE49-F238E27FC236}">
                <a16:creationId xmlns:a16="http://schemas.microsoft.com/office/drawing/2014/main" id="{00000000-0008-0000-0500-00004F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78">
            <a:extLst>
              <a:ext uri="{FF2B5EF4-FFF2-40B4-BE49-F238E27FC236}">
                <a16:creationId xmlns:a16="http://schemas.microsoft.com/office/drawing/2014/main" id="{00000000-0008-0000-0500-0000502408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152400</xdr:colOff>
      <xdr:row>5</xdr:row>
      <xdr:rowOff>228600</xdr:rowOff>
    </xdr:from>
    <xdr:to>
      <xdr:col>17</xdr:col>
      <xdr:colOff>457200</xdr:colOff>
      <xdr:row>6</xdr:row>
      <xdr:rowOff>228600</xdr:rowOff>
    </xdr:to>
    <xdr:grpSp>
      <xdr:nvGrpSpPr>
        <xdr:cNvPr id="14" name="Group 79">
          <a:extLst>
            <a:ext uri="{FF2B5EF4-FFF2-40B4-BE49-F238E27FC236}">
              <a16:creationId xmlns:a16="http://schemas.microsoft.com/office/drawing/2014/main" id="{00000000-0008-0000-0500-000005240800}"/>
            </a:ext>
          </a:extLst>
        </xdr:cNvPr>
        <xdr:cNvGrpSpPr>
          <a:grpSpLocks/>
        </xdr:cNvGrpSpPr>
      </xdr:nvGrpSpPr>
      <xdr:grpSpPr bwMode="auto">
        <a:xfrm rot="-5400000">
          <a:off x="7500937" y="1385888"/>
          <a:ext cx="238125" cy="304800"/>
          <a:chOff x="269" y="1224"/>
          <a:chExt cx="216" cy="24"/>
        </a:xfrm>
      </xdr:grpSpPr>
      <xdr:sp macro="" textlink="">
        <xdr:nvSpPr>
          <xdr:cNvPr id="15" name="Line 80">
            <a:extLst>
              <a:ext uri="{FF2B5EF4-FFF2-40B4-BE49-F238E27FC236}">
                <a16:creationId xmlns:a16="http://schemas.microsoft.com/office/drawing/2014/main" id="{00000000-0008-0000-0500-00004B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81">
            <a:extLst>
              <a:ext uri="{FF2B5EF4-FFF2-40B4-BE49-F238E27FC236}">
                <a16:creationId xmlns:a16="http://schemas.microsoft.com/office/drawing/2014/main" id="{00000000-0008-0000-0500-00004C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82">
            <a:extLst>
              <a:ext uri="{FF2B5EF4-FFF2-40B4-BE49-F238E27FC236}">
                <a16:creationId xmlns:a16="http://schemas.microsoft.com/office/drawing/2014/main" id="{00000000-0008-0000-0500-00004D2408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152400</xdr:colOff>
      <xdr:row>6</xdr:row>
      <xdr:rowOff>228600</xdr:rowOff>
    </xdr:from>
    <xdr:to>
      <xdr:col>17</xdr:col>
      <xdr:colOff>457200</xdr:colOff>
      <xdr:row>8</xdr:row>
      <xdr:rowOff>219075</xdr:rowOff>
    </xdr:to>
    <xdr:grpSp>
      <xdr:nvGrpSpPr>
        <xdr:cNvPr id="18" name="Group 83">
          <a:extLst>
            <a:ext uri="{FF2B5EF4-FFF2-40B4-BE49-F238E27FC236}">
              <a16:creationId xmlns:a16="http://schemas.microsoft.com/office/drawing/2014/main" id="{00000000-0008-0000-0500-000006240800}"/>
            </a:ext>
          </a:extLst>
        </xdr:cNvPr>
        <xdr:cNvGrpSpPr>
          <a:grpSpLocks/>
        </xdr:cNvGrpSpPr>
      </xdr:nvGrpSpPr>
      <xdr:grpSpPr bwMode="auto">
        <a:xfrm rot="-5400000">
          <a:off x="7386637" y="1738313"/>
          <a:ext cx="466725" cy="304800"/>
          <a:chOff x="269" y="1224"/>
          <a:chExt cx="216" cy="24"/>
        </a:xfrm>
      </xdr:grpSpPr>
      <xdr:sp macro="" textlink="">
        <xdr:nvSpPr>
          <xdr:cNvPr id="19" name="Line 84">
            <a:extLst>
              <a:ext uri="{FF2B5EF4-FFF2-40B4-BE49-F238E27FC236}">
                <a16:creationId xmlns:a16="http://schemas.microsoft.com/office/drawing/2014/main" id="{00000000-0008-0000-0500-000048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85">
            <a:extLst>
              <a:ext uri="{FF2B5EF4-FFF2-40B4-BE49-F238E27FC236}">
                <a16:creationId xmlns:a16="http://schemas.microsoft.com/office/drawing/2014/main" id="{00000000-0008-0000-0500-000049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86">
            <a:extLst>
              <a:ext uri="{FF2B5EF4-FFF2-40B4-BE49-F238E27FC236}">
                <a16:creationId xmlns:a16="http://schemas.microsoft.com/office/drawing/2014/main" id="{00000000-0008-0000-0500-00004A2408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790575</xdr:colOff>
      <xdr:row>5</xdr:row>
      <xdr:rowOff>228600</xdr:rowOff>
    </xdr:from>
    <xdr:to>
      <xdr:col>17</xdr:col>
      <xdr:colOff>228600</xdr:colOff>
      <xdr:row>8</xdr:row>
      <xdr:rowOff>219075</xdr:rowOff>
    </xdr:to>
    <xdr:grpSp>
      <xdr:nvGrpSpPr>
        <xdr:cNvPr id="22" name="Group 87">
          <a:extLst>
            <a:ext uri="{FF2B5EF4-FFF2-40B4-BE49-F238E27FC236}">
              <a16:creationId xmlns:a16="http://schemas.microsoft.com/office/drawing/2014/main" id="{00000000-0008-0000-0500-000007240800}"/>
            </a:ext>
          </a:extLst>
        </xdr:cNvPr>
        <xdr:cNvGrpSpPr>
          <a:grpSpLocks/>
        </xdr:cNvGrpSpPr>
      </xdr:nvGrpSpPr>
      <xdr:grpSpPr bwMode="auto">
        <a:xfrm rot="-5400000">
          <a:off x="7038975" y="1619250"/>
          <a:ext cx="704850" cy="304800"/>
          <a:chOff x="269" y="1224"/>
          <a:chExt cx="216" cy="24"/>
        </a:xfrm>
      </xdr:grpSpPr>
      <xdr:sp macro="" textlink="">
        <xdr:nvSpPr>
          <xdr:cNvPr id="23" name="Line 88">
            <a:extLst>
              <a:ext uri="{FF2B5EF4-FFF2-40B4-BE49-F238E27FC236}">
                <a16:creationId xmlns:a16="http://schemas.microsoft.com/office/drawing/2014/main" id="{00000000-0008-0000-0500-000045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89">
            <a:extLst>
              <a:ext uri="{FF2B5EF4-FFF2-40B4-BE49-F238E27FC236}">
                <a16:creationId xmlns:a16="http://schemas.microsoft.com/office/drawing/2014/main" id="{00000000-0008-0000-0500-000046240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Line 90">
            <a:extLst>
              <a:ext uri="{FF2B5EF4-FFF2-40B4-BE49-F238E27FC236}">
                <a16:creationId xmlns:a16="http://schemas.microsoft.com/office/drawing/2014/main" id="{00000000-0008-0000-0500-0000472408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22</xdr:col>
      <xdr:colOff>0</xdr:colOff>
      <xdr:row>9</xdr:row>
      <xdr:rowOff>0</xdr:rowOff>
    </xdr:from>
    <xdr:to>
      <xdr:col>22</xdr:col>
      <xdr:colOff>0</xdr:colOff>
      <xdr:row>13</xdr:row>
      <xdr:rowOff>0</xdr:rowOff>
    </xdr:to>
    <xdr:grpSp>
      <xdr:nvGrpSpPr>
        <xdr:cNvPr id="26" name="Group 91">
          <a:extLst>
            <a:ext uri="{FF2B5EF4-FFF2-40B4-BE49-F238E27FC236}">
              <a16:creationId xmlns:a16="http://schemas.microsoft.com/office/drawing/2014/main" id="{00000000-0008-0000-0500-000008240800}"/>
            </a:ext>
          </a:extLst>
        </xdr:cNvPr>
        <xdr:cNvGrpSpPr>
          <a:grpSpLocks/>
        </xdr:cNvGrpSpPr>
      </xdr:nvGrpSpPr>
      <xdr:grpSpPr bwMode="auto">
        <a:xfrm>
          <a:off x="10039350" y="2143125"/>
          <a:ext cx="0" cy="952500"/>
          <a:chOff x="87" y="531"/>
          <a:chExt cx="201" cy="196"/>
        </a:xfrm>
      </xdr:grpSpPr>
      <xdr:grpSp>
        <xdr:nvGrpSpPr>
          <xdr:cNvPr id="27" name="Group 92">
            <a:extLst>
              <a:ext uri="{FF2B5EF4-FFF2-40B4-BE49-F238E27FC236}">
                <a16:creationId xmlns:a16="http://schemas.microsoft.com/office/drawing/2014/main" id="{00000000-0008-0000-0500-00001F240800}"/>
              </a:ext>
            </a:extLst>
          </xdr:cNvPr>
          <xdr:cNvGrpSpPr>
            <a:grpSpLocks/>
          </xdr:cNvGrpSpPr>
        </xdr:nvGrpSpPr>
        <xdr:grpSpPr bwMode="auto">
          <a:xfrm>
            <a:off x="87" y="531"/>
            <a:ext cx="166" cy="161"/>
            <a:chOff x="87" y="531"/>
            <a:chExt cx="166" cy="161"/>
          </a:xfrm>
        </xdr:grpSpPr>
        <xdr:sp macro="" textlink="">
          <xdr:nvSpPr>
            <xdr:cNvPr id="52" name="Freeform 93">
              <a:extLst>
                <a:ext uri="{FF2B5EF4-FFF2-40B4-BE49-F238E27FC236}">
                  <a16:creationId xmlns:a16="http://schemas.microsoft.com/office/drawing/2014/main" id="{00000000-0008-0000-0500-000038240800}"/>
                </a:ext>
              </a:extLst>
            </xdr:cNvPr>
            <xdr:cNvSpPr>
              <a:spLocks/>
            </xdr:cNvSpPr>
          </xdr:nvSpPr>
          <xdr:spPr bwMode="auto">
            <a:xfrm>
              <a:off x="224" y="664"/>
              <a:ext cx="17" cy="16"/>
            </a:xfrm>
            <a:custGeom>
              <a:avLst/>
              <a:gdLst>
                <a:gd name="T0" fmla="*/ 17 w 17"/>
                <a:gd name="T1" fmla="*/ 0 h 16"/>
                <a:gd name="T2" fmla="*/ 0 w 17"/>
                <a:gd name="T3" fmla="*/ 16 h 16"/>
                <a:gd name="T4" fmla="*/ 0 w 17"/>
                <a:gd name="T5" fmla="*/ 16 h 16"/>
                <a:gd name="T6" fmla="*/ 0 60000 65536"/>
                <a:gd name="T7" fmla="*/ 0 60000 65536"/>
                <a:gd name="T8" fmla="*/ 0 60000 65536"/>
                <a:gd name="T9" fmla="*/ 0 w 17"/>
                <a:gd name="T10" fmla="*/ 0 h 16"/>
                <a:gd name="T11" fmla="*/ 17 w 17"/>
                <a:gd name="T12" fmla="*/ 16 h 1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7" h="16">
                  <a:moveTo>
                    <a:pt x="17" y="0"/>
                  </a:moveTo>
                  <a:lnTo>
                    <a:pt x="0" y="16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53" name="Group 94">
              <a:extLst>
                <a:ext uri="{FF2B5EF4-FFF2-40B4-BE49-F238E27FC236}">
                  <a16:creationId xmlns:a16="http://schemas.microsoft.com/office/drawing/2014/main" id="{00000000-0008-0000-0500-0000392408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7" y="531"/>
              <a:ext cx="166" cy="161"/>
              <a:chOff x="87" y="531"/>
              <a:chExt cx="166" cy="161"/>
            </a:xfrm>
          </xdr:grpSpPr>
          <xdr:sp macro="" textlink="">
            <xdr:nvSpPr>
              <xdr:cNvPr id="54" name="Freeform 95">
                <a:extLst>
                  <a:ext uri="{FF2B5EF4-FFF2-40B4-BE49-F238E27FC236}">
                    <a16:creationId xmlns:a16="http://schemas.microsoft.com/office/drawing/2014/main" id="{00000000-0008-0000-0500-00003A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87" y="531"/>
                <a:ext cx="165" cy="1"/>
              </a:xfrm>
              <a:custGeom>
                <a:avLst/>
                <a:gdLst>
                  <a:gd name="T0" fmla="*/ 0 w 165"/>
                  <a:gd name="T1" fmla="*/ 0 h 1"/>
                  <a:gd name="T2" fmla="*/ 165 w 165"/>
                  <a:gd name="T3" fmla="*/ 0 h 1"/>
                  <a:gd name="T4" fmla="*/ 165 w 165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65"/>
                  <a:gd name="T10" fmla="*/ 0 h 1"/>
                  <a:gd name="T11" fmla="*/ 165 w 165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5" h="1">
                    <a:moveTo>
                      <a:pt x="0" y="0"/>
                    </a:moveTo>
                    <a:lnTo>
                      <a:pt x="165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5" name="Freeform 96">
                <a:extLst>
                  <a:ext uri="{FF2B5EF4-FFF2-40B4-BE49-F238E27FC236}">
                    <a16:creationId xmlns:a16="http://schemas.microsoft.com/office/drawing/2014/main" id="{00000000-0008-0000-0500-00003B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52" y="531"/>
                <a:ext cx="1" cy="160"/>
              </a:xfrm>
              <a:custGeom>
                <a:avLst/>
                <a:gdLst>
                  <a:gd name="T0" fmla="*/ 0 w 1"/>
                  <a:gd name="T1" fmla="*/ 0 h 160"/>
                  <a:gd name="T2" fmla="*/ 0 w 1"/>
                  <a:gd name="T3" fmla="*/ 160 h 160"/>
                  <a:gd name="T4" fmla="*/ 0 w 1"/>
                  <a:gd name="T5" fmla="*/ 160 h 160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60"/>
                  <a:gd name="T11" fmla="*/ 1 w 1"/>
                  <a:gd name="T12" fmla="*/ 160 h 16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60">
                    <a:moveTo>
                      <a:pt x="0" y="0"/>
                    </a:moveTo>
                    <a:lnTo>
                      <a:pt x="0" y="16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6" name="Freeform 97">
                <a:extLst>
                  <a:ext uri="{FF2B5EF4-FFF2-40B4-BE49-F238E27FC236}">
                    <a16:creationId xmlns:a16="http://schemas.microsoft.com/office/drawing/2014/main" id="{00000000-0008-0000-0500-00003C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87" y="691"/>
                <a:ext cx="165" cy="1"/>
              </a:xfrm>
              <a:custGeom>
                <a:avLst/>
                <a:gdLst>
                  <a:gd name="T0" fmla="*/ 165 w 165"/>
                  <a:gd name="T1" fmla="*/ 0 h 1"/>
                  <a:gd name="T2" fmla="*/ 0 w 165"/>
                  <a:gd name="T3" fmla="*/ 0 h 1"/>
                  <a:gd name="T4" fmla="*/ 0 w 165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65"/>
                  <a:gd name="T10" fmla="*/ 0 h 1"/>
                  <a:gd name="T11" fmla="*/ 165 w 165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5" h="1">
                    <a:moveTo>
                      <a:pt x="165" y="0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7" name="Freeform 98">
                <a:extLst>
                  <a:ext uri="{FF2B5EF4-FFF2-40B4-BE49-F238E27FC236}">
                    <a16:creationId xmlns:a16="http://schemas.microsoft.com/office/drawing/2014/main" id="{00000000-0008-0000-0500-00003D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87" y="531"/>
                <a:ext cx="1" cy="160"/>
              </a:xfrm>
              <a:custGeom>
                <a:avLst/>
                <a:gdLst>
                  <a:gd name="T0" fmla="*/ 0 w 1"/>
                  <a:gd name="T1" fmla="*/ 160 h 160"/>
                  <a:gd name="T2" fmla="*/ 0 w 1"/>
                  <a:gd name="T3" fmla="*/ 0 h 160"/>
                  <a:gd name="T4" fmla="*/ 0 w 1"/>
                  <a:gd name="T5" fmla="*/ 0 h 160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60"/>
                  <a:gd name="T11" fmla="*/ 1 w 1"/>
                  <a:gd name="T12" fmla="*/ 160 h 16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60">
                    <a:moveTo>
                      <a:pt x="0" y="160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8" name="Freeform 99">
                <a:extLst>
                  <a:ext uri="{FF2B5EF4-FFF2-40B4-BE49-F238E27FC236}">
                    <a16:creationId xmlns:a16="http://schemas.microsoft.com/office/drawing/2014/main" id="{00000000-0008-0000-0500-00003E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" y="558"/>
                <a:ext cx="1" cy="106"/>
              </a:xfrm>
              <a:custGeom>
                <a:avLst/>
                <a:gdLst>
                  <a:gd name="T0" fmla="*/ 0 w 1"/>
                  <a:gd name="T1" fmla="*/ 106 h 106"/>
                  <a:gd name="T2" fmla="*/ 0 w 1"/>
                  <a:gd name="T3" fmla="*/ 0 h 106"/>
                  <a:gd name="T4" fmla="*/ 0 w 1"/>
                  <a:gd name="T5" fmla="*/ 0 h 106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06"/>
                  <a:gd name="T11" fmla="*/ 1 w 1"/>
                  <a:gd name="T12" fmla="*/ 106 h 10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06">
                    <a:moveTo>
                      <a:pt x="0" y="106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59" name="Freeform 100">
                <a:extLst>
                  <a:ext uri="{FF2B5EF4-FFF2-40B4-BE49-F238E27FC236}">
                    <a16:creationId xmlns:a16="http://schemas.microsoft.com/office/drawing/2014/main" id="{00000000-0008-0000-0500-00003F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41" y="558"/>
                <a:ext cx="1" cy="106"/>
              </a:xfrm>
              <a:custGeom>
                <a:avLst/>
                <a:gdLst>
                  <a:gd name="T0" fmla="*/ 0 w 1"/>
                  <a:gd name="T1" fmla="*/ 0 h 106"/>
                  <a:gd name="T2" fmla="*/ 0 w 1"/>
                  <a:gd name="T3" fmla="*/ 106 h 106"/>
                  <a:gd name="T4" fmla="*/ 0 w 1"/>
                  <a:gd name="T5" fmla="*/ 106 h 106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06"/>
                  <a:gd name="T11" fmla="*/ 1 w 1"/>
                  <a:gd name="T12" fmla="*/ 106 h 10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06">
                    <a:moveTo>
                      <a:pt x="0" y="0"/>
                    </a:moveTo>
                    <a:lnTo>
                      <a:pt x="0" y="106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60" name="Freeform 101">
                <a:extLst>
                  <a:ext uri="{FF2B5EF4-FFF2-40B4-BE49-F238E27FC236}">
                    <a16:creationId xmlns:a16="http://schemas.microsoft.com/office/drawing/2014/main" id="{00000000-0008-0000-0500-000040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5" y="542"/>
                <a:ext cx="109" cy="1"/>
              </a:xfrm>
              <a:custGeom>
                <a:avLst/>
                <a:gdLst>
                  <a:gd name="T0" fmla="*/ 0 w 109"/>
                  <a:gd name="T1" fmla="*/ 0 h 1"/>
                  <a:gd name="T2" fmla="*/ 109 w 109"/>
                  <a:gd name="T3" fmla="*/ 0 h 1"/>
                  <a:gd name="T4" fmla="*/ 109 w 109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09"/>
                  <a:gd name="T10" fmla="*/ 0 h 1"/>
                  <a:gd name="T11" fmla="*/ 109 w 109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09" h="1">
                    <a:moveTo>
                      <a:pt x="0" y="0"/>
                    </a:moveTo>
                    <a:lnTo>
                      <a:pt x="109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61" name="Freeform 102">
                <a:extLst>
                  <a:ext uri="{FF2B5EF4-FFF2-40B4-BE49-F238E27FC236}">
                    <a16:creationId xmlns:a16="http://schemas.microsoft.com/office/drawing/2014/main" id="{00000000-0008-0000-0500-000041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5" y="680"/>
                <a:ext cx="109" cy="1"/>
              </a:xfrm>
              <a:custGeom>
                <a:avLst/>
                <a:gdLst>
                  <a:gd name="T0" fmla="*/ 109 w 109"/>
                  <a:gd name="T1" fmla="*/ 0 h 1"/>
                  <a:gd name="T2" fmla="*/ 0 w 109"/>
                  <a:gd name="T3" fmla="*/ 0 h 1"/>
                  <a:gd name="T4" fmla="*/ 0 w 109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09"/>
                  <a:gd name="T10" fmla="*/ 0 h 1"/>
                  <a:gd name="T11" fmla="*/ 109 w 109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09" h="1">
                    <a:moveTo>
                      <a:pt x="109" y="0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62" name="Freeform 103">
                <a:extLst>
                  <a:ext uri="{FF2B5EF4-FFF2-40B4-BE49-F238E27FC236}">
                    <a16:creationId xmlns:a16="http://schemas.microsoft.com/office/drawing/2014/main" id="{00000000-0008-0000-0500-000042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" y="542"/>
                <a:ext cx="16" cy="16"/>
              </a:xfrm>
              <a:custGeom>
                <a:avLst/>
                <a:gdLst>
                  <a:gd name="T0" fmla="*/ 0 w 16"/>
                  <a:gd name="T1" fmla="*/ 16 h 16"/>
                  <a:gd name="T2" fmla="*/ 16 w 16"/>
                  <a:gd name="T3" fmla="*/ 0 h 16"/>
                  <a:gd name="T4" fmla="*/ 16 w 16"/>
                  <a:gd name="T5" fmla="*/ 0 h 16"/>
                  <a:gd name="T6" fmla="*/ 0 60000 65536"/>
                  <a:gd name="T7" fmla="*/ 0 60000 65536"/>
                  <a:gd name="T8" fmla="*/ 0 60000 65536"/>
                  <a:gd name="T9" fmla="*/ 0 w 16"/>
                  <a:gd name="T10" fmla="*/ 0 h 16"/>
                  <a:gd name="T11" fmla="*/ 16 w 16"/>
                  <a:gd name="T12" fmla="*/ 16 h 1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" h="16">
                    <a:moveTo>
                      <a:pt x="0" y="16"/>
                    </a:moveTo>
                    <a:lnTo>
                      <a:pt x="16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63" name="Freeform 104">
                <a:extLst>
                  <a:ext uri="{FF2B5EF4-FFF2-40B4-BE49-F238E27FC236}">
                    <a16:creationId xmlns:a16="http://schemas.microsoft.com/office/drawing/2014/main" id="{00000000-0008-0000-0500-000043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24" y="542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17 w 17"/>
                  <a:gd name="T3" fmla="*/ 16 h 16"/>
                  <a:gd name="T4" fmla="*/ 17 w 17"/>
                  <a:gd name="T5" fmla="*/ 16 h 16"/>
                  <a:gd name="T6" fmla="*/ 0 60000 65536"/>
                  <a:gd name="T7" fmla="*/ 0 60000 65536"/>
                  <a:gd name="T8" fmla="*/ 0 60000 65536"/>
                  <a:gd name="T9" fmla="*/ 0 w 17"/>
                  <a:gd name="T10" fmla="*/ 0 h 16"/>
                  <a:gd name="T11" fmla="*/ 17 w 17"/>
                  <a:gd name="T12" fmla="*/ 16 h 1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7" h="16">
                    <a:moveTo>
                      <a:pt x="0" y="0"/>
                    </a:moveTo>
                    <a:lnTo>
                      <a:pt x="17" y="16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64" name="Freeform 105">
                <a:extLst>
                  <a:ext uri="{FF2B5EF4-FFF2-40B4-BE49-F238E27FC236}">
                    <a16:creationId xmlns:a16="http://schemas.microsoft.com/office/drawing/2014/main" id="{00000000-0008-0000-0500-0000442408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" y="664"/>
                <a:ext cx="16" cy="16"/>
              </a:xfrm>
              <a:custGeom>
                <a:avLst/>
                <a:gdLst>
                  <a:gd name="T0" fmla="*/ 16 w 16"/>
                  <a:gd name="T1" fmla="*/ 16 h 16"/>
                  <a:gd name="T2" fmla="*/ 0 w 16"/>
                  <a:gd name="T3" fmla="*/ 0 h 16"/>
                  <a:gd name="T4" fmla="*/ 0 w 16"/>
                  <a:gd name="T5" fmla="*/ 0 h 16"/>
                  <a:gd name="T6" fmla="*/ 0 60000 65536"/>
                  <a:gd name="T7" fmla="*/ 0 60000 65536"/>
                  <a:gd name="T8" fmla="*/ 0 60000 65536"/>
                  <a:gd name="T9" fmla="*/ 0 w 16"/>
                  <a:gd name="T10" fmla="*/ 0 h 16"/>
                  <a:gd name="T11" fmla="*/ 16 w 16"/>
                  <a:gd name="T12" fmla="*/ 16 h 1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" h="16">
                    <a:moveTo>
                      <a:pt x="16" y="16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28" name="Group 106">
            <a:extLst>
              <a:ext uri="{FF2B5EF4-FFF2-40B4-BE49-F238E27FC236}">
                <a16:creationId xmlns:a16="http://schemas.microsoft.com/office/drawing/2014/main" id="{00000000-0008-0000-0500-000020240800}"/>
              </a:ext>
            </a:extLst>
          </xdr:cNvPr>
          <xdr:cNvGrpSpPr>
            <a:grpSpLocks/>
          </xdr:cNvGrpSpPr>
        </xdr:nvGrpSpPr>
        <xdr:grpSpPr bwMode="auto">
          <a:xfrm>
            <a:off x="99" y="542"/>
            <a:ext cx="189" cy="185"/>
            <a:chOff x="99" y="542"/>
            <a:chExt cx="189" cy="185"/>
          </a:xfrm>
        </xdr:grpSpPr>
        <xdr:sp macro="" textlink="">
          <xdr:nvSpPr>
            <xdr:cNvPr id="29" name="Freeform 107">
              <a:extLst>
                <a:ext uri="{FF2B5EF4-FFF2-40B4-BE49-F238E27FC236}">
                  <a16:creationId xmlns:a16="http://schemas.microsoft.com/office/drawing/2014/main" id="{00000000-0008-0000-0500-000021240800}"/>
                </a:ext>
              </a:extLst>
            </xdr:cNvPr>
            <xdr:cNvSpPr>
              <a:spLocks/>
            </xdr:cNvSpPr>
          </xdr:nvSpPr>
          <xdr:spPr bwMode="auto">
            <a:xfrm>
              <a:off x="99" y="572"/>
              <a:ext cx="142" cy="1"/>
            </a:xfrm>
            <a:custGeom>
              <a:avLst/>
              <a:gdLst>
                <a:gd name="T0" fmla="*/ 0 w 142"/>
                <a:gd name="T1" fmla="*/ 0 h 1"/>
                <a:gd name="T2" fmla="*/ 142 w 142"/>
                <a:gd name="T3" fmla="*/ 0 h 1"/>
                <a:gd name="T4" fmla="*/ 142 w 142"/>
                <a:gd name="T5" fmla="*/ 0 h 1"/>
                <a:gd name="T6" fmla="*/ 0 60000 65536"/>
                <a:gd name="T7" fmla="*/ 0 60000 65536"/>
                <a:gd name="T8" fmla="*/ 0 60000 65536"/>
                <a:gd name="T9" fmla="*/ 0 w 142"/>
                <a:gd name="T10" fmla="*/ 0 h 1"/>
                <a:gd name="T11" fmla="*/ 142 w 142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42" h="1">
                  <a:moveTo>
                    <a:pt x="0" y="0"/>
                  </a:moveTo>
                  <a:lnTo>
                    <a:pt x="14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" name="Freeform 108">
              <a:extLst>
                <a:ext uri="{FF2B5EF4-FFF2-40B4-BE49-F238E27FC236}">
                  <a16:creationId xmlns:a16="http://schemas.microsoft.com/office/drawing/2014/main" id="{00000000-0008-0000-0500-000022240800}"/>
                </a:ext>
              </a:extLst>
            </xdr:cNvPr>
            <xdr:cNvSpPr>
              <a:spLocks/>
            </xdr:cNvSpPr>
          </xdr:nvSpPr>
          <xdr:spPr bwMode="auto">
            <a:xfrm>
              <a:off x="99" y="701"/>
              <a:ext cx="1" cy="26"/>
            </a:xfrm>
            <a:custGeom>
              <a:avLst/>
              <a:gdLst>
                <a:gd name="T0" fmla="*/ 0 w 1"/>
                <a:gd name="T1" fmla="*/ 0 h 26"/>
                <a:gd name="T2" fmla="*/ 0 w 1"/>
                <a:gd name="T3" fmla="*/ 26 h 26"/>
                <a:gd name="T4" fmla="*/ 0 w 1"/>
                <a:gd name="T5" fmla="*/ 26 h 26"/>
                <a:gd name="T6" fmla="*/ 0 60000 65536"/>
                <a:gd name="T7" fmla="*/ 0 60000 65536"/>
                <a:gd name="T8" fmla="*/ 0 60000 65536"/>
                <a:gd name="T9" fmla="*/ 0 w 1"/>
                <a:gd name="T10" fmla="*/ 0 h 26"/>
                <a:gd name="T11" fmla="*/ 1 w 1"/>
                <a:gd name="T12" fmla="*/ 26 h 2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26">
                  <a:moveTo>
                    <a:pt x="0" y="0"/>
                  </a:moveTo>
                  <a:lnTo>
                    <a:pt x="0" y="2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" name="Freeform 109">
              <a:extLst>
                <a:ext uri="{FF2B5EF4-FFF2-40B4-BE49-F238E27FC236}">
                  <a16:creationId xmlns:a16="http://schemas.microsoft.com/office/drawing/2014/main" id="{00000000-0008-0000-0500-000023240800}"/>
                </a:ext>
              </a:extLst>
            </xdr:cNvPr>
            <xdr:cNvSpPr>
              <a:spLocks/>
            </xdr:cNvSpPr>
          </xdr:nvSpPr>
          <xdr:spPr bwMode="auto">
            <a:xfrm>
              <a:off x="241" y="701"/>
              <a:ext cx="1" cy="26"/>
            </a:xfrm>
            <a:custGeom>
              <a:avLst/>
              <a:gdLst>
                <a:gd name="T0" fmla="*/ 0 w 1"/>
                <a:gd name="T1" fmla="*/ 0 h 26"/>
                <a:gd name="T2" fmla="*/ 0 w 1"/>
                <a:gd name="T3" fmla="*/ 26 h 26"/>
                <a:gd name="T4" fmla="*/ 0 w 1"/>
                <a:gd name="T5" fmla="*/ 26 h 26"/>
                <a:gd name="T6" fmla="*/ 0 60000 65536"/>
                <a:gd name="T7" fmla="*/ 0 60000 65536"/>
                <a:gd name="T8" fmla="*/ 0 60000 65536"/>
                <a:gd name="T9" fmla="*/ 0 w 1"/>
                <a:gd name="T10" fmla="*/ 0 h 26"/>
                <a:gd name="T11" fmla="*/ 1 w 1"/>
                <a:gd name="T12" fmla="*/ 26 h 2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26">
                  <a:moveTo>
                    <a:pt x="0" y="0"/>
                  </a:moveTo>
                  <a:lnTo>
                    <a:pt x="0" y="2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110">
              <a:extLst>
                <a:ext uri="{FF2B5EF4-FFF2-40B4-BE49-F238E27FC236}">
                  <a16:creationId xmlns:a16="http://schemas.microsoft.com/office/drawing/2014/main" id="{00000000-0008-0000-0500-000024240800}"/>
                </a:ext>
              </a:extLst>
            </xdr:cNvPr>
            <xdr:cNvSpPr>
              <a:spLocks/>
            </xdr:cNvSpPr>
          </xdr:nvSpPr>
          <xdr:spPr bwMode="auto">
            <a:xfrm>
              <a:off x="105" y="721"/>
              <a:ext cx="48" cy="1"/>
            </a:xfrm>
            <a:custGeom>
              <a:avLst/>
              <a:gdLst>
                <a:gd name="T0" fmla="*/ 0 w 48"/>
                <a:gd name="T1" fmla="*/ 0 h 1"/>
                <a:gd name="T2" fmla="*/ 48 w 48"/>
                <a:gd name="T3" fmla="*/ 0 h 1"/>
                <a:gd name="T4" fmla="*/ 48 w 48"/>
                <a:gd name="T5" fmla="*/ 0 h 1"/>
                <a:gd name="T6" fmla="*/ 0 60000 65536"/>
                <a:gd name="T7" fmla="*/ 0 60000 65536"/>
                <a:gd name="T8" fmla="*/ 0 60000 65536"/>
                <a:gd name="T9" fmla="*/ 0 w 48"/>
                <a:gd name="T10" fmla="*/ 0 h 1"/>
                <a:gd name="T11" fmla="*/ 48 w 48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8" h="1">
                  <a:moveTo>
                    <a:pt x="0" y="0"/>
                  </a:moveTo>
                  <a:lnTo>
                    <a:pt x="4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" name="Freeform 111">
              <a:extLst>
                <a:ext uri="{FF2B5EF4-FFF2-40B4-BE49-F238E27FC236}">
                  <a16:creationId xmlns:a16="http://schemas.microsoft.com/office/drawing/2014/main" id="{00000000-0008-0000-0500-000025240800}"/>
                </a:ext>
              </a:extLst>
            </xdr:cNvPr>
            <xdr:cNvSpPr>
              <a:spLocks/>
            </xdr:cNvSpPr>
          </xdr:nvSpPr>
          <xdr:spPr bwMode="auto">
            <a:xfrm>
              <a:off x="186" y="721"/>
              <a:ext cx="49" cy="1"/>
            </a:xfrm>
            <a:custGeom>
              <a:avLst/>
              <a:gdLst>
                <a:gd name="T0" fmla="*/ 49 w 49"/>
                <a:gd name="T1" fmla="*/ 0 h 1"/>
                <a:gd name="T2" fmla="*/ 0 w 49"/>
                <a:gd name="T3" fmla="*/ 0 h 1"/>
                <a:gd name="T4" fmla="*/ 0 w 49"/>
                <a:gd name="T5" fmla="*/ 0 h 1"/>
                <a:gd name="T6" fmla="*/ 0 60000 65536"/>
                <a:gd name="T7" fmla="*/ 0 60000 65536"/>
                <a:gd name="T8" fmla="*/ 0 60000 65536"/>
                <a:gd name="T9" fmla="*/ 0 w 49"/>
                <a:gd name="T10" fmla="*/ 0 h 1"/>
                <a:gd name="T11" fmla="*/ 49 w 49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9" h="1">
                  <a:moveTo>
                    <a:pt x="49" y="0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" name="Freeform 112">
              <a:extLst>
                <a:ext uri="{FF2B5EF4-FFF2-40B4-BE49-F238E27FC236}">
                  <a16:creationId xmlns:a16="http://schemas.microsoft.com/office/drawing/2014/main" id="{00000000-0008-0000-0500-000026240800}"/>
                </a:ext>
              </a:extLst>
            </xdr:cNvPr>
            <xdr:cNvSpPr>
              <a:spLocks/>
            </xdr:cNvSpPr>
          </xdr:nvSpPr>
          <xdr:spPr bwMode="auto">
            <a:xfrm>
              <a:off x="99" y="720"/>
              <a:ext cx="6" cy="2"/>
            </a:xfrm>
            <a:custGeom>
              <a:avLst/>
              <a:gdLst>
                <a:gd name="T0" fmla="*/ 6 w 6"/>
                <a:gd name="T1" fmla="*/ 0 h 2"/>
                <a:gd name="T2" fmla="*/ 6 w 6"/>
                <a:gd name="T3" fmla="*/ 2 h 2"/>
                <a:gd name="T4" fmla="*/ 0 w 6"/>
                <a:gd name="T5" fmla="*/ 1 h 2"/>
                <a:gd name="T6" fmla="*/ 6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6" y="0"/>
                  </a:moveTo>
                  <a:lnTo>
                    <a:pt x="6" y="2"/>
                  </a:lnTo>
                  <a:lnTo>
                    <a:pt x="0" y="1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" name="Freeform 113">
              <a:extLst>
                <a:ext uri="{FF2B5EF4-FFF2-40B4-BE49-F238E27FC236}">
                  <a16:creationId xmlns:a16="http://schemas.microsoft.com/office/drawing/2014/main" id="{00000000-0008-0000-0500-000027240800}"/>
                </a:ext>
              </a:extLst>
            </xdr:cNvPr>
            <xdr:cNvSpPr>
              <a:spLocks/>
            </xdr:cNvSpPr>
          </xdr:nvSpPr>
          <xdr:spPr bwMode="auto">
            <a:xfrm>
              <a:off x="99" y="720"/>
              <a:ext cx="6" cy="2"/>
            </a:xfrm>
            <a:custGeom>
              <a:avLst/>
              <a:gdLst>
                <a:gd name="T0" fmla="*/ 6 w 6"/>
                <a:gd name="T1" fmla="*/ 0 h 2"/>
                <a:gd name="T2" fmla="*/ 6 w 6"/>
                <a:gd name="T3" fmla="*/ 2 h 2"/>
                <a:gd name="T4" fmla="*/ 0 w 6"/>
                <a:gd name="T5" fmla="*/ 1 h 2"/>
                <a:gd name="T6" fmla="*/ 6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6" y="0"/>
                  </a:moveTo>
                  <a:lnTo>
                    <a:pt x="6" y="2"/>
                  </a:lnTo>
                  <a:lnTo>
                    <a:pt x="0" y="1"/>
                  </a:ln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" name="Freeform 114">
              <a:extLst>
                <a:ext uri="{FF2B5EF4-FFF2-40B4-BE49-F238E27FC236}">
                  <a16:creationId xmlns:a16="http://schemas.microsoft.com/office/drawing/2014/main" id="{00000000-0008-0000-0500-000028240800}"/>
                </a:ext>
              </a:extLst>
            </xdr:cNvPr>
            <xdr:cNvSpPr>
              <a:spLocks/>
            </xdr:cNvSpPr>
          </xdr:nvSpPr>
          <xdr:spPr bwMode="auto">
            <a:xfrm>
              <a:off x="235" y="720"/>
              <a:ext cx="6" cy="2"/>
            </a:xfrm>
            <a:custGeom>
              <a:avLst/>
              <a:gdLst>
                <a:gd name="T0" fmla="*/ 0 w 6"/>
                <a:gd name="T1" fmla="*/ 0 h 2"/>
                <a:gd name="T2" fmla="*/ 0 w 6"/>
                <a:gd name="T3" fmla="*/ 2 h 2"/>
                <a:gd name="T4" fmla="*/ 6 w 6"/>
                <a:gd name="T5" fmla="*/ 1 h 2"/>
                <a:gd name="T6" fmla="*/ 0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0" y="0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" name="Freeform 115">
              <a:extLst>
                <a:ext uri="{FF2B5EF4-FFF2-40B4-BE49-F238E27FC236}">
                  <a16:creationId xmlns:a16="http://schemas.microsoft.com/office/drawing/2014/main" id="{00000000-0008-0000-0500-000029240800}"/>
                </a:ext>
              </a:extLst>
            </xdr:cNvPr>
            <xdr:cNvSpPr>
              <a:spLocks/>
            </xdr:cNvSpPr>
          </xdr:nvSpPr>
          <xdr:spPr bwMode="auto">
            <a:xfrm>
              <a:off x="235" y="720"/>
              <a:ext cx="6" cy="2"/>
            </a:xfrm>
            <a:custGeom>
              <a:avLst/>
              <a:gdLst>
                <a:gd name="T0" fmla="*/ 0 w 6"/>
                <a:gd name="T1" fmla="*/ 0 h 2"/>
                <a:gd name="T2" fmla="*/ 0 w 6"/>
                <a:gd name="T3" fmla="*/ 2 h 2"/>
                <a:gd name="T4" fmla="*/ 6 w 6"/>
                <a:gd name="T5" fmla="*/ 1 h 2"/>
                <a:gd name="T6" fmla="*/ 0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0" y="0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" name="Freeform 116">
              <a:extLst>
                <a:ext uri="{FF2B5EF4-FFF2-40B4-BE49-F238E27FC236}">
                  <a16:creationId xmlns:a16="http://schemas.microsoft.com/office/drawing/2014/main" id="{00000000-0008-0000-0500-00002A240800}"/>
                </a:ext>
              </a:extLst>
            </xdr:cNvPr>
            <xdr:cNvSpPr>
              <a:spLocks/>
            </xdr:cNvSpPr>
          </xdr:nvSpPr>
          <xdr:spPr bwMode="auto">
            <a:xfrm>
              <a:off x="263" y="542"/>
              <a:ext cx="25" cy="1"/>
            </a:xfrm>
            <a:custGeom>
              <a:avLst/>
              <a:gdLst>
                <a:gd name="T0" fmla="*/ 0 w 25"/>
                <a:gd name="T1" fmla="*/ 0 h 1"/>
                <a:gd name="T2" fmla="*/ 25 w 25"/>
                <a:gd name="T3" fmla="*/ 0 h 1"/>
                <a:gd name="T4" fmla="*/ 25 w 25"/>
                <a:gd name="T5" fmla="*/ 0 h 1"/>
                <a:gd name="T6" fmla="*/ 0 60000 65536"/>
                <a:gd name="T7" fmla="*/ 0 60000 65536"/>
                <a:gd name="T8" fmla="*/ 0 60000 65536"/>
                <a:gd name="T9" fmla="*/ 0 w 25"/>
                <a:gd name="T10" fmla="*/ 0 h 1"/>
                <a:gd name="T11" fmla="*/ 25 w 25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5" h="1">
                  <a:moveTo>
                    <a:pt x="0" y="0"/>
                  </a:move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" name="Freeform 117">
              <a:extLst>
                <a:ext uri="{FF2B5EF4-FFF2-40B4-BE49-F238E27FC236}">
                  <a16:creationId xmlns:a16="http://schemas.microsoft.com/office/drawing/2014/main" id="{00000000-0008-0000-0500-00002B240800}"/>
                </a:ext>
              </a:extLst>
            </xdr:cNvPr>
            <xdr:cNvSpPr>
              <a:spLocks/>
            </xdr:cNvSpPr>
          </xdr:nvSpPr>
          <xdr:spPr bwMode="auto">
            <a:xfrm>
              <a:off x="263" y="680"/>
              <a:ext cx="25" cy="1"/>
            </a:xfrm>
            <a:custGeom>
              <a:avLst/>
              <a:gdLst>
                <a:gd name="T0" fmla="*/ 0 w 25"/>
                <a:gd name="T1" fmla="*/ 0 h 1"/>
                <a:gd name="T2" fmla="*/ 25 w 25"/>
                <a:gd name="T3" fmla="*/ 0 h 1"/>
                <a:gd name="T4" fmla="*/ 25 w 25"/>
                <a:gd name="T5" fmla="*/ 0 h 1"/>
                <a:gd name="T6" fmla="*/ 0 60000 65536"/>
                <a:gd name="T7" fmla="*/ 0 60000 65536"/>
                <a:gd name="T8" fmla="*/ 0 60000 65536"/>
                <a:gd name="T9" fmla="*/ 0 w 25"/>
                <a:gd name="T10" fmla="*/ 0 h 1"/>
                <a:gd name="T11" fmla="*/ 25 w 25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5" h="1">
                  <a:moveTo>
                    <a:pt x="0" y="0"/>
                  </a:move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" name="Freeform 118">
              <a:extLst>
                <a:ext uri="{FF2B5EF4-FFF2-40B4-BE49-F238E27FC236}">
                  <a16:creationId xmlns:a16="http://schemas.microsoft.com/office/drawing/2014/main" id="{00000000-0008-0000-0500-00002C240800}"/>
                </a:ext>
              </a:extLst>
            </xdr:cNvPr>
            <xdr:cNvSpPr>
              <a:spLocks/>
            </xdr:cNvSpPr>
          </xdr:nvSpPr>
          <xdr:spPr bwMode="auto">
            <a:xfrm>
              <a:off x="282" y="548"/>
              <a:ext cx="1" cy="54"/>
            </a:xfrm>
            <a:custGeom>
              <a:avLst/>
              <a:gdLst>
                <a:gd name="T0" fmla="*/ 0 w 1"/>
                <a:gd name="T1" fmla="*/ 0 h 54"/>
                <a:gd name="T2" fmla="*/ 0 w 1"/>
                <a:gd name="T3" fmla="*/ 54 h 54"/>
                <a:gd name="T4" fmla="*/ 0 w 1"/>
                <a:gd name="T5" fmla="*/ 54 h 54"/>
                <a:gd name="T6" fmla="*/ 0 60000 65536"/>
                <a:gd name="T7" fmla="*/ 0 60000 65536"/>
                <a:gd name="T8" fmla="*/ 0 60000 65536"/>
                <a:gd name="T9" fmla="*/ 0 w 1"/>
                <a:gd name="T10" fmla="*/ 0 h 54"/>
                <a:gd name="T11" fmla="*/ 1 w 1"/>
                <a:gd name="T12" fmla="*/ 54 h 54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54">
                  <a:moveTo>
                    <a:pt x="0" y="0"/>
                  </a:moveTo>
                  <a:lnTo>
                    <a:pt x="0" y="54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" name="Freeform 119">
              <a:extLst>
                <a:ext uri="{FF2B5EF4-FFF2-40B4-BE49-F238E27FC236}">
                  <a16:creationId xmlns:a16="http://schemas.microsoft.com/office/drawing/2014/main" id="{00000000-0008-0000-0500-00002D240800}"/>
                </a:ext>
              </a:extLst>
            </xdr:cNvPr>
            <xdr:cNvSpPr>
              <a:spLocks/>
            </xdr:cNvSpPr>
          </xdr:nvSpPr>
          <xdr:spPr bwMode="auto">
            <a:xfrm>
              <a:off x="282" y="618"/>
              <a:ext cx="1" cy="56"/>
            </a:xfrm>
            <a:custGeom>
              <a:avLst/>
              <a:gdLst>
                <a:gd name="T0" fmla="*/ 0 w 1"/>
                <a:gd name="T1" fmla="*/ 56 h 56"/>
                <a:gd name="T2" fmla="*/ 0 w 1"/>
                <a:gd name="T3" fmla="*/ 0 h 56"/>
                <a:gd name="T4" fmla="*/ 0 w 1"/>
                <a:gd name="T5" fmla="*/ 0 h 56"/>
                <a:gd name="T6" fmla="*/ 0 60000 65536"/>
                <a:gd name="T7" fmla="*/ 0 60000 65536"/>
                <a:gd name="T8" fmla="*/ 0 60000 65536"/>
                <a:gd name="T9" fmla="*/ 0 w 1"/>
                <a:gd name="T10" fmla="*/ 0 h 56"/>
                <a:gd name="T11" fmla="*/ 1 w 1"/>
                <a:gd name="T12" fmla="*/ 56 h 5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56">
                  <a:moveTo>
                    <a:pt x="0" y="5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" name="Freeform 120">
              <a:extLst>
                <a:ext uri="{FF2B5EF4-FFF2-40B4-BE49-F238E27FC236}">
                  <a16:creationId xmlns:a16="http://schemas.microsoft.com/office/drawing/2014/main" id="{00000000-0008-0000-0500-00002E240800}"/>
                </a:ext>
              </a:extLst>
            </xdr:cNvPr>
            <xdr:cNvSpPr>
              <a:spLocks/>
            </xdr:cNvSpPr>
          </xdr:nvSpPr>
          <xdr:spPr bwMode="auto">
            <a:xfrm>
              <a:off x="281" y="542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" name="Freeform 121">
              <a:extLst>
                <a:ext uri="{FF2B5EF4-FFF2-40B4-BE49-F238E27FC236}">
                  <a16:creationId xmlns:a16="http://schemas.microsoft.com/office/drawing/2014/main" id="{00000000-0008-0000-0500-00002F240800}"/>
                </a:ext>
              </a:extLst>
            </xdr:cNvPr>
            <xdr:cNvSpPr>
              <a:spLocks/>
            </xdr:cNvSpPr>
          </xdr:nvSpPr>
          <xdr:spPr bwMode="auto">
            <a:xfrm>
              <a:off x="281" y="542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" name="Freeform 122">
              <a:extLst>
                <a:ext uri="{FF2B5EF4-FFF2-40B4-BE49-F238E27FC236}">
                  <a16:creationId xmlns:a16="http://schemas.microsoft.com/office/drawing/2014/main" id="{00000000-0008-0000-0500-000030240800}"/>
                </a:ext>
              </a:extLst>
            </xdr:cNvPr>
            <xdr:cNvSpPr>
              <a:spLocks/>
            </xdr:cNvSpPr>
          </xdr:nvSpPr>
          <xdr:spPr bwMode="auto">
            <a:xfrm>
              <a:off x="281" y="674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0 h 6"/>
                <a:gd name="T4" fmla="*/ 1 w 2"/>
                <a:gd name="T5" fmla="*/ 6 h 6"/>
                <a:gd name="T6" fmla="*/ 0 w 2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0"/>
                  </a:moveTo>
                  <a:lnTo>
                    <a:pt x="2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" name="Freeform 123">
              <a:extLst>
                <a:ext uri="{FF2B5EF4-FFF2-40B4-BE49-F238E27FC236}">
                  <a16:creationId xmlns:a16="http://schemas.microsoft.com/office/drawing/2014/main" id="{00000000-0008-0000-0500-000031240800}"/>
                </a:ext>
              </a:extLst>
            </xdr:cNvPr>
            <xdr:cNvSpPr>
              <a:spLocks/>
            </xdr:cNvSpPr>
          </xdr:nvSpPr>
          <xdr:spPr bwMode="auto">
            <a:xfrm>
              <a:off x="281" y="674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0 h 6"/>
                <a:gd name="T4" fmla="*/ 1 w 2"/>
                <a:gd name="T5" fmla="*/ 6 h 6"/>
                <a:gd name="T6" fmla="*/ 0 w 2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0"/>
                  </a:moveTo>
                  <a:lnTo>
                    <a:pt x="2" y="0"/>
                  </a:lnTo>
                  <a:lnTo>
                    <a:pt x="1" y="6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" name="Freeform 124">
              <a:extLst>
                <a:ext uri="{FF2B5EF4-FFF2-40B4-BE49-F238E27FC236}">
                  <a16:creationId xmlns:a16="http://schemas.microsoft.com/office/drawing/2014/main" id="{00000000-0008-0000-0500-000032240800}"/>
                </a:ext>
              </a:extLst>
            </xdr:cNvPr>
            <xdr:cNvSpPr>
              <a:spLocks/>
            </xdr:cNvSpPr>
          </xdr:nvSpPr>
          <xdr:spPr bwMode="auto">
            <a:xfrm>
              <a:off x="186" y="574"/>
              <a:ext cx="15" cy="1"/>
            </a:xfrm>
            <a:custGeom>
              <a:avLst/>
              <a:gdLst>
                <a:gd name="T0" fmla="*/ 0 w 15"/>
                <a:gd name="T1" fmla="*/ 0 h 1"/>
                <a:gd name="T2" fmla="*/ 15 w 15"/>
                <a:gd name="T3" fmla="*/ 0 h 1"/>
                <a:gd name="T4" fmla="*/ 15 w 15"/>
                <a:gd name="T5" fmla="*/ 0 h 1"/>
                <a:gd name="T6" fmla="*/ 0 60000 65536"/>
                <a:gd name="T7" fmla="*/ 0 60000 65536"/>
                <a:gd name="T8" fmla="*/ 0 60000 65536"/>
                <a:gd name="T9" fmla="*/ 0 w 15"/>
                <a:gd name="T10" fmla="*/ 0 h 1"/>
                <a:gd name="T11" fmla="*/ 15 w 15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5" h="1">
                  <a:moveTo>
                    <a:pt x="0" y="0"/>
                  </a:moveTo>
                  <a:lnTo>
                    <a:pt x="1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" name="Freeform 125">
              <a:extLst>
                <a:ext uri="{FF2B5EF4-FFF2-40B4-BE49-F238E27FC236}">
                  <a16:creationId xmlns:a16="http://schemas.microsoft.com/office/drawing/2014/main" id="{00000000-0008-0000-0500-000033240800}"/>
                </a:ext>
              </a:extLst>
            </xdr:cNvPr>
            <xdr:cNvSpPr>
              <a:spLocks/>
            </xdr:cNvSpPr>
          </xdr:nvSpPr>
          <xdr:spPr bwMode="auto">
            <a:xfrm>
              <a:off x="192" y="577"/>
              <a:ext cx="3" cy="1"/>
            </a:xfrm>
            <a:custGeom>
              <a:avLst/>
              <a:gdLst>
                <a:gd name="T0" fmla="*/ 0 w 3"/>
                <a:gd name="T1" fmla="*/ 0 h 1"/>
                <a:gd name="T2" fmla="*/ 3 w 3"/>
                <a:gd name="T3" fmla="*/ 0 h 1"/>
                <a:gd name="T4" fmla="*/ 3 w 3"/>
                <a:gd name="T5" fmla="*/ 0 h 1"/>
                <a:gd name="T6" fmla="*/ 0 60000 65536"/>
                <a:gd name="T7" fmla="*/ 0 60000 65536"/>
                <a:gd name="T8" fmla="*/ 0 60000 65536"/>
                <a:gd name="T9" fmla="*/ 0 w 3"/>
                <a:gd name="T10" fmla="*/ 0 h 1"/>
                <a:gd name="T11" fmla="*/ 3 w 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" h="1">
                  <a:moveTo>
                    <a:pt x="0" y="0"/>
                  </a:move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" name="Freeform 126">
              <a:extLst>
                <a:ext uri="{FF2B5EF4-FFF2-40B4-BE49-F238E27FC236}">
                  <a16:creationId xmlns:a16="http://schemas.microsoft.com/office/drawing/2014/main" id="{00000000-0008-0000-0500-000034240800}"/>
                </a:ext>
              </a:extLst>
            </xdr:cNvPr>
            <xdr:cNvSpPr>
              <a:spLocks/>
            </xdr:cNvSpPr>
          </xdr:nvSpPr>
          <xdr:spPr bwMode="auto">
            <a:xfrm>
              <a:off x="190" y="575"/>
              <a:ext cx="8" cy="1"/>
            </a:xfrm>
            <a:custGeom>
              <a:avLst/>
              <a:gdLst>
                <a:gd name="T0" fmla="*/ 0 w 8"/>
                <a:gd name="T1" fmla="*/ 0 h 1"/>
                <a:gd name="T2" fmla="*/ 8 w 8"/>
                <a:gd name="T3" fmla="*/ 0 h 1"/>
                <a:gd name="T4" fmla="*/ 8 w 8"/>
                <a:gd name="T5" fmla="*/ 0 h 1"/>
                <a:gd name="T6" fmla="*/ 0 60000 65536"/>
                <a:gd name="T7" fmla="*/ 0 60000 65536"/>
                <a:gd name="T8" fmla="*/ 0 60000 65536"/>
                <a:gd name="T9" fmla="*/ 0 w 8"/>
                <a:gd name="T10" fmla="*/ 0 h 1"/>
                <a:gd name="T11" fmla="*/ 8 w 8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8" h="1">
                  <a:moveTo>
                    <a:pt x="0" y="0"/>
                  </a:moveTo>
                  <a:lnTo>
                    <a:pt x="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" name="Freeform 127">
              <a:extLst>
                <a:ext uri="{FF2B5EF4-FFF2-40B4-BE49-F238E27FC236}">
                  <a16:creationId xmlns:a16="http://schemas.microsoft.com/office/drawing/2014/main" id="{00000000-0008-0000-0500-000035240800}"/>
                </a:ext>
              </a:extLst>
            </xdr:cNvPr>
            <xdr:cNvSpPr>
              <a:spLocks/>
            </xdr:cNvSpPr>
          </xdr:nvSpPr>
          <xdr:spPr bwMode="auto">
            <a:xfrm>
              <a:off x="189" y="569"/>
              <a:ext cx="5" cy="3"/>
            </a:xfrm>
            <a:custGeom>
              <a:avLst/>
              <a:gdLst>
                <a:gd name="T0" fmla="*/ 5 w 5"/>
                <a:gd name="T1" fmla="*/ 3 h 3"/>
                <a:gd name="T2" fmla="*/ 0 w 5"/>
                <a:gd name="T3" fmla="*/ 0 h 3"/>
                <a:gd name="T4" fmla="*/ 0 w 5"/>
                <a:gd name="T5" fmla="*/ 0 h 3"/>
                <a:gd name="T6" fmla="*/ 0 60000 65536"/>
                <a:gd name="T7" fmla="*/ 0 60000 65536"/>
                <a:gd name="T8" fmla="*/ 0 60000 65536"/>
                <a:gd name="T9" fmla="*/ 0 w 5"/>
                <a:gd name="T10" fmla="*/ 0 h 3"/>
                <a:gd name="T11" fmla="*/ 5 w 5"/>
                <a:gd name="T12" fmla="*/ 3 h 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5" h="3">
                  <a:moveTo>
                    <a:pt x="5" y="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" name="Freeform 128">
              <a:extLst>
                <a:ext uri="{FF2B5EF4-FFF2-40B4-BE49-F238E27FC236}">
                  <a16:creationId xmlns:a16="http://schemas.microsoft.com/office/drawing/2014/main" id="{00000000-0008-0000-0500-000036240800}"/>
                </a:ext>
              </a:extLst>
            </xdr:cNvPr>
            <xdr:cNvSpPr>
              <a:spLocks/>
            </xdr:cNvSpPr>
          </xdr:nvSpPr>
          <xdr:spPr bwMode="auto">
            <a:xfrm>
              <a:off x="189" y="569"/>
              <a:ext cx="8" cy="1"/>
            </a:xfrm>
            <a:custGeom>
              <a:avLst/>
              <a:gdLst>
                <a:gd name="T0" fmla="*/ 0 w 8"/>
                <a:gd name="T1" fmla="*/ 0 h 1"/>
                <a:gd name="T2" fmla="*/ 8 w 8"/>
                <a:gd name="T3" fmla="*/ 0 h 1"/>
                <a:gd name="T4" fmla="*/ 8 w 8"/>
                <a:gd name="T5" fmla="*/ 0 h 1"/>
                <a:gd name="T6" fmla="*/ 0 60000 65536"/>
                <a:gd name="T7" fmla="*/ 0 60000 65536"/>
                <a:gd name="T8" fmla="*/ 0 60000 65536"/>
                <a:gd name="T9" fmla="*/ 0 w 8"/>
                <a:gd name="T10" fmla="*/ 0 h 1"/>
                <a:gd name="T11" fmla="*/ 8 w 8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8" h="1">
                  <a:moveTo>
                    <a:pt x="0" y="0"/>
                  </a:moveTo>
                  <a:lnTo>
                    <a:pt x="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" name="Freeform 129">
              <a:extLst>
                <a:ext uri="{FF2B5EF4-FFF2-40B4-BE49-F238E27FC236}">
                  <a16:creationId xmlns:a16="http://schemas.microsoft.com/office/drawing/2014/main" id="{00000000-0008-0000-0500-000037240800}"/>
                </a:ext>
              </a:extLst>
            </xdr:cNvPr>
            <xdr:cNvSpPr>
              <a:spLocks/>
            </xdr:cNvSpPr>
          </xdr:nvSpPr>
          <xdr:spPr bwMode="auto">
            <a:xfrm>
              <a:off x="194" y="569"/>
              <a:ext cx="3" cy="3"/>
            </a:xfrm>
            <a:custGeom>
              <a:avLst/>
              <a:gdLst>
                <a:gd name="T0" fmla="*/ 3 w 3"/>
                <a:gd name="T1" fmla="*/ 0 h 3"/>
                <a:gd name="T2" fmla="*/ 0 w 3"/>
                <a:gd name="T3" fmla="*/ 3 h 3"/>
                <a:gd name="T4" fmla="*/ 0 w 3"/>
                <a:gd name="T5" fmla="*/ 3 h 3"/>
                <a:gd name="T6" fmla="*/ 0 60000 65536"/>
                <a:gd name="T7" fmla="*/ 0 60000 65536"/>
                <a:gd name="T8" fmla="*/ 0 60000 65536"/>
                <a:gd name="T9" fmla="*/ 0 w 3"/>
                <a:gd name="T10" fmla="*/ 0 h 3"/>
                <a:gd name="T11" fmla="*/ 3 w 3"/>
                <a:gd name="T12" fmla="*/ 3 h 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" h="3">
                  <a:moveTo>
                    <a:pt x="3" y="0"/>
                  </a:moveTo>
                  <a:lnTo>
                    <a:pt x="0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114300</xdr:colOff>
      <xdr:row>31</xdr:row>
      <xdr:rowOff>19050</xdr:rowOff>
    </xdr:from>
    <xdr:to>
      <xdr:col>10</xdr:col>
      <xdr:colOff>28575</xdr:colOff>
      <xdr:row>33</xdr:row>
      <xdr:rowOff>228600</xdr:rowOff>
    </xdr:to>
    <xdr:grpSp>
      <xdr:nvGrpSpPr>
        <xdr:cNvPr id="65" name="Group 130">
          <a:extLst>
            <a:ext uri="{FF2B5EF4-FFF2-40B4-BE49-F238E27FC236}">
              <a16:creationId xmlns:a16="http://schemas.microsoft.com/office/drawing/2014/main" id="{00000000-0008-0000-0500-000009240800}"/>
            </a:ext>
          </a:extLst>
        </xdr:cNvPr>
        <xdr:cNvGrpSpPr>
          <a:grpSpLocks/>
        </xdr:cNvGrpSpPr>
      </xdr:nvGrpSpPr>
      <xdr:grpSpPr bwMode="auto">
        <a:xfrm>
          <a:off x="1123950" y="7400925"/>
          <a:ext cx="1809750" cy="685800"/>
          <a:chOff x="89" y="571"/>
          <a:chExt cx="206" cy="164"/>
        </a:xfrm>
      </xdr:grpSpPr>
      <xdr:sp macro="" textlink="">
        <xdr:nvSpPr>
          <xdr:cNvPr id="66" name="Freeform 131">
            <a:extLst>
              <a:ext uri="{FF2B5EF4-FFF2-40B4-BE49-F238E27FC236}">
                <a16:creationId xmlns:a16="http://schemas.microsoft.com/office/drawing/2014/main" id="{00000000-0008-0000-0500-00000A240800}"/>
              </a:ext>
            </a:extLst>
          </xdr:cNvPr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67" name="Group 132">
            <a:extLst>
              <a:ext uri="{FF2B5EF4-FFF2-40B4-BE49-F238E27FC236}">
                <a16:creationId xmlns:a16="http://schemas.microsoft.com/office/drawing/2014/main" id="{00000000-0008-0000-0500-00000B240800}"/>
              </a:ext>
            </a:extLst>
          </xdr:cNvPr>
          <xdr:cNvGrpSpPr>
            <a:grpSpLocks/>
          </xdr:cNvGrpSpPr>
        </xdr:nvGrpSpPr>
        <xdr:grpSpPr bwMode="auto">
          <a:xfrm>
            <a:off x="105" y="616"/>
            <a:ext cx="132" cy="37"/>
            <a:chOff x="105" y="616"/>
            <a:chExt cx="132" cy="37"/>
          </a:xfrm>
        </xdr:grpSpPr>
        <xdr:sp macro="" textlink="">
          <xdr:nvSpPr>
            <xdr:cNvPr id="78" name="Freeform 133">
              <a:extLst>
                <a:ext uri="{FF2B5EF4-FFF2-40B4-BE49-F238E27FC236}">
                  <a16:creationId xmlns:a16="http://schemas.microsoft.com/office/drawing/2014/main" id="{00000000-0008-0000-0500-000016240800}"/>
                </a:ext>
              </a:extLst>
            </xdr:cNvPr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" name="Freeform 134">
              <a:extLst>
                <a:ext uri="{FF2B5EF4-FFF2-40B4-BE49-F238E27FC236}">
                  <a16:creationId xmlns:a16="http://schemas.microsoft.com/office/drawing/2014/main" id="{00000000-0008-0000-0500-000017240800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" name="Freeform 135">
              <a:extLst>
                <a:ext uri="{FF2B5EF4-FFF2-40B4-BE49-F238E27FC236}">
                  <a16:creationId xmlns:a16="http://schemas.microsoft.com/office/drawing/2014/main" id="{00000000-0008-0000-0500-000018240800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" name="Freeform 136">
              <a:extLst>
                <a:ext uri="{FF2B5EF4-FFF2-40B4-BE49-F238E27FC236}">
                  <a16:creationId xmlns:a16="http://schemas.microsoft.com/office/drawing/2014/main" id="{00000000-0008-0000-0500-000019240800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" name="Freeform 137">
              <a:extLst>
                <a:ext uri="{FF2B5EF4-FFF2-40B4-BE49-F238E27FC236}">
                  <a16:creationId xmlns:a16="http://schemas.microsoft.com/office/drawing/2014/main" id="{00000000-0008-0000-0500-00001A240800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" name="Freeform 138">
              <a:extLst>
                <a:ext uri="{FF2B5EF4-FFF2-40B4-BE49-F238E27FC236}">
                  <a16:creationId xmlns:a16="http://schemas.microsoft.com/office/drawing/2014/main" id="{00000000-0008-0000-0500-00001B240800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" name="Freeform 139">
              <a:extLst>
                <a:ext uri="{FF2B5EF4-FFF2-40B4-BE49-F238E27FC236}">
                  <a16:creationId xmlns:a16="http://schemas.microsoft.com/office/drawing/2014/main" id="{00000000-0008-0000-0500-00001C240800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" name="Rectangle 140">
              <a:extLst>
                <a:ext uri="{FF2B5EF4-FFF2-40B4-BE49-F238E27FC236}">
                  <a16:creationId xmlns:a16="http://schemas.microsoft.com/office/drawing/2014/main" id="{00000000-0008-0000-0500-00005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5" y="619"/>
              <a:ext cx="26" cy="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ko-KR" sz="900" b="0" i="0" u="none" strike="noStrike" baseline="0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86" name="Freeform 141">
              <a:extLst>
                <a:ext uri="{FF2B5EF4-FFF2-40B4-BE49-F238E27FC236}">
                  <a16:creationId xmlns:a16="http://schemas.microsoft.com/office/drawing/2014/main" id="{00000000-0008-0000-0500-00001E240800}"/>
                </a:ext>
              </a:extLst>
            </xdr:cNvPr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68" name="Freeform 142">
            <a:extLst>
              <a:ext uri="{FF2B5EF4-FFF2-40B4-BE49-F238E27FC236}">
                <a16:creationId xmlns:a16="http://schemas.microsoft.com/office/drawing/2014/main" id="{00000000-0008-0000-0500-00000C240800}"/>
              </a:ext>
            </a:extLst>
          </xdr:cNvPr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69" name="Group 143">
            <a:extLst>
              <a:ext uri="{FF2B5EF4-FFF2-40B4-BE49-F238E27FC236}">
                <a16:creationId xmlns:a16="http://schemas.microsoft.com/office/drawing/2014/main" id="{00000000-0008-0000-0500-00000D240800}"/>
              </a:ext>
            </a:extLst>
          </xdr:cNvPr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70" name="Freeform 144">
              <a:extLst>
                <a:ext uri="{FF2B5EF4-FFF2-40B4-BE49-F238E27FC236}">
                  <a16:creationId xmlns:a16="http://schemas.microsoft.com/office/drawing/2014/main" id="{00000000-0008-0000-0500-00000E240800}"/>
                </a:ext>
              </a:extLst>
            </xdr:cNvPr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1" name="Freeform 145">
              <a:extLst>
                <a:ext uri="{FF2B5EF4-FFF2-40B4-BE49-F238E27FC236}">
                  <a16:creationId xmlns:a16="http://schemas.microsoft.com/office/drawing/2014/main" id="{00000000-0008-0000-0500-00000F240800}"/>
                </a:ext>
              </a:extLst>
            </xdr:cNvPr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" name="Freeform 146">
              <a:extLst>
                <a:ext uri="{FF2B5EF4-FFF2-40B4-BE49-F238E27FC236}">
                  <a16:creationId xmlns:a16="http://schemas.microsoft.com/office/drawing/2014/main" id="{00000000-0008-0000-0500-000010240800}"/>
                </a:ext>
              </a:extLst>
            </xdr:cNvPr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" name="Freeform 147">
              <a:extLst>
                <a:ext uri="{FF2B5EF4-FFF2-40B4-BE49-F238E27FC236}">
                  <a16:creationId xmlns:a16="http://schemas.microsoft.com/office/drawing/2014/main" id="{00000000-0008-0000-0500-000011240800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" name="Freeform 148">
              <a:extLst>
                <a:ext uri="{FF2B5EF4-FFF2-40B4-BE49-F238E27FC236}">
                  <a16:creationId xmlns:a16="http://schemas.microsoft.com/office/drawing/2014/main" id="{00000000-0008-0000-0500-000012240800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" name="Freeform 149">
              <a:extLst>
                <a:ext uri="{FF2B5EF4-FFF2-40B4-BE49-F238E27FC236}">
                  <a16:creationId xmlns:a16="http://schemas.microsoft.com/office/drawing/2014/main" id="{00000000-0008-0000-0500-000013240800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" name="Freeform 150">
              <a:extLst>
                <a:ext uri="{FF2B5EF4-FFF2-40B4-BE49-F238E27FC236}">
                  <a16:creationId xmlns:a16="http://schemas.microsoft.com/office/drawing/2014/main" id="{00000000-0008-0000-0500-000014240800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" name="Rectangle 151">
              <a:extLst>
                <a:ext uri="{FF2B5EF4-FFF2-40B4-BE49-F238E27FC236}">
                  <a16:creationId xmlns:a16="http://schemas.microsoft.com/office/drawing/2014/main" id="{00000000-0008-0000-0500-00004D000000}"/>
                </a:ext>
              </a:extLst>
            </xdr:cNvPr>
            <xdr:cNvSpPr>
              <a:spLocks noChangeArrowheads="1"/>
            </xdr:cNvSpPr>
          </xdr:nvSpPr>
          <xdr:spPr bwMode="auto">
            <a:xfrm rot="10800000">
              <a:off x="259" y="669"/>
              <a:ext cx="31" cy="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en-US" altLang="ko-KR" sz="900" b="0" i="0" u="none" strike="noStrike" baseline="0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571500</xdr:colOff>
          <xdr:row>7</xdr:row>
          <xdr:rowOff>76200</xdr:rowOff>
        </xdr:from>
        <xdr:to>
          <xdr:col>56</xdr:col>
          <xdr:colOff>9525</xdr:colOff>
          <xdr:row>10</xdr:row>
          <xdr:rowOff>161925</xdr:rowOff>
        </xdr:to>
        <xdr:sp macro="" textlink="">
          <xdr:nvSpPr>
            <xdr:cNvPr id="253953" name="Object 1" hidden="1">
              <a:extLst>
                <a:ext uri="{63B3BB69-23CF-44E3-9099-C40C66FF867C}">
                  <a14:compatExt spid="_x0000_s253953"/>
                </a:ext>
                <a:ext uri="{FF2B5EF4-FFF2-40B4-BE49-F238E27FC236}">
                  <a16:creationId xmlns:a16="http://schemas.microsoft.com/office/drawing/2014/main" id="{00000000-0008-0000-0500-000001E8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219075</xdr:colOff>
      <xdr:row>4</xdr:row>
      <xdr:rowOff>209550</xdr:rowOff>
    </xdr:from>
    <xdr:to>
      <xdr:col>21</xdr:col>
      <xdr:colOff>723900</xdr:colOff>
      <xdr:row>6</xdr:row>
      <xdr:rowOff>219075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/>
        </xdr:cNvSpPr>
      </xdr:nvSpPr>
      <xdr:spPr bwMode="auto">
        <a:xfrm>
          <a:off x="4962525" y="11620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6 h 49"/>
            <a:gd name="T4" fmla="*/ 0 w 599"/>
            <a:gd name="T5" fmla="*/ 2147483646 h 49"/>
            <a:gd name="T6" fmla="*/ 0 w 599"/>
            <a:gd name="T7" fmla="*/ 2147483646 h 49"/>
            <a:gd name="T8" fmla="*/ 0 w 599"/>
            <a:gd name="T9" fmla="*/ 2147483646 h 49"/>
            <a:gd name="T10" fmla="*/ 0 w 599"/>
            <a:gd name="T11" fmla="*/ 2147483646 h 49"/>
            <a:gd name="T12" fmla="*/ 0 w 599"/>
            <a:gd name="T13" fmla="*/ 2147483646 h 49"/>
            <a:gd name="T14" fmla="*/ 0 w 599"/>
            <a:gd name="T15" fmla="*/ 2147483646 h 49"/>
            <a:gd name="T16" fmla="*/ 0 w 599"/>
            <a:gd name="T17" fmla="*/ 2147483646 h 49"/>
            <a:gd name="T18" fmla="*/ 0 w 599"/>
            <a:gd name="T19" fmla="*/ 2147483646 h 49"/>
            <a:gd name="T20" fmla="*/ 0 w 599"/>
            <a:gd name="T21" fmla="*/ 2147483646 h 49"/>
            <a:gd name="T22" fmla="*/ 0 w 599"/>
            <a:gd name="T23" fmla="*/ 2147483646 h 49"/>
            <a:gd name="T24" fmla="*/ 0 w 599"/>
            <a:gd name="T25" fmla="*/ 2147483646 h 49"/>
            <a:gd name="T26" fmla="*/ 0 w 599"/>
            <a:gd name="T27" fmla="*/ 2147483646 h 49"/>
            <a:gd name="T28" fmla="*/ 0 w 599"/>
            <a:gd name="T29" fmla="*/ 2147483646 h 49"/>
            <a:gd name="T30" fmla="*/ 0 w 599"/>
            <a:gd name="T31" fmla="*/ 2147483646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400050</xdr:colOff>
      <xdr:row>5</xdr:row>
      <xdr:rowOff>95250</xdr:rowOff>
    </xdr:from>
    <xdr:to>
      <xdr:col>20</xdr:col>
      <xdr:colOff>76200</xdr:colOff>
      <xdr:row>5</xdr:row>
      <xdr:rowOff>95250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962525" y="1285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6</xdr:row>
      <xdr:rowOff>219075</xdr:rowOff>
    </xdr:from>
    <xdr:to>
      <xdr:col>16</xdr:col>
      <xdr:colOff>333375</xdr:colOff>
      <xdr:row>7</xdr:row>
      <xdr:rowOff>219075</xdr:rowOff>
    </xdr:to>
    <xdr:sp macro="" textlink="">
      <xdr:nvSpPr>
        <xdr:cNvPr id="4" name="Freefor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/>
        </xdr:cNvSpPr>
      </xdr:nvSpPr>
      <xdr:spPr bwMode="auto">
        <a:xfrm>
          <a:off x="4962525" y="16478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6 h 24"/>
            <a:gd name="T4" fmla="*/ 0 w 35"/>
            <a:gd name="T5" fmla="*/ 2147483646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0</xdr:colOff>
      <xdr:row>6</xdr:row>
      <xdr:rowOff>219075</xdr:rowOff>
    </xdr:from>
    <xdr:to>
      <xdr:col>16</xdr:col>
      <xdr:colOff>333375</xdr:colOff>
      <xdr:row>7</xdr:row>
      <xdr:rowOff>219075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62525" y="16478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7</xdr:row>
      <xdr:rowOff>47625</xdr:rowOff>
    </xdr:from>
    <xdr:to>
      <xdr:col>14</xdr:col>
      <xdr:colOff>0</xdr:colOff>
      <xdr:row>8</xdr:row>
      <xdr:rowOff>57150</xdr:rowOff>
    </xdr:to>
    <xdr:grpSp>
      <xdr:nvGrpSpPr>
        <xdr:cNvPr id="10" name="Group 1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>
          <a:grpSpLocks/>
        </xdr:cNvGrpSpPr>
      </xdr:nvGrpSpPr>
      <xdr:grpSpPr bwMode="auto">
        <a:xfrm flipV="1">
          <a:off x="4962525" y="1714500"/>
          <a:ext cx="0" cy="247650"/>
          <a:chOff x="269" y="1224"/>
          <a:chExt cx="216" cy="24"/>
        </a:xfrm>
      </xdr:grpSpPr>
      <xdr:sp macro="" textlink="">
        <xdr:nvSpPr>
          <xdr:cNvPr id="11" name="Line 14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5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16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5</xdr:row>
      <xdr:rowOff>95250</xdr:rowOff>
    </xdr:from>
    <xdr:to>
      <xdr:col>14</xdr:col>
      <xdr:colOff>0</xdr:colOff>
      <xdr:row>6</xdr:row>
      <xdr:rowOff>219075</xdr:rowOff>
    </xdr:to>
    <xdr:grpSp>
      <xdr:nvGrpSpPr>
        <xdr:cNvPr id="14" name="Group 1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>
          <a:grpSpLocks/>
        </xdr:cNvGrpSpPr>
      </xdr:nvGrpSpPr>
      <xdr:grpSpPr bwMode="auto">
        <a:xfrm rot="-5400000">
          <a:off x="4781550" y="1466850"/>
          <a:ext cx="361950" cy="0"/>
          <a:chOff x="269" y="1224"/>
          <a:chExt cx="216" cy="24"/>
        </a:xfrm>
      </xdr:grpSpPr>
      <xdr:sp macro="" textlink="">
        <xdr:nvSpPr>
          <xdr:cNvPr id="15" name="Line 18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19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0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4</xdr:row>
      <xdr:rowOff>190500</xdr:rowOff>
    </xdr:from>
    <xdr:to>
      <xdr:col>14</xdr:col>
      <xdr:colOff>0</xdr:colOff>
      <xdr:row>6</xdr:row>
      <xdr:rowOff>209550</xdr:rowOff>
    </xdr:to>
    <xdr:grpSp>
      <xdr:nvGrpSpPr>
        <xdr:cNvPr id="18" name="Group 2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>
          <a:grpSpLocks/>
        </xdr:cNvGrpSpPr>
      </xdr:nvGrpSpPr>
      <xdr:grpSpPr bwMode="auto">
        <a:xfrm rot="-5400000">
          <a:off x="4714875" y="1390650"/>
          <a:ext cx="495300" cy="0"/>
          <a:chOff x="269" y="1224"/>
          <a:chExt cx="216" cy="24"/>
        </a:xfrm>
      </xdr:grpSpPr>
      <xdr:sp macro="" textlink="">
        <xdr:nvSpPr>
          <xdr:cNvPr id="19" name="Line 22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23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4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22" name="Group 25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23" name="Line 26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7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Line 28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26" name="Group 29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27" name="Line 30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31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32"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grpSp>
      <xdr:nvGrpSpPr>
        <xdr:cNvPr id="30" name="Group 3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pSpPr>
          <a:grpSpLocks/>
        </xdr:cNvGrpSpPr>
      </xdr:nvGrpSpPr>
      <xdr:grpSpPr bwMode="auto">
        <a:xfrm>
          <a:off x="4962525" y="714375"/>
          <a:ext cx="0" cy="0"/>
          <a:chOff x="269" y="1224"/>
          <a:chExt cx="216" cy="24"/>
        </a:xfrm>
      </xdr:grpSpPr>
      <xdr:sp macro="" textlink="">
        <xdr:nvSpPr>
          <xdr:cNvPr id="31" name="Line 34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35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6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0</xdr:colOff>
      <xdr:row>4</xdr:row>
      <xdr:rowOff>0</xdr:rowOff>
    </xdr:from>
    <xdr:to>
      <xdr:col>14</xdr:col>
      <xdr:colOff>0</xdr:colOff>
      <xdr:row>8</xdr:row>
      <xdr:rowOff>76200</xdr:rowOff>
    </xdr:to>
    <xdr:grpSp>
      <xdr:nvGrpSpPr>
        <xdr:cNvPr id="34" name="Group 37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pSpPr>
          <a:grpSpLocks/>
        </xdr:cNvGrpSpPr>
      </xdr:nvGrpSpPr>
      <xdr:grpSpPr bwMode="auto">
        <a:xfrm>
          <a:off x="4962525" y="952500"/>
          <a:ext cx="0" cy="1028700"/>
          <a:chOff x="931" y="159"/>
          <a:chExt cx="601" cy="161"/>
        </a:xfrm>
      </xdr:grpSpPr>
      <xdr:sp macro="" textlink="">
        <xdr:nvSpPr>
          <xdr:cNvPr id="35" name="Freeform 38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SpPr>
            <a:spLocks/>
          </xdr:cNvSpPr>
        </xdr:nvSpPr>
        <xdr:spPr bwMode="auto">
          <a:xfrm>
            <a:off x="931" y="216"/>
            <a:ext cx="601" cy="72"/>
          </a:xfrm>
          <a:custGeom>
            <a:avLst/>
            <a:gdLst>
              <a:gd name="T0" fmla="*/ 0 w 601"/>
              <a:gd name="T1" fmla="*/ 0 h 72"/>
              <a:gd name="T2" fmla="*/ 59 w 601"/>
              <a:gd name="T3" fmla="*/ 0 h 72"/>
              <a:gd name="T4" fmla="*/ 164 w 601"/>
              <a:gd name="T5" fmla="*/ 72 h 72"/>
              <a:gd name="T6" fmla="*/ 435 w 601"/>
              <a:gd name="T7" fmla="*/ 72 h 72"/>
              <a:gd name="T8" fmla="*/ 524 w 601"/>
              <a:gd name="T9" fmla="*/ 0 h 72"/>
              <a:gd name="T10" fmla="*/ 601 w 601"/>
              <a:gd name="T11" fmla="*/ 0 h 7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01"/>
              <a:gd name="T19" fmla="*/ 0 h 72"/>
              <a:gd name="T20" fmla="*/ 601 w 601"/>
              <a:gd name="T21" fmla="*/ 72 h 7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01" h="72">
                <a:moveTo>
                  <a:pt x="0" y="0"/>
                </a:moveTo>
                <a:lnTo>
                  <a:pt x="59" y="0"/>
                </a:lnTo>
                <a:lnTo>
                  <a:pt x="164" y="72"/>
                </a:lnTo>
                <a:lnTo>
                  <a:pt x="435" y="72"/>
                </a:lnTo>
                <a:lnTo>
                  <a:pt x="524" y="0"/>
                </a:lnTo>
                <a:lnTo>
                  <a:pt x="601" y="0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Line 39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SpPr>
            <a:spLocks noChangeShapeType="1"/>
          </xdr:cNvSpPr>
        </xdr:nvSpPr>
        <xdr:spPr bwMode="auto">
          <a:xfrm>
            <a:off x="1198" y="240"/>
            <a:ext cx="186" cy="0"/>
          </a:xfrm>
          <a:prstGeom prst="line">
            <a:avLst/>
          </a:prstGeom>
          <a:noFill/>
          <a:ln w="12700">
            <a:solidFill>
              <a:srgbClr val="000000"/>
            </a:solidFill>
            <a:prstDash val="lg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Freeform 40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SpPr>
            <a:spLocks/>
          </xdr:cNvSpPr>
        </xdr:nvSpPr>
        <xdr:spPr bwMode="auto">
          <a:xfrm>
            <a:off x="1003" y="288"/>
            <a:ext cx="35" cy="24"/>
          </a:xfrm>
          <a:custGeom>
            <a:avLst/>
            <a:gdLst>
              <a:gd name="T0" fmla="*/ 0 w 35"/>
              <a:gd name="T1" fmla="*/ 0 h 24"/>
              <a:gd name="T2" fmla="*/ 0 w 35"/>
              <a:gd name="T3" fmla="*/ 24 h 24"/>
              <a:gd name="T4" fmla="*/ 35 w 35"/>
              <a:gd name="T5" fmla="*/ 24 h 24"/>
              <a:gd name="T6" fmla="*/ 0 60000 65536"/>
              <a:gd name="T7" fmla="*/ 0 60000 65536"/>
              <a:gd name="T8" fmla="*/ 0 60000 65536"/>
              <a:gd name="T9" fmla="*/ 0 w 35"/>
              <a:gd name="T10" fmla="*/ 0 h 24"/>
              <a:gd name="T11" fmla="*/ 35 w 35"/>
              <a:gd name="T12" fmla="*/ 24 h 2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" h="24">
                <a:moveTo>
                  <a:pt x="0" y="0"/>
                </a:moveTo>
                <a:lnTo>
                  <a:pt x="0" y="24"/>
                </a:lnTo>
                <a:lnTo>
                  <a:pt x="35" y="24"/>
                </a:lnTo>
              </a:path>
            </a:pathLst>
          </a:custGeom>
          <a:noFill/>
          <a:ln w="3175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Line 41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SpPr>
            <a:spLocks noChangeShapeType="1"/>
          </xdr:cNvSpPr>
        </xdr:nvSpPr>
        <xdr:spPr bwMode="auto">
          <a:xfrm>
            <a:off x="1003" y="288"/>
            <a:ext cx="35" cy="2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9" name="Group 42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GrpSpPr>
            <a:grpSpLocks/>
          </xdr:cNvGrpSpPr>
        </xdr:nvGrpSpPr>
        <xdr:grpSpPr bwMode="auto">
          <a:xfrm>
            <a:off x="1096" y="183"/>
            <a:ext cx="264" cy="32"/>
            <a:chOff x="269" y="1224"/>
            <a:chExt cx="216" cy="24"/>
          </a:xfrm>
        </xdr:grpSpPr>
        <xdr:sp macro="" textlink="">
          <xdr:nvSpPr>
            <xdr:cNvPr id="68" name="Line 43">
              <a:extLst>
                <a:ext uri="{FF2B5EF4-FFF2-40B4-BE49-F238E27FC236}">
                  <a16:creationId xmlns:a16="http://schemas.microsoft.com/office/drawing/2014/main" id="{00000000-0008-0000-0400-000044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9" name="Line 44">
              <a:extLst>
                <a:ext uri="{FF2B5EF4-FFF2-40B4-BE49-F238E27FC236}">
                  <a16:creationId xmlns:a16="http://schemas.microsoft.com/office/drawing/2014/main" id="{00000000-0008-0000-0400-000045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0" name="Line 45">
              <a:extLst>
                <a:ext uri="{FF2B5EF4-FFF2-40B4-BE49-F238E27FC236}">
                  <a16:creationId xmlns:a16="http://schemas.microsoft.com/office/drawing/2014/main" id="{00000000-0008-0000-0400-00004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0" name="Group 46">
            <a:extLst>
              <a:ext uri="{FF2B5EF4-FFF2-40B4-BE49-F238E27FC236}">
                <a16:creationId xmlns:a16="http://schemas.microsoft.com/office/drawing/2014/main" id="{00000000-0008-0000-0400-000028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1202" y="212"/>
            <a:ext cx="24" cy="32"/>
            <a:chOff x="269" y="1224"/>
            <a:chExt cx="216" cy="24"/>
          </a:xfrm>
        </xdr:grpSpPr>
        <xdr:sp macro="" textlink="">
          <xdr:nvSpPr>
            <xdr:cNvPr id="65" name="Line 47">
              <a:extLst>
                <a:ext uri="{FF2B5EF4-FFF2-40B4-BE49-F238E27FC236}">
                  <a16:creationId xmlns:a16="http://schemas.microsoft.com/office/drawing/2014/main" id="{00000000-0008-0000-0400-000041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6" name="Line 48">
              <a:extLst>
                <a:ext uri="{FF2B5EF4-FFF2-40B4-BE49-F238E27FC236}">
                  <a16:creationId xmlns:a16="http://schemas.microsoft.com/office/drawing/2014/main" id="{00000000-0008-0000-0400-000042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7" name="Line 49">
              <a:extLst>
                <a:ext uri="{FF2B5EF4-FFF2-40B4-BE49-F238E27FC236}">
                  <a16:creationId xmlns:a16="http://schemas.microsoft.com/office/drawing/2014/main" id="{00000000-0008-0000-0400-00004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1" name="Group 50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GrpSpPr>
            <a:grpSpLocks/>
          </xdr:cNvGrpSpPr>
        </xdr:nvGrpSpPr>
        <xdr:grpSpPr bwMode="auto">
          <a:xfrm flipV="1">
            <a:off x="1095" y="292"/>
            <a:ext cx="269" cy="28"/>
            <a:chOff x="269" y="1224"/>
            <a:chExt cx="216" cy="24"/>
          </a:xfrm>
        </xdr:grpSpPr>
        <xdr:sp macro="" textlink="">
          <xdr:nvSpPr>
            <xdr:cNvPr id="62" name="Line 51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" name="Line 52">
              <a:extLst>
                <a:ext uri="{FF2B5EF4-FFF2-40B4-BE49-F238E27FC236}">
                  <a16:creationId xmlns:a16="http://schemas.microsoft.com/office/drawing/2014/main" id="{00000000-0008-0000-0400-00003F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" name="Line 53">
              <a:extLst>
                <a:ext uri="{FF2B5EF4-FFF2-40B4-BE49-F238E27FC236}">
                  <a16:creationId xmlns:a16="http://schemas.microsoft.com/office/drawing/2014/main" id="{00000000-0008-0000-0400-00004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2" name="Group 54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1190" y="248"/>
            <a:ext cx="47" cy="32"/>
            <a:chOff x="269" y="1224"/>
            <a:chExt cx="216" cy="24"/>
          </a:xfrm>
        </xdr:grpSpPr>
        <xdr:sp macro="" textlink="">
          <xdr:nvSpPr>
            <xdr:cNvPr id="59" name="Line 55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" name="Line 56">
              <a:extLst>
                <a:ext uri="{FF2B5EF4-FFF2-40B4-BE49-F238E27FC236}">
                  <a16:creationId xmlns:a16="http://schemas.microsoft.com/office/drawing/2014/main" id="{00000000-0008-0000-0400-00003C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" name="Line 57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3" name="Group 58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1156" y="236"/>
            <a:ext cx="71" cy="32"/>
            <a:chOff x="269" y="1224"/>
            <a:chExt cx="216" cy="24"/>
          </a:xfrm>
        </xdr:grpSpPr>
        <xdr:sp macro="" textlink="">
          <xdr:nvSpPr>
            <xdr:cNvPr id="56" name="Line 59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" name="Line 60">
              <a:extLst>
                <a:ext uri="{FF2B5EF4-FFF2-40B4-BE49-F238E27FC236}">
                  <a16:creationId xmlns:a16="http://schemas.microsoft.com/office/drawing/2014/main" id="{00000000-0008-0000-0400-000039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" name="Line 61">
              <a:extLst>
                <a:ext uri="{FF2B5EF4-FFF2-40B4-BE49-F238E27FC236}">
                  <a16:creationId xmlns:a16="http://schemas.microsoft.com/office/drawing/2014/main" id="{00000000-0008-0000-0400-00003A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4" name="Group 62">
            <a:extLst>
              <a:ext uri="{FF2B5EF4-FFF2-40B4-BE49-F238E27FC236}">
                <a16:creationId xmlns:a16="http://schemas.microsoft.com/office/drawing/2014/main" id="{00000000-0008-0000-0400-00002C000000}"/>
              </a:ext>
            </a:extLst>
          </xdr:cNvPr>
          <xdr:cNvGrpSpPr>
            <a:grpSpLocks/>
          </xdr:cNvGrpSpPr>
        </xdr:nvGrpSpPr>
        <xdr:grpSpPr bwMode="auto">
          <a:xfrm>
            <a:off x="1360" y="183"/>
            <a:ext cx="94" cy="32"/>
            <a:chOff x="269" y="1224"/>
            <a:chExt cx="216" cy="24"/>
          </a:xfrm>
        </xdr:grpSpPr>
        <xdr:sp macro="" textlink="">
          <xdr:nvSpPr>
            <xdr:cNvPr id="53" name="Line 63">
              <a:extLst>
                <a:ext uri="{FF2B5EF4-FFF2-40B4-BE49-F238E27FC236}">
                  <a16:creationId xmlns:a16="http://schemas.microsoft.com/office/drawing/2014/main" id="{00000000-0008-0000-0400-000035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" name="Line 64">
              <a:extLst>
                <a:ext uri="{FF2B5EF4-FFF2-40B4-BE49-F238E27FC236}">
                  <a16:creationId xmlns:a16="http://schemas.microsoft.com/office/drawing/2014/main" id="{00000000-0008-0000-0400-000036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" name="Line 65">
              <a:extLst>
                <a:ext uri="{FF2B5EF4-FFF2-40B4-BE49-F238E27FC236}">
                  <a16:creationId xmlns:a16="http://schemas.microsoft.com/office/drawing/2014/main" id="{00000000-0008-0000-0400-00003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5" name="Group 66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GrpSpPr>
            <a:grpSpLocks/>
          </xdr:cNvGrpSpPr>
        </xdr:nvGrpSpPr>
        <xdr:grpSpPr bwMode="auto">
          <a:xfrm>
            <a:off x="991" y="183"/>
            <a:ext cx="105" cy="32"/>
            <a:chOff x="269" y="1224"/>
            <a:chExt cx="216" cy="24"/>
          </a:xfrm>
        </xdr:grpSpPr>
        <xdr:sp macro="" textlink="">
          <xdr:nvSpPr>
            <xdr:cNvPr id="50" name="Line 67">
              <a:extLst>
                <a:ext uri="{FF2B5EF4-FFF2-40B4-BE49-F238E27FC236}">
                  <a16:creationId xmlns:a16="http://schemas.microsoft.com/office/drawing/2014/main" id="{00000000-0008-0000-0400-000032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" name="Line 68">
              <a:extLst>
                <a:ext uri="{FF2B5EF4-FFF2-40B4-BE49-F238E27FC236}">
                  <a16:creationId xmlns:a16="http://schemas.microsoft.com/office/drawing/2014/main" id="{00000000-0008-0000-0400-000033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" name="Line 69">
              <a:extLst>
                <a:ext uri="{FF2B5EF4-FFF2-40B4-BE49-F238E27FC236}">
                  <a16:creationId xmlns:a16="http://schemas.microsoft.com/office/drawing/2014/main" id="{00000000-0008-0000-0400-00003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6" name="Group 70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GrpSpPr>
            <a:grpSpLocks/>
          </xdr:cNvGrpSpPr>
        </xdr:nvGrpSpPr>
        <xdr:grpSpPr bwMode="auto">
          <a:xfrm>
            <a:off x="991" y="159"/>
            <a:ext cx="463" cy="32"/>
            <a:chOff x="269" y="1224"/>
            <a:chExt cx="216" cy="24"/>
          </a:xfrm>
        </xdr:grpSpPr>
        <xdr:sp macro="" textlink="">
          <xdr:nvSpPr>
            <xdr:cNvPr id="47" name="Line 71">
              <a:extLst>
                <a:ext uri="{FF2B5EF4-FFF2-40B4-BE49-F238E27FC236}">
                  <a16:creationId xmlns:a16="http://schemas.microsoft.com/office/drawing/2014/main" id="{00000000-0008-0000-0400-00002F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" name="Line 72">
              <a:extLst>
                <a:ext uri="{FF2B5EF4-FFF2-40B4-BE49-F238E27FC236}">
                  <a16:creationId xmlns:a16="http://schemas.microsoft.com/office/drawing/2014/main" id="{00000000-0008-0000-0400-000030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" name="Line 73">
              <a:extLst>
                <a:ext uri="{FF2B5EF4-FFF2-40B4-BE49-F238E27FC236}">
                  <a16:creationId xmlns:a16="http://schemas.microsoft.com/office/drawing/2014/main" id="{00000000-0008-0000-0400-00003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 editAs="oneCell">
    <xdr:from>
      <xdr:col>34</xdr:col>
      <xdr:colOff>180272</xdr:colOff>
      <xdr:row>7</xdr:row>
      <xdr:rowOff>209550</xdr:rowOff>
    </xdr:from>
    <xdr:to>
      <xdr:col>37</xdr:col>
      <xdr:colOff>0</xdr:colOff>
      <xdr:row>15</xdr:row>
      <xdr:rowOff>66676</xdr:rowOff>
    </xdr:to>
    <xdr:pic>
      <xdr:nvPicPr>
        <xdr:cNvPr id="71" name="그림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2" t="22711" r="32959" b="10445"/>
        <a:stretch/>
      </xdr:blipFill>
      <xdr:spPr bwMode="auto">
        <a:xfrm>
          <a:off x="5142797" y="1876425"/>
          <a:ext cx="2048578" cy="1762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295275</xdr:colOff>
      <xdr:row>8</xdr:row>
      <xdr:rowOff>95250</xdr:rowOff>
    </xdr:from>
    <xdr:to>
      <xdr:col>18</xdr:col>
      <xdr:colOff>161925</xdr:colOff>
      <xdr:row>14</xdr:row>
      <xdr:rowOff>228600</xdr:rowOff>
    </xdr:to>
    <xdr:grpSp>
      <xdr:nvGrpSpPr>
        <xdr:cNvPr id="245173" name="Group 1"/>
        <xdr:cNvGrpSpPr>
          <a:grpSpLocks/>
        </xdr:cNvGrpSpPr>
      </xdr:nvGrpSpPr>
      <xdr:grpSpPr bwMode="auto">
        <a:xfrm>
          <a:off x="4858992" y="2190750"/>
          <a:ext cx="1721955" cy="1723611"/>
          <a:chOff x="89" y="571"/>
          <a:chExt cx="206" cy="164"/>
        </a:xfrm>
      </xdr:grpSpPr>
      <xdr:sp macro="" textlink="">
        <xdr:nvSpPr>
          <xdr:cNvPr id="245174" name="Freeform 2"/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245175" name="Group 3"/>
          <xdr:cNvGrpSpPr>
            <a:grpSpLocks/>
          </xdr:cNvGrpSpPr>
        </xdr:nvGrpSpPr>
        <xdr:grpSpPr bwMode="auto">
          <a:xfrm>
            <a:off x="105" y="615"/>
            <a:ext cx="132" cy="38"/>
            <a:chOff x="105" y="615"/>
            <a:chExt cx="132" cy="38"/>
          </a:xfrm>
        </xdr:grpSpPr>
        <xdr:sp macro="" textlink="">
          <xdr:nvSpPr>
            <xdr:cNvPr id="245186" name="Freeform 4"/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187" name="Freeform 5"/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188" name="Freeform 6"/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189" name="Freeform 7"/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5190" name="Freeform 8"/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191" name="Freeform 9"/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5192" name="Freeform 10"/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31" name="Rectangle 11"/>
            <xdr:cNvSpPr>
              <a:spLocks noChangeArrowheads="1"/>
            </xdr:cNvSpPr>
          </xdr:nvSpPr>
          <xdr:spPr bwMode="auto">
            <a:xfrm>
              <a:off x="105" y="615"/>
              <a:ext cx="34" cy="1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245194" name="Freeform 12"/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245176" name="Freeform 13"/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245177" name="Group 14"/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245178" name="Freeform 15"/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179" name="Freeform 16"/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180" name="Freeform 17"/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181" name="Freeform 18"/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5182" name="Freeform 19"/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183" name="Freeform 20"/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5184" name="Freeform 21"/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42" name="Rectangle 22"/>
            <xdr:cNvSpPr>
              <a:spLocks noChangeArrowheads="1"/>
            </xdr:cNvSpPr>
          </xdr:nvSpPr>
          <xdr:spPr bwMode="auto">
            <a:xfrm rot="10800000">
              <a:off x="259" y="653"/>
              <a:ext cx="32" cy="6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lnSpc>
                  <a:spcPts val="1100"/>
                </a:lnSpc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9</xdr:row>
      <xdr:rowOff>95250</xdr:rowOff>
    </xdr:from>
    <xdr:to>
      <xdr:col>19</xdr:col>
      <xdr:colOff>0</xdr:colOff>
      <xdr:row>9</xdr:row>
      <xdr:rowOff>95250</xdr:rowOff>
    </xdr:to>
    <xdr:sp macro="" textlink="">
      <xdr:nvSpPr>
        <xdr:cNvPr id="249337" name="Line 1"/>
        <xdr:cNvSpPr>
          <a:spLocks noChangeShapeType="1"/>
        </xdr:cNvSpPr>
      </xdr:nvSpPr>
      <xdr:spPr bwMode="auto">
        <a:xfrm>
          <a:off x="6562725" y="2238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10</xdr:row>
      <xdr:rowOff>219075</xdr:rowOff>
    </xdr:from>
    <xdr:to>
      <xdr:col>19</xdr:col>
      <xdr:colOff>0</xdr:colOff>
      <xdr:row>11</xdr:row>
      <xdr:rowOff>219075</xdr:rowOff>
    </xdr:to>
    <xdr:sp macro="" textlink="">
      <xdr:nvSpPr>
        <xdr:cNvPr id="249338" name="Freeform 2"/>
        <xdr:cNvSpPr>
          <a:spLocks/>
        </xdr:cNvSpPr>
      </xdr:nvSpPr>
      <xdr:spPr bwMode="auto">
        <a:xfrm>
          <a:off x="6562725" y="26003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6 h 24"/>
            <a:gd name="T4" fmla="*/ 0 w 35"/>
            <a:gd name="T5" fmla="*/ 2147483646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0</xdr:colOff>
      <xdr:row>10</xdr:row>
      <xdr:rowOff>219075</xdr:rowOff>
    </xdr:from>
    <xdr:to>
      <xdr:col>19</xdr:col>
      <xdr:colOff>0</xdr:colOff>
      <xdr:row>11</xdr:row>
      <xdr:rowOff>219075</xdr:rowOff>
    </xdr:to>
    <xdr:sp macro="" textlink="">
      <xdr:nvSpPr>
        <xdr:cNvPr id="249339" name="Line 3"/>
        <xdr:cNvSpPr>
          <a:spLocks noChangeShapeType="1"/>
        </xdr:cNvSpPr>
      </xdr:nvSpPr>
      <xdr:spPr bwMode="auto">
        <a:xfrm>
          <a:off x="6562725" y="26003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142875</xdr:rowOff>
    </xdr:from>
    <xdr:to>
      <xdr:col>19</xdr:col>
      <xdr:colOff>0</xdr:colOff>
      <xdr:row>7</xdr:row>
      <xdr:rowOff>219075</xdr:rowOff>
    </xdr:to>
    <xdr:grpSp>
      <xdr:nvGrpSpPr>
        <xdr:cNvPr id="249340" name="Group 4"/>
        <xdr:cNvGrpSpPr>
          <a:grpSpLocks/>
        </xdr:cNvGrpSpPr>
      </xdr:nvGrpSpPr>
      <xdr:grpSpPr bwMode="auto">
        <a:xfrm>
          <a:off x="6562725" y="1571625"/>
          <a:ext cx="0" cy="314325"/>
          <a:chOff x="269" y="1224"/>
          <a:chExt cx="216" cy="24"/>
        </a:xfrm>
      </xdr:grpSpPr>
      <xdr:sp macro="" textlink="">
        <xdr:nvSpPr>
          <xdr:cNvPr id="249435" name="Line 5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36" name="Line 6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37" name="Line 7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0</xdr:colOff>
      <xdr:row>11</xdr:row>
      <xdr:rowOff>47625</xdr:rowOff>
    </xdr:from>
    <xdr:to>
      <xdr:col>19</xdr:col>
      <xdr:colOff>0</xdr:colOff>
      <xdr:row>12</xdr:row>
      <xdr:rowOff>57150</xdr:rowOff>
    </xdr:to>
    <xdr:grpSp>
      <xdr:nvGrpSpPr>
        <xdr:cNvPr id="249341" name="Group 8"/>
        <xdr:cNvGrpSpPr>
          <a:grpSpLocks/>
        </xdr:cNvGrpSpPr>
      </xdr:nvGrpSpPr>
      <xdr:grpSpPr bwMode="auto">
        <a:xfrm flipV="1">
          <a:off x="6562725" y="2667000"/>
          <a:ext cx="0" cy="247650"/>
          <a:chOff x="269" y="1224"/>
          <a:chExt cx="216" cy="24"/>
        </a:xfrm>
      </xdr:grpSpPr>
      <xdr:sp macro="" textlink="">
        <xdr:nvSpPr>
          <xdr:cNvPr id="249432" name="Line 9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33" name="Line 10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34" name="Line 11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219075</xdr:rowOff>
    </xdr:to>
    <xdr:grpSp>
      <xdr:nvGrpSpPr>
        <xdr:cNvPr id="249342" name="Group 12"/>
        <xdr:cNvGrpSpPr>
          <a:grpSpLocks/>
        </xdr:cNvGrpSpPr>
      </xdr:nvGrpSpPr>
      <xdr:grpSpPr bwMode="auto">
        <a:xfrm>
          <a:off x="6562725" y="1428750"/>
          <a:ext cx="0" cy="219075"/>
          <a:chOff x="269" y="1224"/>
          <a:chExt cx="216" cy="24"/>
        </a:xfrm>
      </xdr:grpSpPr>
      <xdr:sp macro="" textlink="">
        <xdr:nvSpPr>
          <xdr:cNvPr id="249429" name="Line 13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30" name="Line 14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31" name="Line 15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0</xdr:colOff>
      <xdr:row>6</xdr:row>
      <xdr:rowOff>142875</xdr:rowOff>
    </xdr:from>
    <xdr:to>
      <xdr:col>19</xdr:col>
      <xdr:colOff>0</xdr:colOff>
      <xdr:row>7</xdr:row>
      <xdr:rowOff>219075</xdr:rowOff>
    </xdr:to>
    <xdr:grpSp>
      <xdr:nvGrpSpPr>
        <xdr:cNvPr id="249343" name="Group 16"/>
        <xdr:cNvGrpSpPr>
          <a:grpSpLocks/>
        </xdr:cNvGrpSpPr>
      </xdr:nvGrpSpPr>
      <xdr:grpSpPr bwMode="auto">
        <a:xfrm>
          <a:off x="6562725" y="1571625"/>
          <a:ext cx="0" cy="314325"/>
          <a:chOff x="269" y="1224"/>
          <a:chExt cx="216" cy="24"/>
        </a:xfrm>
      </xdr:grpSpPr>
      <xdr:sp macro="" textlink="">
        <xdr:nvSpPr>
          <xdr:cNvPr id="249426" name="Line 17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27" name="Line 18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28" name="Line 19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19</xdr:col>
      <xdr:colOff>0</xdr:colOff>
      <xdr:row>6</xdr:row>
      <xdr:rowOff>142875</xdr:rowOff>
    </xdr:from>
    <xdr:to>
      <xdr:col>19</xdr:col>
      <xdr:colOff>0</xdr:colOff>
      <xdr:row>7</xdr:row>
      <xdr:rowOff>219075</xdr:rowOff>
    </xdr:to>
    <xdr:grpSp>
      <xdr:nvGrpSpPr>
        <xdr:cNvPr id="249344" name="Group 20"/>
        <xdr:cNvGrpSpPr>
          <a:grpSpLocks/>
        </xdr:cNvGrpSpPr>
      </xdr:nvGrpSpPr>
      <xdr:grpSpPr bwMode="auto">
        <a:xfrm>
          <a:off x="6562725" y="1571625"/>
          <a:ext cx="0" cy="314325"/>
          <a:chOff x="269" y="1224"/>
          <a:chExt cx="216" cy="24"/>
        </a:xfrm>
      </xdr:grpSpPr>
      <xdr:sp macro="" textlink="">
        <xdr:nvSpPr>
          <xdr:cNvPr id="249423" name="Line 21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24" name="Line 22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25" name="Line 23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23</xdr:col>
      <xdr:colOff>504825</xdr:colOff>
      <xdr:row>8</xdr:row>
      <xdr:rowOff>228600</xdr:rowOff>
    </xdr:from>
    <xdr:to>
      <xdr:col>24</xdr:col>
      <xdr:colOff>666750</xdr:colOff>
      <xdr:row>8</xdr:row>
      <xdr:rowOff>228600</xdr:rowOff>
    </xdr:to>
    <xdr:sp macro="" textlink="">
      <xdr:nvSpPr>
        <xdr:cNvPr id="249345" name="Line 24"/>
        <xdr:cNvSpPr>
          <a:spLocks noChangeShapeType="1"/>
        </xdr:cNvSpPr>
      </xdr:nvSpPr>
      <xdr:spPr bwMode="auto">
        <a:xfrm>
          <a:off x="9991725" y="2133600"/>
          <a:ext cx="102870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361950</xdr:colOff>
      <xdr:row>6</xdr:row>
      <xdr:rowOff>152400</xdr:rowOff>
    </xdr:from>
    <xdr:to>
      <xdr:col>25</xdr:col>
      <xdr:colOff>647700</xdr:colOff>
      <xdr:row>7</xdr:row>
      <xdr:rowOff>228600</xdr:rowOff>
    </xdr:to>
    <xdr:grpSp>
      <xdr:nvGrpSpPr>
        <xdr:cNvPr id="249346" name="Group 25"/>
        <xdr:cNvGrpSpPr>
          <a:grpSpLocks/>
        </xdr:cNvGrpSpPr>
      </xdr:nvGrpSpPr>
      <xdr:grpSpPr bwMode="auto">
        <a:xfrm>
          <a:off x="8115300" y="1581150"/>
          <a:ext cx="3752850" cy="314325"/>
          <a:chOff x="269" y="1224"/>
          <a:chExt cx="216" cy="24"/>
        </a:xfrm>
      </xdr:grpSpPr>
      <xdr:sp macro="" textlink="">
        <xdr:nvSpPr>
          <xdr:cNvPr id="249420" name="Line 26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21" name="Line 27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22" name="Line 28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23</xdr:col>
      <xdr:colOff>152400</xdr:colOff>
      <xdr:row>7</xdr:row>
      <xdr:rowOff>228600</xdr:rowOff>
    </xdr:from>
    <xdr:to>
      <xdr:col>23</xdr:col>
      <xdr:colOff>457200</xdr:colOff>
      <xdr:row>8</xdr:row>
      <xdr:rowOff>228600</xdr:rowOff>
    </xdr:to>
    <xdr:grpSp>
      <xdr:nvGrpSpPr>
        <xdr:cNvPr id="249347" name="Group 29"/>
        <xdr:cNvGrpSpPr>
          <a:grpSpLocks/>
        </xdr:cNvGrpSpPr>
      </xdr:nvGrpSpPr>
      <xdr:grpSpPr bwMode="auto">
        <a:xfrm rot="-5400000">
          <a:off x="9672637" y="1862138"/>
          <a:ext cx="238125" cy="304800"/>
          <a:chOff x="269" y="1224"/>
          <a:chExt cx="216" cy="24"/>
        </a:xfrm>
      </xdr:grpSpPr>
      <xdr:sp macro="" textlink="">
        <xdr:nvSpPr>
          <xdr:cNvPr id="249417" name="Line 30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18" name="Line 31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19" name="Line 32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23</xdr:col>
      <xdr:colOff>152400</xdr:colOff>
      <xdr:row>8</xdr:row>
      <xdr:rowOff>228600</xdr:rowOff>
    </xdr:from>
    <xdr:to>
      <xdr:col>23</xdr:col>
      <xdr:colOff>457200</xdr:colOff>
      <xdr:row>10</xdr:row>
      <xdr:rowOff>219075</xdr:rowOff>
    </xdr:to>
    <xdr:grpSp>
      <xdr:nvGrpSpPr>
        <xdr:cNvPr id="249348" name="Group 33"/>
        <xdr:cNvGrpSpPr>
          <a:grpSpLocks/>
        </xdr:cNvGrpSpPr>
      </xdr:nvGrpSpPr>
      <xdr:grpSpPr bwMode="auto">
        <a:xfrm rot="-5400000">
          <a:off x="9558337" y="2214563"/>
          <a:ext cx="466725" cy="304800"/>
          <a:chOff x="269" y="1224"/>
          <a:chExt cx="216" cy="24"/>
        </a:xfrm>
      </xdr:grpSpPr>
      <xdr:sp macro="" textlink="">
        <xdr:nvSpPr>
          <xdr:cNvPr id="249414" name="Line 34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15" name="Line 35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16" name="Line 36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22</xdr:col>
      <xdr:colOff>790575</xdr:colOff>
      <xdr:row>7</xdr:row>
      <xdr:rowOff>228600</xdr:rowOff>
    </xdr:from>
    <xdr:to>
      <xdr:col>23</xdr:col>
      <xdr:colOff>228600</xdr:colOff>
      <xdr:row>10</xdr:row>
      <xdr:rowOff>219075</xdr:rowOff>
    </xdr:to>
    <xdr:grpSp>
      <xdr:nvGrpSpPr>
        <xdr:cNvPr id="249349" name="Group 37"/>
        <xdr:cNvGrpSpPr>
          <a:grpSpLocks/>
        </xdr:cNvGrpSpPr>
      </xdr:nvGrpSpPr>
      <xdr:grpSpPr bwMode="auto">
        <a:xfrm rot="-5400000">
          <a:off x="9210675" y="2095500"/>
          <a:ext cx="704850" cy="304800"/>
          <a:chOff x="269" y="1224"/>
          <a:chExt cx="216" cy="24"/>
        </a:xfrm>
      </xdr:grpSpPr>
      <xdr:sp macro="" textlink="">
        <xdr:nvSpPr>
          <xdr:cNvPr id="249411" name="Line 38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12" name="Line 39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13" name="Line 40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29</xdr:col>
      <xdr:colOff>0</xdr:colOff>
      <xdr:row>10</xdr:row>
      <xdr:rowOff>152400</xdr:rowOff>
    </xdr:from>
    <xdr:to>
      <xdr:col>29</xdr:col>
      <xdr:colOff>0</xdr:colOff>
      <xdr:row>17</xdr:row>
      <xdr:rowOff>180975</xdr:rowOff>
    </xdr:to>
    <xdr:grpSp>
      <xdr:nvGrpSpPr>
        <xdr:cNvPr id="249350" name="Group 41"/>
        <xdr:cNvGrpSpPr>
          <a:grpSpLocks/>
        </xdr:cNvGrpSpPr>
      </xdr:nvGrpSpPr>
      <xdr:grpSpPr bwMode="auto">
        <a:xfrm>
          <a:off x="13573125" y="2533650"/>
          <a:ext cx="0" cy="1562100"/>
          <a:chOff x="87" y="531"/>
          <a:chExt cx="201" cy="196"/>
        </a:xfrm>
      </xdr:grpSpPr>
      <xdr:grpSp>
        <xdr:nvGrpSpPr>
          <xdr:cNvPr id="249373" name="Group 42"/>
          <xdr:cNvGrpSpPr>
            <a:grpSpLocks/>
          </xdr:cNvGrpSpPr>
        </xdr:nvGrpSpPr>
        <xdr:grpSpPr bwMode="auto">
          <a:xfrm>
            <a:off x="87" y="531"/>
            <a:ext cx="166" cy="161"/>
            <a:chOff x="87" y="531"/>
            <a:chExt cx="166" cy="161"/>
          </a:xfrm>
        </xdr:grpSpPr>
        <xdr:sp macro="" textlink="">
          <xdr:nvSpPr>
            <xdr:cNvPr id="249398" name="Freeform 43"/>
            <xdr:cNvSpPr>
              <a:spLocks/>
            </xdr:cNvSpPr>
          </xdr:nvSpPr>
          <xdr:spPr bwMode="auto">
            <a:xfrm>
              <a:off x="224" y="664"/>
              <a:ext cx="17" cy="16"/>
            </a:xfrm>
            <a:custGeom>
              <a:avLst/>
              <a:gdLst>
                <a:gd name="T0" fmla="*/ 17 w 17"/>
                <a:gd name="T1" fmla="*/ 0 h 16"/>
                <a:gd name="T2" fmla="*/ 0 w 17"/>
                <a:gd name="T3" fmla="*/ 16 h 16"/>
                <a:gd name="T4" fmla="*/ 0 w 17"/>
                <a:gd name="T5" fmla="*/ 16 h 16"/>
                <a:gd name="T6" fmla="*/ 0 60000 65536"/>
                <a:gd name="T7" fmla="*/ 0 60000 65536"/>
                <a:gd name="T8" fmla="*/ 0 60000 65536"/>
                <a:gd name="T9" fmla="*/ 0 w 17"/>
                <a:gd name="T10" fmla="*/ 0 h 16"/>
                <a:gd name="T11" fmla="*/ 17 w 17"/>
                <a:gd name="T12" fmla="*/ 16 h 1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7" h="16">
                  <a:moveTo>
                    <a:pt x="17" y="0"/>
                  </a:moveTo>
                  <a:lnTo>
                    <a:pt x="0" y="16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249399" name="Group 44"/>
            <xdr:cNvGrpSpPr>
              <a:grpSpLocks/>
            </xdr:cNvGrpSpPr>
          </xdr:nvGrpSpPr>
          <xdr:grpSpPr bwMode="auto">
            <a:xfrm>
              <a:off x="87" y="531"/>
              <a:ext cx="166" cy="161"/>
              <a:chOff x="87" y="531"/>
              <a:chExt cx="166" cy="161"/>
            </a:xfrm>
          </xdr:grpSpPr>
          <xdr:sp macro="" textlink="">
            <xdr:nvSpPr>
              <xdr:cNvPr id="249400" name="Freeform 45"/>
              <xdr:cNvSpPr>
                <a:spLocks/>
              </xdr:cNvSpPr>
            </xdr:nvSpPr>
            <xdr:spPr bwMode="auto">
              <a:xfrm>
                <a:off x="87" y="531"/>
                <a:ext cx="165" cy="1"/>
              </a:xfrm>
              <a:custGeom>
                <a:avLst/>
                <a:gdLst>
                  <a:gd name="T0" fmla="*/ 0 w 165"/>
                  <a:gd name="T1" fmla="*/ 0 h 1"/>
                  <a:gd name="T2" fmla="*/ 165 w 165"/>
                  <a:gd name="T3" fmla="*/ 0 h 1"/>
                  <a:gd name="T4" fmla="*/ 165 w 165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65"/>
                  <a:gd name="T10" fmla="*/ 0 h 1"/>
                  <a:gd name="T11" fmla="*/ 165 w 165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5" h="1">
                    <a:moveTo>
                      <a:pt x="0" y="0"/>
                    </a:moveTo>
                    <a:lnTo>
                      <a:pt x="165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01" name="Freeform 46"/>
              <xdr:cNvSpPr>
                <a:spLocks/>
              </xdr:cNvSpPr>
            </xdr:nvSpPr>
            <xdr:spPr bwMode="auto">
              <a:xfrm>
                <a:off x="252" y="531"/>
                <a:ext cx="1" cy="160"/>
              </a:xfrm>
              <a:custGeom>
                <a:avLst/>
                <a:gdLst>
                  <a:gd name="T0" fmla="*/ 0 w 1"/>
                  <a:gd name="T1" fmla="*/ 0 h 160"/>
                  <a:gd name="T2" fmla="*/ 0 w 1"/>
                  <a:gd name="T3" fmla="*/ 160 h 160"/>
                  <a:gd name="T4" fmla="*/ 0 w 1"/>
                  <a:gd name="T5" fmla="*/ 160 h 160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60"/>
                  <a:gd name="T11" fmla="*/ 1 w 1"/>
                  <a:gd name="T12" fmla="*/ 160 h 16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60">
                    <a:moveTo>
                      <a:pt x="0" y="0"/>
                    </a:moveTo>
                    <a:lnTo>
                      <a:pt x="0" y="16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02" name="Freeform 47"/>
              <xdr:cNvSpPr>
                <a:spLocks/>
              </xdr:cNvSpPr>
            </xdr:nvSpPr>
            <xdr:spPr bwMode="auto">
              <a:xfrm>
                <a:off x="87" y="691"/>
                <a:ext cx="165" cy="1"/>
              </a:xfrm>
              <a:custGeom>
                <a:avLst/>
                <a:gdLst>
                  <a:gd name="T0" fmla="*/ 165 w 165"/>
                  <a:gd name="T1" fmla="*/ 0 h 1"/>
                  <a:gd name="T2" fmla="*/ 0 w 165"/>
                  <a:gd name="T3" fmla="*/ 0 h 1"/>
                  <a:gd name="T4" fmla="*/ 0 w 165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65"/>
                  <a:gd name="T10" fmla="*/ 0 h 1"/>
                  <a:gd name="T11" fmla="*/ 165 w 165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5" h="1">
                    <a:moveTo>
                      <a:pt x="165" y="0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03" name="Freeform 48"/>
              <xdr:cNvSpPr>
                <a:spLocks/>
              </xdr:cNvSpPr>
            </xdr:nvSpPr>
            <xdr:spPr bwMode="auto">
              <a:xfrm>
                <a:off x="87" y="531"/>
                <a:ext cx="1" cy="160"/>
              </a:xfrm>
              <a:custGeom>
                <a:avLst/>
                <a:gdLst>
                  <a:gd name="T0" fmla="*/ 0 w 1"/>
                  <a:gd name="T1" fmla="*/ 160 h 160"/>
                  <a:gd name="T2" fmla="*/ 0 w 1"/>
                  <a:gd name="T3" fmla="*/ 0 h 160"/>
                  <a:gd name="T4" fmla="*/ 0 w 1"/>
                  <a:gd name="T5" fmla="*/ 0 h 160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60"/>
                  <a:gd name="T11" fmla="*/ 1 w 1"/>
                  <a:gd name="T12" fmla="*/ 160 h 16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60">
                    <a:moveTo>
                      <a:pt x="0" y="160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04" name="Freeform 49"/>
              <xdr:cNvSpPr>
                <a:spLocks/>
              </xdr:cNvSpPr>
            </xdr:nvSpPr>
            <xdr:spPr bwMode="auto">
              <a:xfrm>
                <a:off x="99" y="558"/>
                <a:ext cx="1" cy="106"/>
              </a:xfrm>
              <a:custGeom>
                <a:avLst/>
                <a:gdLst>
                  <a:gd name="T0" fmla="*/ 0 w 1"/>
                  <a:gd name="T1" fmla="*/ 106 h 106"/>
                  <a:gd name="T2" fmla="*/ 0 w 1"/>
                  <a:gd name="T3" fmla="*/ 0 h 106"/>
                  <a:gd name="T4" fmla="*/ 0 w 1"/>
                  <a:gd name="T5" fmla="*/ 0 h 106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06"/>
                  <a:gd name="T11" fmla="*/ 1 w 1"/>
                  <a:gd name="T12" fmla="*/ 106 h 10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06">
                    <a:moveTo>
                      <a:pt x="0" y="106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05" name="Freeform 50"/>
              <xdr:cNvSpPr>
                <a:spLocks/>
              </xdr:cNvSpPr>
            </xdr:nvSpPr>
            <xdr:spPr bwMode="auto">
              <a:xfrm>
                <a:off x="241" y="558"/>
                <a:ext cx="1" cy="106"/>
              </a:xfrm>
              <a:custGeom>
                <a:avLst/>
                <a:gdLst>
                  <a:gd name="T0" fmla="*/ 0 w 1"/>
                  <a:gd name="T1" fmla="*/ 0 h 106"/>
                  <a:gd name="T2" fmla="*/ 0 w 1"/>
                  <a:gd name="T3" fmla="*/ 106 h 106"/>
                  <a:gd name="T4" fmla="*/ 0 w 1"/>
                  <a:gd name="T5" fmla="*/ 106 h 106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06"/>
                  <a:gd name="T11" fmla="*/ 1 w 1"/>
                  <a:gd name="T12" fmla="*/ 106 h 10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06">
                    <a:moveTo>
                      <a:pt x="0" y="0"/>
                    </a:moveTo>
                    <a:lnTo>
                      <a:pt x="0" y="106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06" name="Freeform 51"/>
              <xdr:cNvSpPr>
                <a:spLocks/>
              </xdr:cNvSpPr>
            </xdr:nvSpPr>
            <xdr:spPr bwMode="auto">
              <a:xfrm>
                <a:off x="115" y="542"/>
                <a:ext cx="109" cy="1"/>
              </a:xfrm>
              <a:custGeom>
                <a:avLst/>
                <a:gdLst>
                  <a:gd name="T0" fmla="*/ 0 w 109"/>
                  <a:gd name="T1" fmla="*/ 0 h 1"/>
                  <a:gd name="T2" fmla="*/ 109 w 109"/>
                  <a:gd name="T3" fmla="*/ 0 h 1"/>
                  <a:gd name="T4" fmla="*/ 109 w 109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09"/>
                  <a:gd name="T10" fmla="*/ 0 h 1"/>
                  <a:gd name="T11" fmla="*/ 109 w 109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09" h="1">
                    <a:moveTo>
                      <a:pt x="0" y="0"/>
                    </a:moveTo>
                    <a:lnTo>
                      <a:pt x="109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07" name="Freeform 52"/>
              <xdr:cNvSpPr>
                <a:spLocks/>
              </xdr:cNvSpPr>
            </xdr:nvSpPr>
            <xdr:spPr bwMode="auto">
              <a:xfrm>
                <a:off x="115" y="680"/>
                <a:ext cx="109" cy="1"/>
              </a:xfrm>
              <a:custGeom>
                <a:avLst/>
                <a:gdLst>
                  <a:gd name="T0" fmla="*/ 109 w 109"/>
                  <a:gd name="T1" fmla="*/ 0 h 1"/>
                  <a:gd name="T2" fmla="*/ 0 w 109"/>
                  <a:gd name="T3" fmla="*/ 0 h 1"/>
                  <a:gd name="T4" fmla="*/ 0 w 109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09"/>
                  <a:gd name="T10" fmla="*/ 0 h 1"/>
                  <a:gd name="T11" fmla="*/ 109 w 109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09" h="1">
                    <a:moveTo>
                      <a:pt x="109" y="0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08" name="Freeform 53"/>
              <xdr:cNvSpPr>
                <a:spLocks/>
              </xdr:cNvSpPr>
            </xdr:nvSpPr>
            <xdr:spPr bwMode="auto">
              <a:xfrm>
                <a:off x="99" y="542"/>
                <a:ext cx="16" cy="16"/>
              </a:xfrm>
              <a:custGeom>
                <a:avLst/>
                <a:gdLst>
                  <a:gd name="T0" fmla="*/ 0 w 16"/>
                  <a:gd name="T1" fmla="*/ 16 h 16"/>
                  <a:gd name="T2" fmla="*/ 16 w 16"/>
                  <a:gd name="T3" fmla="*/ 0 h 16"/>
                  <a:gd name="T4" fmla="*/ 16 w 16"/>
                  <a:gd name="T5" fmla="*/ 0 h 16"/>
                  <a:gd name="T6" fmla="*/ 0 60000 65536"/>
                  <a:gd name="T7" fmla="*/ 0 60000 65536"/>
                  <a:gd name="T8" fmla="*/ 0 60000 65536"/>
                  <a:gd name="T9" fmla="*/ 0 w 16"/>
                  <a:gd name="T10" fmla="*/ 0 h 16"/>
                  <a:gd name="T11" fmla="*/ 16 w 16"/>
                  <a:gd name="T12" fmla="*/ 16 h 1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" h="16">
                    <a:moveTo>
                      <a:pt x="0" y="16"/>
                    </a:moveTo>
                    <a:lnTo>
                      <a:pt x="16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09" name="Freeform 54"/>
              <xdr:cNvSpPr>
                <a:spLocks/>
              </xdr:cNvSpPr>
            </xdr:nvSpPr>
            <xdr:spPr bwMode="auto">
              <a:xfrm>
                <a:off x="224" y="542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17 w 17"/>
                  <a:gd name="T3" fmla="*/ 16 h 16"/>
                  <a:gd name="T4" fmla="*/ 17 w 17"/>
                  <a:gd name="T5" fmla="*/ 16 h 16"/>
                  <a:gd name="T6" fmla="*/ 0 60000 65536"/>
                  <a:gd name="T7" fmla="*/ 0 60000 65536"/>
                  <a:gd name="T8" fmla="*/ 0 60000 65536"/>
                  <a:gd name="T9" fmla="*/ 0 w 17"/>
                  <a:gd name="T10" fmla="*/ 0 h 16"/>
                  <a:gd name="T11" fmla="*/ 17 w 17"/>
                  <a:gd name="T12" fmla="*/ 16 h 1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7" h="16">
                    <a:moveTo>
                      <a:pt x="0" y="0"/>
                    </a:moveTo>
                    <a:lnTo>
                      <a:pt x="17" y="16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9410" name="Freeform 55"/>
              <xdr:cNvSpPr>
                <a:spLocks/>
              </xdr:cNvSpPr>
            </xdr:nvSpPr>
            <xdr:spPr bwMode="auto">
              <a:xfrm>
                <a:off x="99" y="664"/>
                <a:ext cx="16" cy="16"/>
              </a:xfrm>
              <a:custGeom>
                <a:avLst/>
                <a:gdLst>
                  <a:gd name="T0" fmla="*/ 16 w 16"/>
                  <a:gd name="T1" fmla="*/ 16 h 16"/>
                  <a:gd name="T2" fmla="*/ 0 w 16"/>
                  <a:gd name="T3" fmla="*/ 0 h 16"/>
                  <a:gd name="T4" fmla="*/ 0 w 16"/>
                  <a:gd name="T5" fmla="*/ 0 h 16"/>
                  <a:gd name="T6" fmla="*/ 0 60000 65536"/>
                  <a:gd name="T7" fmla="*/ 0 60000 65536"/>
                  <a:gd name="T8" fmla="*/ 0 60000 65536"/>
                  <a:gd name="T9" fmla="*/ 0 w 16"/>
                  <a:gd name="T10" fmla="*/ 0 h 16"/>
                  <a:gd name="T11" fmla="*/ 16 w 16"/>
                  <a:gd name="T12" fmla="*/ 16 h 1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" h="16">
                    <a:moveTo>
                      <a:pt x="16" y="16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249374" name="Group 56"/>
          <xdr:cNvGrpSpPr>
            <a:grpSpLocks/>
          </xdr:cNvGrpSpPr>
        </xdr:nvGrpSpPr>
        <xdr:grpSpPr bwMode="auto">
          <a:xfrm>
            <a:off x="99" y="542"/>
            <a:ext cx="189" cy="185"/>
            <a:chOff x="99" y="542"/>
            <a:chExt cx="189" cy="185"/>
          </a:xfrm>
        </xdr:grpSpPr>
        <xdr:sp macro="" textlink="">
          <xdr:nvSpPr>
            <xdr:cNvPr id="249375" name="Freeform 57"/>
            <xdr:cNvSpPr>
              <a:spLocks/>
            </xdr:cNvSpPr>
          </xdr:nvSpPr>
          <xdr:spPr bwMode="auto">
            <a:xfrm>
              <a:off x="99" y="572"/>
              <a:ext cx="142" cy="1"/>
            </a:xfrm>
            <a:custGeom>
              <a:avLst/>
              <a:gdLst>
                <a:gd name="T0" fmla="*/ 0 w 142"/>
                <a:gd name="T1" fmla="*/ 0 h 1"/>
                <a:gd name="T2" fmla="*/ 142 w 142"/>
                <a:gd name="T3" fmla="*/ 0 h 1"/>
                <a:gd name="T4" fmla="*/ 142 w 142"/>
                <a:gd name="T5" fmla="*/ 0 h 1"/>
                <a:gd name="T6" fmla="*/ 0 60000 65536"/>
                <a:gd name="T7" fmla="*/ 0 60000 65536"/>
                <a:gd name="T8" fmla="*/ 0 60000 65536"/>
                <a:gd name="T9" fmla="*/ 0 w 142"/>
                <a:gd name="T10" fmla="*/ 0 h 1"/>
                <a:gd name="T11" fmla="*/ 142 w 142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42" h="1">
                  <a:moveTo>
                    <a:pt x="0" y="0"/>
                  </a:moveTo>
                  <a:lnTo>
                    <a:pt x="14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76" name="Freeform 58"/>
            <xdr:cNvSpPr>
              <a:spLocks/>
            </xdr:cNvSpPr>
          </xdr:nvSpPr>
          <xdr:spPr bwMode="auto">
            <a:xfrm>
              <a:off x="99" y="701"/>
              <a:ext cx="1" cy="26"/>
            </a:xfrm>
            <a:custGeom>
              <a:avLst/>
              <a:gdLst>
                <a:gd name="T0" fmla="*/ 0 w 1"/>
                <a:gd name="T1" fmla="*/ 0 h 26"/>
                <a:gd name="T2" fmla="*/ 0 w 1"/>
                <a:gd name="T3" fmla="*/ 26 h 26"/>
                <a:gd name="T4" fmla="*/ 0 w 1"/>
                <a:gd name="T5" fmla="*/ 26 h 26"/>
                <a:gd name="T6" fmla="*/ 0 60000 65536"/>
                <a:gd name="T7" fmla="*/ 0 60000 65536"/>
                <a:gd name="T8" fmla="*/ 0 60000 65536"/>
                <a:gd name="T9" fmla="*/ 0 w 1"/>
                <a:gd name="T10" fmla="*/ 0 h 26"/>
                <a:gd name="T11" fmla="*/ 1 w 1"/>
                <a:gd name="T12" fmla="*/ 26 h 2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26">
                  <a:moveTo>
                    <a:pt x="0" y="0"/>
                  </a:moveTo>
                  <a:lnTo>
                    <a:pt x="0" y="2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77" name="Freeform 59"/>
            <xdr:cNvSpPr>
              <a:spLocks/>
            </xdr:cNvSpPr>
          </xdr:nvSpPr>
          <xdr:spPr bwMode="auto">
            <a:xfrm>
              <a:off x="241" y="701"/>
              <a:ext cx="1" cy="26"/>
            </a:xfrm>
            <a:custGeom>
              <a:avLst/>
              <a:gdLst>
                <a:gd name="T0" fmla="*/ 0 w 1"/>
                <a:gd name="T1" fmla="*/ 0 h 26"/>
                <a:gd name="T2" fmla="*/ 0 w 1"/>
                <a:gd name="T3" fmla="*/ 26 h 26"/>
                <a:gd name="T4" fmla="*/ 0 w 1"/>
                <a:gd name="T5" fmla="*/ 26 h 26"/>
                <a:gd name="T6" fmla="*/ 0 60000 65536"/>
                <a:gd name="T7" fmla="*/ 0 60000 65536"/>
                <a:gd name="T8" fmla="*/ 0 60000 65536"/>
                <a:gd name="T9" fmla="*/ 0 w 1"/>
                <a:gd name="T10" fmla="*/ 0 h 26"/>
                <a:gd name="T11" fmla="*/ 1 w 1"/>
                <a:gd name="T12" fmla="*/ 26 h 2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26">
                  <a:moveTo>
                    <a:pt x="0" y="0"/>
                  </a:moveTo>
                  <a:lnTo>
                    <a:pt x="0" y="2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78" name="Freeform 60"/>
            <xdr:cNvSpPr>
              <a:spLocks/>
            </xdr:cNvSpPr>
          </xdr:nvSpPr>
          <xdr:spPr bwMode="auto">
            <a:xfrm>
              <a:off x="105" y="721"/>
              <a:ext cx="48" cy="1"/>
            </a:xfrm>
            <a:custGeom>
              <a:avLst/>
              <a:gdLst>
                <a:gd name="T0" fmla="*/ 0 w 48"/>
                <a:gd name="T1" fmla="*/ 0 h 1"/>
                <a:gd name="T2" fmla="*/ 48 w 48"/>
                <a:gd name="T3" fmla="*/ 0 h 1"/>
                <a:gd name="T4" fmla="*/ 48 w 48"/>
                <a:gd name="T5" fmla="*/ 0 h 1"/>
                <a:gd name="T6" fmla="*/ 0 60000 65536"/>
                <a:gd name="T7" fmla="*/ 0 60000 65536"/>
                <a:gd name="T8" fmla="*/ 0 60000 65536"/>
                <a:gd name="T9" fmla="*/ 0 w 48"/>
                <a:gd name="T10" fmla="*/ 0 h 1"/>
                <a:gd name="T11" fmla="*/ 48 w 48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8" h="1">
                  <a:moveTo>
                    <a:pt x="0" y="0"/>
                  </a:moveTo>
                  <a:lnTo>
                    <a:pt x="4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79" name="Freeform 61"/>
            <xdr:cNvSpPr>
              <a:spLocks/>
            </xdr:cNvSpPr>
          </xdr:nvSpPr>
          <xdr:spPr bwMode="auto">
            <a:xfrm>
              <a:off x="186" y="721"/>
              <a:ext cx="49" cy="1"/>
            </a:xfrm>
            <a:custGeom>
              <a:avLst/>
              <a:gdLst>
                <a:gd name="T0" fmla="*/ 49 w 49"/>
                <a:gd name="T1" fmla="*/ 0 h 1"/>
                <a:gd name="T2" fmla="*/ 0 w 49"/>
                <a:gd name="T3" fmla="*/ 0 h 1"/>
                <a:gd name="T4" fmla="*/ 0 w 49"/>
                <a:gd name="T5" fmla="*/ 0 h 1"/>
                <a:gd name="T6" fmla="*/ 0 60000 65536"/>
                <a:gd name="T7" fmla="*/ 0 60000 65536"/>
                <a:gd name="T8" fmla="*/ 0 60000 65536"/>
                <a:gd name="T9" fmla="*/ 0 w 49"/>
                <a:gd name="T10" fmla="*/ 0 h 1"/>
                <a:gd name="T11" fmla="*/ 49 w 49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9" h="1">
                  <a:moveTo>
                    <a:pt x="49" y="0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80" name="Freeform 62"/>
            <xdr:cNvSpPr>
              <a:spLocks/>
            </xdr:cNvSpPr>
          </xdr:nvSpPr>
          <xdr:spPr bwMode="auto">
            <a:xfrm>
              <a:off x="99" y="720"/>
              <a:ext cx="6" cy="2"/>
            </a:xfrm>
            <a:custGeom>
              <a:avLst/>
              <a:gdLst>
                <a:gd name="T0" fmla="*/ 6 w 6"/>
                <a:gd name="T1" fmla="*/ 0 h 2"/>
                <a:gd name="T2" fmla="*/ 6 w 6"/>
                <a:gd name="T3" fmla="*/ 2 h 2"/>
                <a:gd name="T4" fmla="*/ 0 w 6"/>
                <a:gd name="T5" fmla="*/ 1 h 2"/>
                <a:gd name="T6" fmla="*/ 6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6" y="0"/>
                  </a:moveTo>
                  <a:lnTo>
                    <a:pt x="6" y="2"/>
                  </a:lnTo>
                  <a:lnTo>
                    <a:pt x="0" y="1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381" name="Freeform 63"/>
            <xdr:cNvSpPr>
              <a:spLocks/>
            </xdr:cNvSpPr>
          </xdr:nvSpPr>
          <xdr:spPr bwMode="auto">
            <a:xfrm>
              <a:off x="99" y="720"/>
              <a:ext cx="6" cy="2"/>
            </a:xfrm>
            <a:custGeom>
              <a:avLst/>
              <a:gdLst>
                <a:gd name="T0" fmla="*/ 6 w 6"/>
                <a:gd name="T1" fmla="*/ 0 h 2"/>
                <a:gd name="T2" fmla="*/ 6 w 6"/>
                <a:gd name="T3" fmla="*/ 2 h 2"/>
                <a:gd name="T4" fmla="*/ 0 w 6"/>
                <a:gd name="T5" fmla="*/ 1 h 2"/>
                <a:gd name="T6" fmla="*/ 6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6" y="0"/>
                  </a:moveTo>
                  <a:lnTo>
                    <a:pt x="6" y="2"/>
                  </a:lnTo>
                  <a:lnTo>
                    <a:pt x="0" y="1"/>
                  </a:ln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82" name="Freeform 64"/>
            <xdr:cNvSpPr>
              <a:spLocks/>
            </xdr:cNvSpPr>
          </xdr:nvSpPr>
          <xdr:spPr bwMode="auto">
            <a:xfrm>
              <a:off x="235" y="720"/>
              <a:ext cx="6" cy="2"/>
            </a:xfrm>
            <a:custGeom>
              <a:avLst/>
              <a:gdLst>
                <a:gd name="T0" fmla="*/ 0 w 6"/>
                <a:gd name="T1" fmla="*/ 0 h 2"/>
                <a:gd name="T2" fmla="*/ 0 w 6"/>
                <a:gd name="T3" fmla="*/ 2 h 2"/>
                <a:gd name="T4" fmla="*/ 6 w 6"/>
                <a:gd name="T5" fmla="*/ 1 h 2"/>
                <a:gd name="T6" fmla="*/ 0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0" y="0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383" name="Freeform 65"/>
            <xdr:cNvSpPr>
              <a:spLocks/>
            </xdr:cNvSpPr>
          </xdr:nvSpPr>
          <xdr:spPr bwMode="auto">
            <a:xfrm>
              <a:off x="235" y="720"/>
              <a:ext cx="6" cy="2"/>
            </a:xfrm>
            <a:custGeom>
              <a:avLst/>
              <a:gdLst>
                <a:gd name="T0" fmla="*/ 0 w 6"/>
                <a:gd name="T1" fmla="*/ 0 h 2"/>
                <a:gd name="T2" fmla="*/ 0 w 6"/>
                <a:gd name="T3" fmla="*/ 2 h 2"/>
                <a:gd name="T4" fmla="*/ 6 w 6"/>
                <a:gd name="T5" fmla="*/ 1 h 2"/>
                <a:gd name="T6" fmla="*/ 0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0" y="0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84" name="Freeform 66"/>
            <xdr:cNvSpPr>
              <a:spLocks/>
            </xdr:cNvSpPr>
          </xdr:nvSpPr>
          <xdr:spPr bwMode="auto">
            <a:xfrm>
              <a:off x="263" y="542"/>
              <a:ext cx="25" cy="1"/>
            </a:xfrm>
            <a:custGeom>
              <a:avLst/>
              <a:gdLst>
                <a:gd name="T0" fmla="*/ 0 w 25"/>
                <a:gd name="T1" fmla="*/ 0 h 1"/>
                <a:gd name="T2" fmla="*/ 25 w 25"/>
                <a:gd name="T3" fmla="*/ 0 h 1"/>
                <a:gd name="T4" fmla="*/ 25 w 25"/>
                <a:gd name="T5" fmla="*/ 0 h 1"/>
                <a:gd name="T6" fmla="*/ 0 60000 65536"/>
                <a:gd name="T7" fmla="*/ 0 60000 65536"/>
                <a:gd name="T8" fmla="*/ 0 60000 65536"/>
                <a:gd name="T9" fmla="*/ 0 w 25"/>
                <a:gd name="T10" fmla="*/ 0 h 1"/>
                <a:gd name="T11" fmla="*/ 25 w 25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5" h="1">
                  <a:moveTo>
                    <a:pt x="0" y="0"/>
                  </a:move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85" name="Freeform 67"/>
            <xdr:cNvSpPr>
              <a:spLocks/>
            </xdr:cNvSpPr>
          </xdr:nvSpPr>
          <xdr:spPr bwMode="auto">
            <a:xfrm>
              <a:off x="263" y="680"/>
              <a:ext cx="25" cy="1"/>
            </a:xfrm>
            <a:custGeom>
              <a:avLst/>
              <a:gdLst>
                <a:gd name="T0" fmla="*/ 0 w 25"/>
                <a:gd name="T1" fmla="*/ 0 h 1"/>
                <a:gd name="T2" fmla="*/ 25 w 25"/>
                <a:gd name="T3" fmla="*/ 0 h 1"/>
                <a:gd name="T4" fmla="*/ 25 w 25"/>
                <a:gd name="T5" fmla="*/ 0 h 1"/>
                <a:gd name="T6" fmla="*/ 0 60000 65536"/>
                <a:gd name="T7" fmla="*/ 0 60000 65536"/>
                <a:gd name="T8" fmla="*/ 0 60000 65536"/>
                <a:gd name="T9" fmla="*/ 0 w 25"/>
                <a:gd name="T10" fmla="*/ 0 h 1"/>
                <a:gd name="T11" fmla="*/ 25 w 25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5" h="1">
                  <a:moveTo>
                    <a:pt x="0" y="0"/>
                  </a:move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86" name="Freeform 68"/>
            <xdr:cNvSpPr>
              <a:spLocks/>
            </xdr:cNvSpPr>
          </xdr:nvSpPr>
          <xdr:spPr bwMode="auto">
            <a:xfrm>
              <a:off x="282" y="548"/>
              <a:ext cx="1" cy="54"/>
            </a:xfrm>
            <a:custGeom>
              <a:avLst/>
              <a:gdLst>
                <a:gd name="T0" fmla="*/ 0 w 1"/>
                <a:gd name="T1" fmla="*/ 0 h 54"/>
                <a:gd name="T2" fmla="*/ 0 w 1"/>
                <a:gd name="T3" fmla="*/ 54 h 54"/>
                <a:gd name="T4" fmla="*/ 0 w 1"/>
                <a:gd name="T5" fmla="*/ 54 h 54"/>
                <a:gd name="T6" fmla="*/ 0 60000 65536"/>
                <a:gd name="T7" fmla="*/ 0 60000 65536"/>
                <a:gd name="T8" fmla="*/ 0 60000 65536"/>
                <a:gd name="T9" fmla="*/ 0 w 1"/>
                <a:gd name="T10" fmla="*/ 0 h 54"/>
                <a:gd name="T11" fmla="*/ 1 w 1"/>
                <a:gd name="T12" fmla="*/ 54 h 54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54">
                  <a:moveTo>
                    <a:pt x="0" y="0"/>
                  </a:moveTo>
                  <a:lnTo>
                    <a:pt x="0" y="54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87" name="Freeform 69"/>
            <xdr:cNvSpPr>
              <a:spLocks/>
            </xdr:cNvSpPr>
          </xdr:nvSpPr>
          <xdr:spPr bwMode="auto">
            <a:xfrm>
              <a:off x="282" y="618"/>
              <a:ext cx="1" cy="56"/>
            </a:xfrm>
            <a:custGeom>
              <a:avLst/>
              <a:gdLst>
                <a:gd name="T0" fmla="*/ 0 w 1"/>
                <a:gd name="T1" fmla="*/ 56 h 56"/>
                <a:gd name="T2" fmla="*/ 0 w 1"/>
                <a:gd name="T3" fmla="*/ 0 h 56"/>
                <a:gd name="T4" fmla="*/ 0 w 1"/>
                <a:gd name="T5" fmla="*/ 0 h 56"/>
                <a:gd name="T6" fmla="*/ 0 60000 65536"/>
                <a:gd name="T7" fmla="*/ 0 60000 65536"/>
                <a:gd name="T8" fmla="*/ 0 60000 65536"/>
                <a:gd name="T9" fmla="*/ 0 w 1"/>
                <a:gd name="T10" fmla="*/ 0 h 56"/>
                <a:gd name="T11" fmla="*/ 1 w 1"/>
                <a:gd name="T12" fmla="*/ 56 h 5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56">
                  <a:moveTo>
                    <a:pt x="0" y="5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88" name="Freeform 70"/>
            <xdr:cNvSpPr>
              <a:spLocks/>
            </xdr:cNvSpPr>
          </xdr:nvSpPr>
          <xdr:spPr bwMode="auto">
            <a:xfrm>
              <a:off x="281" y="542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389" name="Freeform 71"/>
            <xdr:cNvSpPr>
              <a:spLocks/>
            </xdr:cNvSpPr>
          </xdr:nvSpPr>
          <xdr:spPr bwMode="auto">
            <a:xfrm>
              <a:off x="281" y="542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90" name="Freeform 72"/>
            <xdr:cNvSpPr>
              <a:spLocks/>
            </xdr:cNvSpPr>
          </xdr:nvSpPr>
          <xdr:spPr bwMode="auto">
            <a:xfrm>
              <a:off x="281" y="674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0 h 6"/>
                <a:gd name="T4" fmla="*/ 1 w 2"/>
                <a:gd name="T5" fmla="*/ 6 h 6"/>
                <a:gd name="T6" fmla="*/ 0 w 2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0"/>
                  </a:moveTo>
                  <a:lnTo>
                    <a:pt x="2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391" name="Freeform 73"/>
            <xdr:cNvSpPr>
              <a:spLocks/>
            </xdr:cNvSpPr>
          </xdr:nvSpPr>
          <xdr:spPr bwMode="auto">
            <a:xfrm>
              <a:off x="281" y="674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0 h 6"/>
                <a:gd name="T4" fmla="*/ 1 w 2"/>
                <a:gd name="T5" fmla="*/ 6 h 6"/>
                <a:gd name="T6" fmla="*/ 0 w 2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0"/>
                  </a:moveTo>
                  <a:lnTo>
                    <a:pt x="2" y="0"/>
                  </a:lnTo>
                  <a:lnTo>
                    <a:pt x="1" y="6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92" name="Freeform 74"/>
            <xdr:cNvSpPr>
              <a:spLocks/>
            </xdr:cNvSpPr>
          </xdr:nvSpPr>
          <xdr:spPr bwMode="auto">
            <a:xfrm>
              <a:off x="186" y="574"/>
              <a:ext cx="15" cy="1"/>
            </a:xfrm>
            <a:custGeom>
              <a:avLst/>
              <a:gdLst>
                <a:gd name="T0" fmla="*/ 0 w 15"/>
                <a:gd name="T1" fmla="*/ 0 h 1"/>
                <a:gd name="T2" fmla="*/ 15 w 15"/>
                <a:gd name="T3" fmla="*/ 0 h 1"/>
                <a:gd name="T4" fmla="*/ 15 w 15"/>
                <a:gd name="T5" fmla="*/ 0 h 1"/>
                <a:gd name="T6" fmla="*/ 0 60000 65536"/>
                <a:gd name="T7" fmla="*/ 0 60000 65536"/>
                <a:gd name="T8" fmla="*/ 0 60000 65536"/>
                <a:gd name="T9" fmla="*/ 0 w 15"/>
                <a:gd name="T10" fmla="*/ 0 h 1"/>
                <a:gd name="T11" fmla="*/ 15 w 15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5" h="1">
                  <a:moveTo>
                    <a:pt x="0" y="0"/>
                  </a:moveTo>
                  <a:lnTo>
                    <a:pt x="1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93" name="Freeform 75"/>
            <xdr:cNvSpPr>
              <a:spLocks/>
            </xdr:cNvSpPr>
          </xdr:nvSpPr>
          <xdr:spPr bwMode="auto">
            <a:xfrm>
              <a:off x="192" y="577"/>
              <a:ext cx="3" cy="1"/>
            </a:xfrm>
            <a:custGeom>
              <a:avLst/>
              <a:gdLst>
                <a:gd name="T0" fmla="*/ 0 w 3"/>
                <a:gd name="T1" fmla="*/ 0 h 1"/>
                <a:gd name="T2" fmla="*/ 3 w 3"/>
                <a:gd name="T3" fmla="*/ 0 h 1"/>
                <a:gd name="T4" fmla="*/ 3 w 3"/>
                <a:gd name="T5" fmla="*/ 0 h 1"/>
                <a:gd name="T6" fmla="*/ 0 60000 65536"/>
                <a:gd name="T7" fmla="*/ 0 60000 65536"/>
                <a:gd name="T8" fmla="*/ 0 60000 65536"/>
                <a:gd name="T9" fmla="*/ 0 w 3"/>
                <a:gd name="T10" fmla="*/ 0 h 1"/>
                <a:gd name="T11" fmla="*/ 3 w 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" h="1">
                  <a:moveTo>
                    <a:pt x="0" y="0"/>
                  </a:move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94" name="Freeform 76"/>
            <xdr:cNvSpPr>
              <a:spLocks/>
            </xdr:cNvSpPr>
          </xdr:nvSpPr>
          <xdr:spPr bwMode="auto">
            <a:xfrm>
              <a:off x="190" y="575"/>
              <a:ext cx="8" cy="1"/>
            </a:xfrm>
            <a:custGeom>
              <a:avLst/>
              <a:gdLst>
                <a:gd name="T0" fmla="*/ 0 w 8"/>
                <a:gd name="T1" fmla="*/ 0 h 1"/>
                <a:gd name="T2" fmla="*/ 8 w 8"/>
                <a:gd name="T3" fmla="*/ 0 h 1"/>
                <a:gd name="T4" fmla="*/ 8 w 8"/>
                <a:gd name="T5" fmla="*/ 0 h 1"/>
                <a:gd name="T6" fmla="*/ 0 60000 65536"/>
                <a:gd name="T7" fmla="*/ 0 60000 65536"/>
                <a:gd name="T8" fmla="*/ 0 60000 65536"/>
                <a:gd name="T9" fmla="*/ 0 w 8"/>
                <a:gd name="T10" fmla="*/ 0 h 1"/>
                <a:gd name="T11" fmla="*/ 8 w 8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8" h="1">
                  <a:moveTo>
                    <a:pt x="0" y="0"/>
                  </a:moveTo>
                  <a:lnTo>
                    <a:pt x="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95" name="Freeform 77"/>
            <xdr:cNvSpPr>
              <a:spLocks/>
            </xdr:cNvSpPr>
          </xdr:nvSpPr>
          <xdr:spPr bwMode="auto">
            <a:xfrm>
              <a:off x="189" y="569"/>
              <a:ext cx="5" cy="3"/>
            </a:xfrm>
            <a:custGeom>
              <a:avLst/>
              <a:gdLst>
                <a:gd name="T0" fmla="*/ 5 w 5"/>
                <a:gd name="T1" fmla="*/ 3 h 3"/>
                <a:gd name="T2" fmla="*/ 0 w 5"/>
                <a:gd name="T3" fmla="*/ 0 h 3"/>
                <a:gd name="T4" fmla="*/ 0 w 5"/>
                <a:gd name="T5" fmla="*/ 0 h 3"/>
                <a:gd name="T6" fmla="*/ 0 60000 65536"/>
                <a:gd name="T7" fmla="*/ 0 60000 65536"/>
                <a:gd name="T8" fmla="*/ 0 60000 65536"/>
                <a:gd name="T9" fmla="*/ 0 w 5"/>
                <a:gd name="T10" fmla="*/ 0 h 3"/>
                <a:gd name="T11" fmla="*/ 5 w 5"/>
                <a:gd name="T12" fmla="*/ 3 h 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5" h="3">
                  <a:moveTo>
                    <a:pt x="5" y="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96" name="Freeform 78"/>
            <xdr:cNvSpPr>
              <a:spLocks/>
            </xdr:cNvSpPr>
          </xdr:nvSpPr>
          <xdr:spPr bwMode="auto">
            <a:xfrm>
              <a:off x="189" y="569"/>
              <a:ext cx="8" cy="1"/>
            </a:xfrm>
            <a:custGeom>
              <a:avLst/>
              <a:gdLst>
                <a:gd name="T0" fmla="*/ 0 w 8"/>
                <a:gd name="T1" fmla="*/ 0 h 1"/>
                <a:gd name="T2" fmla="*/ 8 w 8"/>
                <a:gd name="T3" fmla="*/ 0 h 1"/>
                <a:gd name="T4" fmla="*/ 8 w 8"/>
                <a:gd name="T5" fmla="*/ 0 h 1"/>
                <a:gd name="T6" fmla="*/ 0 60000 65536"/>
                <a:gd name="T7" fmla="*/ 0 60000 65536"/>
                <a:gd name="T8" fmla="*/ 0 60000 65536"/>
                <a:gd name="T9" fmla="*/ 0 w 8"/>
                <a:gd name="T10" fmla="*/ 0 h 1"/>
                <a:gd name="T11" fmla="*/ 8 w 8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8" h="1">
                  <a:moveTo>
                    <a:pt x="0" y="0"/>
                  </a:moveTo>
                  <a:lnTo>
                    <a:pt x="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97" name="Freeform 79"/>
            <xdr:cNvSpPr>
              <a:spLocks/>
            </xdr:cNvSpPr>
          </xdr:nvSpPr>
          <xdr:spPr bwMode="auto">
            <a:xfrm>
              <a:off x="194" y="569"/>
              <a:ext cx="3" cy="3"/>
            </a:xfrm>
            <a:custGeom>
              <a:avLst/>
              <a:gdLst>
                <a:gd name="T0" fmla="*/ 3 w 3"/>
                <a:gd name="T1" fmla="*/ 0 h 3"/>
                <a:gd name="T2" fmla="*/ 0 w 3"/>
                <a:gd name="T3" fmla="*/ 3 h 3"/>
                <a:gd name="T4" fmla="*/ 0 w 3"/>
                <a:gd name="T5" fmla="*/ 3 h 3"/>
                <a:gd name="T6" fmla="*/ 0 60000 65536"/>
                <a:gd name="T7" fmla="*/ 0 60000 65536"/>
                <a:gd name="T8" fmla="*/ 0 60000 65536"/>
                <a:gd name="T9" fmla="*/ 0 w 3"/>
                <a:gd name="T10" fmla="*/ 0 h 3"/>
                <a:gd name="T11" fmla="*/ 3 w 3"/>
                <a:gd name="T12" fmla="*/ 3 h 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" h="3">
                  <a:moveTo>
                    <a:pt x="3" y="0"/>
                  </a:moveTo>
                  <a:lnTo>
                    <a:pt x="0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86</xdr:col>
      <xdr:colOff>0</xdr:colOff>
      <xdr:row>11</xdr:row>
      <xdr:rowOff>0</xdr:rowOff>
    </xdr:from>
    <xdr:to>
      <xdr:col>89</xdr:col>
      <xdr:colOff>133350</xdr:colOff>
      <xdr:row>16</xdr:row>
      <xdr:rowOff>209550</xdr:rowOff>
    </xdr:to>
    <xdr:grpSp>
      <xdr:nvGrpSpPr>
        <xdr:cNvPr id="249351" name="Group 80"/>
        <xdr:cNvGrpSpPr>
          <a:grpSpLocks/>
        </xdr:cNvGrpSpPr>
      </xdr:nvGrpSpPr>
      <xdr:grpSpPr bwMode="auto">
        <a:xfrm>
          <a:off x="28203525" y="2619375"/>
          <a:ext cx="1962150" cy="1266825"/>
          <a:chOff x="89" y="571"/>
          <a:chExt cx="206" cy="164"/>
        </a:xfrm>
      </xdr:grpSpPr>
      <xdr:sp macro="" textlink="">
        <xdr:nvSpPr>
          <xdr:cNvPr id="249352" name="Freeform 81"/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249353" name="Group 82"/>
          <xdr:cNvGrpSpPr>
            <a:grpSpLocks/>
          </xdr:cNvGrpSpPr>
        </xdr:nvGrpSpPr>
        <xdr:grpSpPr bwMode="auto">
          <a:xfrm>
            <a:off x="105" y="616"/>
            <a:ext cx="132" cy="37"/>
            <a:chOff x="105" y="616"/>
            <a:chExt cx="132" cy="37"/>
          </a:xfrm>
        </xdr:grpSpPr>
        <xdr:sp macro="" textlink="">
          <xdr:nvSpPr>
            <xdr:cNvPr id="249364" name="Freeform 83"/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65" name="Freeform 84"/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66" name="Freeform 85"/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67" name="Freeform 86"/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368" name="Freeform 87"/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69" name="Freeform 88"/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370" name="Freeform 89"/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" name="Rectangle 90"/>
            <xdr:cNvSpPr>
              <a:spLocks noChangeArrowheads="1"/>
            </xdr:cNvSpPr>
          </xdr:nvSpPr>
          <xdr:spPr bwMode="auto">
            <a:xfrm>
              <a:off x="105" y="619"/>
              <a:ext cx="26" cy="18"/>
            </a:xfrm>
            <a:prstGeom prst="rect">
              <a:avLst/>
            </a:prstGeom>
            <a:noFill/>
            <a:ln>
              <a:noFill/>
            </a:ln>
            <a:extLst/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249372" name="Freeform 91"/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249354" name="Freeform 92"/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249355" name="Group 93"/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249356" name="Freeform 94"/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57" name="Freeform 95"/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58" name="Freeform 96"/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59" name="Freeform 97"/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360" name="Freeform 98"/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361" name="Freeform 99"/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362" name="Freeform 100"/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3" name="Rectangle 101"/>
            <xdr:cNvSpPr>
              <a:spLocks noChangeArrowheads="1"/>
            </xdr:cNvSpPr>
          </xdr:nvSpPr>
          <xdr:spPr bwMode="auto">
            <a:xfrm rot="10800000">
              <a:off x="259" y="667"/>
              <a:ext cx="31" cy="16"/>
            </a:xfrm>
            <a:prstGeom prst="rect">
              <a:avLst/>
            </a:prstGeom>
            <a:noFill/>
            <a:ln>
              <a:noFill/>
            </a:ln>
            <a:extLst/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0</xdr:row>
          <xdr:rowOff>47625</xdr:rowOff>
        </xdr:from>
        <xdr:to>
          <xdr:col>0</xdr:col>
          <xdr:colOff>228600</xdr:colOff>
          <xdr:row>0</xdr:row>
          <xdr:rowOff>57150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8</xdr:row>
      <xdr:rowOff>238125</xdr:rowOff>
    </xdr:from>
    <xdr:to>
      <xdr:col>18</xdr:col>
      <xdr:colOff>304800</xdr:colOff>
      <xdr:row>15</xdr:row>
      <xdr:rowOff>247650</xdr:rowOff>
    </xdr:to>
    <xdr:grpSp>
      <xdr:nvGrpSpPr>
        <xdr:cNvPr id="246194" name="Group 1"/>
        <xdr:cNvGrpSpPr>
          <a:grpSpLocks/>
        </xdr:cNvGrpSpPr>
      </xdr:nvGrpSpPr>
      <xdr:grpSpPr bwMode="auto">
        <a:xfrm>
          <a:off x="5010150" y="2343150"/>
          <a:ext cx="1724025" cy="1876425"/>
          <a:chOff x="89" y="571"/>
          <a:chExt cx="206" cy="164"/>
        </a:xfrm>
      </xdr:grpSpPr>
      <xdr:sp macro="" textlink="">
        <xdr:nvSpPr>
          <xdr:cNvPr id="246195" name="Freeform 2"/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246196" name="Group 3"/>
          <xdr:cNvGrpSpPr>
            <a:grpSpLocks/>
          </xdr:cNvGrpSpPr>
        </xdr:nvGrpSpPr>
        <xdr:grpSpPr bwMode="auto">
          <a:xfrm>
            <a:off x="105" y="615"/>
            <a:ext cx="132" cy="38"/>
            <a:chOff x="105" y="615"/>
            <a:chExt cx="132" cy="38"/>
          </a:xfrm>
        </xdr:grpSpPr>
        <xdr:sp macro="" textlink="">
          <xdr:nvSpPr>
            <xdr:cNvPr id="246207" name="Freeform 4"/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6208" name="Freeform 5"/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6209" name="Freeform 6"/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6210" name="Freeform 7"/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6211" name="Freeform 8"/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6212" name="Freeform 9"/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6213" name="Freeform 10"/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" name="Rectangle 11"/>
            <xdr:cNvSpPr>
              <a:spLocks noChangeArrowheads="1"/>
            </xdr:cNvSpPr>
          </xdr:nvSpPr>
          <xdr:spPr bwMode="auto">
            <a:xfrm>
              <a:off x="105" y="615"/>
              <a:ext cx="34" cy="1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246215" name="Freeform 12"/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246197" name="Freeform 13"/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grpSp>
        <xdr:nvGrpSpPr>
          <xdr:cNvPr id="246198" name="Group 14"/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246199" name="Freeform 15"/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6200" name="Freeform 16"/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6201" name="Freeform 17"/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6202" name="Freeform 18"/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6203" name="Freeform 19"/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6204" name="Freeform 20"/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6205" name="Freeform 21"/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" name="Rectangle 22"/>
            <xdr:cNvSpPr>
              <a:spLocks noChangeArrowheads="1"/>
            </xdr:cNvSpPr>
          </xdr:nvSpPr>
          <xdr:spPr bwMode="auto">
            <a:xfrm rot="10800000">
              <a:off x="259" y="653"/>
              <a:ext cx="32" cy="8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lnSpc>
                  <a:spcPts val="1100"/>
                </a:lnSpc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9</xdr:row>
      <xdr:rowOff>209550</xdr:rowOff>
    </xdr:from>
    <xdr:to>
      <xdr:col>17</xdr:col>
      <xdr:colOff>0</xdr:colOff>
      <xdr:row>11</xdr:row>
      <xdr:rowOff>219075</xdr:rowOff>
    </xdr:to>
    <xdr:sp macro="" textlink="">
      <xdr:nvSpPr>
        <xdr:cNvPr id="248213" name="Freeform 1"/>
        <xdr:cNvSpPr>
          <a:spLocks/>
        </xdr:cNvSpPr>
      </xdr:nvSpPr>
      <xdr:spPr bwMode="auto">
        <a:xfrm>
          <a:off x="5638800" y="21526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6 h 49"/>
            <a:gd name="T4" fmla="*/ 0 w 599"/>
            <a:gd name="T5" fmla="*/ 2147483646 h 49"/>
            <a:gd name="T6" fmla="*/ 0 w 599"/>
            <a:gd name="T7" fmla="*/ 2147483646 h 49"/>
            <a:gd name="T8" fmla="*/ 0 w 599"/>
            <a:gd name="T9" fmla="*/ 2147483646 h 49"/>
            <a:gd name="T10" fmla="*/ 0 w 599"/>
            <a:gd name="T11" fmla="*/ 2147483646 h 49"/>
            <a:gd name="T12" fmla="*/ 0 w 599"/>
            <a:gd name="T13" fmla="*/ 2147483646 h 49"/>
            <a:gd name="T14" fmla="*/ 0 w 599"/>
            <a:gd name="T15" fmla="*/ 2147483646 h 49"/>
            <a:gd name="T16" fmla="*/ 0 w 599"/>
            <a:gd name="T17" fmla="*/ 2147483646 h 49"/>
            <a:gd name="T18" fmla="*/ 0 w 599"/>
            <a:gd name="T19" fmla="*/ 2147483646 h 49"/>
            <a:gd name="T20" fmla="*/ 0 w 599"/>
            <a:gd name="T21" fmla="*/ 2147483646 h 49"/>
            <a:gd name="T22" fmla="*/ 0 w 599"/>
            <a:gd name="T23" fmla="*/ 2147483646 h 49"/>
            <a:gd name="T24" fmla="*/ 0 w 599"/>
            <a:gd name="T25" fmla="*/ 2147483646 h 49"/>
            <a:gd name="T26" fmla="*/ 0 w 599"/>
            <a:gd name="T27" fmla="*/ 2147483646 h 49"/>
            <a:gd name="T28" fmla="*/ 0 w 599"/>
            <a:gd name="T29" fmla="*/ 2147483646 h 49"/>
            <a:gd name="T30" fmla="*/ 0 w 599"/>
            <a:gd name="T31" fmla="*/ 2147483646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0</xdr:colOff>
      <xdr:row>10</xdr:row>
      <xdr:rowOff>95250</xdr:rowOff>
    </xdr:from>
    <xdr:to>
      <xdr:col>17</xdr:col>
      <xdr:colOff>0</xdr:colOff>
      <xdr:row>10</xdr:row>
      <xdr:rowOff>95250</xdr:rowOff>
    </xdr:to>
    <xdr:sp macro="" textlink="">
      <xdr:nvSpPr>
        <xdr:cNvPr id="248214" name="Line 2"/>
        <xdr:cNvSpPr>
          <a:spLocks noChangeShapeType="1"/>
        </xdr:cNvSpPr>
      </xdr:nvSpPr>
      <xdr:spPr bwMode="auto">
        <a:xfrm>
          <a:off x="5638800" y="227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11</xdr:row>
      <xdr:rowOff>219075</xdr:rowOff>
    </xdr:from>
    <xdr:to>
      <xdr:col>17</xdr:col>
      <xdr:colOff>0</xdr:colOff>
      <xdr:row>12</xdr:row>
      <xdr:rowOff>219075</xdr:rowOff>
    </xdr:to>
    <xdr:sp macro="" textlink="">
      <xdr:nvSpPr>
        <xdr:cNvPr id="248215" name="Freeform 3"/>
        <xdr:cNvSpPr>
          <a:spLocks/>
        </xdr:cNvSpPr>
      </xdr:nvSpPr>
      <xdr:spPr bwMode="auto">
        <a:xfrm>
          <a:off x="5638800" y="26384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6 h 24"/>
            <a:gd name="T4" fmla="*/ 0 w 35"/>
            <a:gd name="T5" fmla="*/ 2147483646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0</xdr:colOff>
      <xdr:row>11</xdr:row>
      <xdr:rowOff>219075</xdr:rowOff>
    </xdr:from>
    <xdr:to>
      <xdr:col>17</xdr:col>
      <xdr:colOff>0</xdr:colOff>
      <xdr:row>12</xdr:row>
      <xdr:rowOff>219075</xdr:rowOff>
    </xdr:to>
    <xdr:sp macro="" textlink="">
      <xdr:nvSpPr>
        <xdr:cNvPr id="248216" name="Line 4"/>
        <xdr:cNvSpPr>
          <a:spLocks noChangeShapeType="1"/>
        </xdr:cNvSpPr>
      </xdr:nvSpPr>
      <xdr:spPr bwMode="auto">
        <a:xfrm>
          <a:off x="5638800" y="26384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7</xdr:row>
      <xdr:rowOff>142875</xdr:rowOff>
    </xdr:from>
    <xdr:to>
      <xdr:col>17</xdr:col>
      <xdr:colOff>0</xdr:colOff>
      <xdr:row>9</xdr:row>
      <xdr:rowOff>0</xdr:rowOff>
    </xdr:to>
    <xdr:grpSp>
      <xdr:nvGrpSpPr>
        <xdr:cNvPr id="248217" name="Group 5"/>
        <xdr:cNvGrpSpPr>
          <a:grpSpLocks/>
        </xdr:cNvGrpSpPr>
      </xdr:nvGrpSpPr>
      <xdr:grpSpPr bwMode="auto">
        <a:xfrm>
          <a:off x="5638800" y="1809750"/>
          <a:ext cx="0" cy="133350"/>
          <a:chOff x="269" y="1224"/>
          <a:chExt cx="216" cy="24"/>
        </a:xfrm>
      </xdr:grpSpPr>
      <xdr:sp macro="" textlink="">
        <xdr:nvSpPr>
          <xdr:cNvPr id="248273" name="Line 6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74" name="Line 7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75" name="Line 8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0</xdr:colOff>
      <xdr:row>12</xdr:row>
      <xdr:rowOff>47625</xdr:rowOff>
    </xdr:from>
    <xdr:to>
      <xdr:col>17</xdr:col>
      <xdr:colOff>0</xdr:colOff>
      <xdr:row>13</xdr:row>
      <xdr:rowOff>57150</xdr:rowOff>
    </xdr:to>
    <xdr:grpSp>
      <xdr:nvGrpSpPr>
        <xdr:cNvPr id="248218" name="Group 9"/>
        <xdr:cNvGrpSpPr>
          <a:grpSpLocks/>
        </xdr:cNvGrpSpPr>
      </xdr:nvGrpSpPr>
      <xdr:grpSpPr bwMode="auto">
        <a:xfrm flipV="1">
          <a:off x="5638800" y="2705100"/>
          <a:ext cx="0" cy="247650"/>
          <a:chOff x="269" y="1224"/>
          <a:chExt cx="216" cy="24"/>
        </a:xfrm>
      </xdr:grpSpPr>
      <xdr:sp macro="" textlink="">
        <xdr:nvSpPr>
          <xdr:cNvPr id="248270" name="Line 10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71" name="Line 11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72" name="Line 12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0</xdr:colOff>
      <xdr:row>6</xdr:row>
      <xdr:rowOff>142875</xdr:rowOff>
    </xdr:from>
    <xdr:to>
      <xdr:col>17</xdr:col>
      <xdr:colOff>0</xdr:colOff>
      <xdr:row>7</xdr:row>
      <xdr:rowOff>219075</xdr:rowOff>
    </xdr:to>
    <xdr:grpSp>
      <xdr:nvGrpSpPr>
        <xdr:cNvPr id="248219" name="Group 13"/>
        <xdr:cNvGrpSpPr>
          <a:grpSpLocks/>
        </xdr:cNvGrpSpPr>
      </xdr:nvGrpSpPr>
      <xdr:grpSpPr bwMode="auto">
        <a:xfrm>
          <a:off x="5638800" y="1571625"/>
          <a:ext cx="0" cy="314325"/>
          <a:chOff x="269" y="1224"/>
          <a:chExt cx="216" cy="24"/>
        </a:xfrm>
      </xdr:grpSpPr>
      <xdr:sp macro="" textlink="">
        <xdr:nvSpPr>
          <xdr:cNvPr id="248267" name="Line 14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68" name="Line 15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69" name="Line 16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0</xdr:colOff>
      <xdr:row>7</xdr:row>
      <xdr:rowOff>142875</xdr:rowOff>
    </xdr:from>
    <xdr:to>
      <xdr:col>17</xdr:col>
      <xdr:colOff>0</xdr:colOff>
      <xdr:row>9</xdr:row>
      <xdr:rowOff>0</xdr:rowOff>
    </xdr:to>
    <xdr:grpSp>
      <xdr:nvGrpSpPr>
        <xdr:cNvPr id="248220" name="Group 17"/>
        <xdr:cNvGrpSpPr>
          <a:grpSpLocks/>
        </xdr:cNvGrpSpPr>
      </xdr:nvGrpSpPr>
      <xdr:grpSpPr bwMode="auto">
        <a:xfrm>
          <a:off x="5638800" y="1809750"/>
          <a:ext cx="0" cy="133350"/>
          <a:chOff x="269" y="1224"/>
          <a:chExt cx="216" cy="24"/>
        </a:xfrm>
      </xdr:grpSpPr>
      <xdr:sp macro="" textlink="">
        <xdr:nvSpPr>
          <xdr:cNvPr id="248264" name="Line 18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65" name="Line 19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66" name="Line 20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0</xdr:colOff>
      <xdr:row>7</xdr:row>
      <xdr:rowOff>142875</xdr:rowOff>
    </xdr:from>
    <xdr:to>
      <xdr:col>17</xdr:col>
      <xdr:colOff>0</xdr:colOff>
      <xdr:row>9</xdr:row>
      <xdr:rowOff>0</xdr:rowOff>
    </xdr:to>
    <xdr:grpSp>
      <xdr:nvGrpSpPr>
        <xdr:cNvPr id="248221" name="Group 21"/>
        <xdr:cNvGrpSpPr>
          <a:grpSpLocks/>
        </xdr:cNvGrpSpPr>
      </xdr:nvGrpSpPr>
      <xdr:grpSpPr bwMode="auto">
        <a:xfrm>
          <a:off x="5638800" y="1809750"/>
          <a:ext cx="0" cy="133350"/>
          <a:chOff x="269" y="1224"/>
          <a:chExt cx="216" cy="24"/>
        </a:xfrm>
      </xdr:grpSpPr>
      <xdr:sp macro="" textlink="">
        <xdr:nvSpPr>
          <xdr:cNvPr id="248261" name="Line 22"/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62" name="Line 23"/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263" name="Line 24"/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180975</xdr:colOff>
      <xdr:row>11</xdr:row>
      <xdr:rowOff>152400</xdr:rowOff>
    </xdr:from>
    <xdr:to>
      <xdr:col>19</xdr:col>
      <xdr:colOff>485775</xdr:colOff>
      <xdr:row>18</xdr:row>
      <xdr:rowOff>180975</xdr:rowOff>
    </xdr:to>
    <xdr:grpSp>
      <xdr:nvGrpSpPr>
        <xdr:cNvPr id="248222" name="Group 25"/>
        <xdr:cNvGrpSpPr>
          <a:grpSpLocks/>
        </xdr:cNvGrpSpPr>
      </xdr:nvGrpSpPr>
      <xdr:grpSpPr bwMode="auto">
        <a:xfrm>
          <a:off x="5819775" y="2571750"/>
          <a:ext cx="1790700" cy="1695450"/>
          <a:chOff x="87" y="531"/>
          <a:chExt cx="201" cy="196"/>
        </a:xfrm>
      </xdr:grpSpPr>
      <xdr:grpSp>
        <xdr:nvGrpSpPr>
          <xdr:cNvPr id="248223" name="Group 26"/>
          <xdr:cNvGrpSpPr>
            <a:grpSpLocks/>
          </xdr:cNvGrpSpPr>
        </xdr:nvGrpSpPr>
        <xdr:grpSpPr bwMode="auto">
          <a:xfrm>
            <a:off x="87" y="531"/>
            <a:ext cx="166" cy="161"/>
            <a:chOff x="87" y="531"/>
            <a:chExt cx="166" cy="161"/>
          </a:xfrm>
        </xdr:grpSpPr>
        <xdr:sp macro="" textlink="">
          <xdr:nvSpPr>
            <xdr:cNvPr id="248248" name="Freeform 27"/>
            <xdr:cNvSpPr>
              <a:spLocks/>
            </xdr:cNvSpPr>
          </xdr:nvSpPr>
          <xdr:spPr bwMode="auto">
            <a:xfrm>
              <a:off x="224" y="664"/>
              <a:ext cx="17" cy="16"/>
            </a:xfrm>
            <a:custGeom>
              <a:avLst/>
              <a:gdLst>
                <a:gd name="T0" fmla="*/ 17 w 17"/>
                <a:gd name="T1" fmla="*/ 0 h 16"/>
                <a:gd name="T2" fmla="*/ 0 w 17"/>
                <a:gd name="T3" fmla="*/ 16 h 16"/>
                <a:gd name="T4" fmla="*/ 0 w 17"/>
                <a:gd name="T5" fmla="*/ 16 h 16"/>
                <a:gd name="T6" fmla="*/ 0 60000 65536"/>
                <a:gd name="T7" fmla="*/ 0 60000 65536"/>
                <a:gd name="T8" fmla="*/ 0 60000 65536"/>
                <a:gd name="T9" fmla="*/ 0 w 17"/>
                <a:gd name="T10" fmla="*/ 0 h 16"/>
                <a:gd name="T11" fmla="*/ 17 w 17"/>
                <a:gd name="T12" fmla="*/ 16 h 1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7" h="16">
                  <a:moveTo>
                    <a:pt x="17" y="0"/>
                  </a:moveTo>
                  <a:lnTo>
                    <a:pt x="0" y="16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grpSp>
          <xdr:nvGrpSpPr>
            <xdr:cNvPr id="248249" name="Group 28"/>
            <xdr:cNvGrpSpPr>
              <a:grpSpLocks/>
            </xdr:cNvGrpSpPr>
          </xdr:nvGrpSpPr>
          <xdr:grpSpPr bwMode="auto">
            <a:xfrm>
              <a:off x="87" y="531"/>
              <a:ext cx="166" cy="161"/>
              <a:chOff x="87" y="531"/>
              <a:chExt cx="166" cy="161"/>
            </a:xfrm>
          </xdr:grpSpPr>
          <xdr:sp macro="" textlink="">
            <xdr:nvSpPr>
              <xdr:cNvPr id="248250" name="Freeform 29"/>
              <xdr:cNvSpPr>
                <a:spLocks/>
              </xdr:cNvSpPr>
            </xdr:nvSpPr>
            <xdr:spPr bwMode="auto">
              <a:xfrm>
                <a:off x="87" y="531"/>
                <a:ext cx="165" cy="1"/>
              </a:xfrm>
              <a:custGeom>
                <a:avLst/>
                <a:gdLst>
                  <a:gd name="T0" fmla="*/ 0 w 165"/>
                  <a:gd name="T1" fmla="*/ 0 h 1"/>
                  <a:gd name="T2" fmla="*/ 165 w 165"/>
                  <a:gd name="T3" fmla="*/ 0 h 1"/>
                  <a:gd name="T4" fmla="*/ 165 w 165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65"/>
                  <a:gd name="T10" fmla="*/ 0 h 1"/>
                  <a:gd name="T11" fmla="*/ 165 w 165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5" h="1">
                    <a:moveTo>
                      <a:pt x="0" y="0"/>
                    </a:moveTo>
                    <a:lnTo>
                      <a:pt x="165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51" name="Freeform 30"/>
              <xdr:cNvSpPr>
                <a:spLocks/>
              </xdr:cNvSpPr>
            </xdr:nvSpPr>
            <xdr:spPr bwMode="auto">
              <a:xfrm>
                <a:off x="252" y="531"/>
                <a:ext cx="1" cy="160"/>
              </a:xfrm>
              <a:custGeom>
                <a:avLst/>
                <a:gdLst>
                  <a:gd name="T0" fmla="*/ 0 w 1"/>
                  <a:gd name="T1" fmla="*/ 0 h 160"/>
                  <a:gd name="T2" fmla="*/ 0 w 1"/>
                  <a:gd name="T3" fmla="*/ 160 h 160"/>
                  <a:gd name="T4" fmla="*/ 0 w 1"/>
                  <a:gd name="T5" fmla="*/ 160 h 160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60"/>
                  <a:gd name="T11" fmla="*/ 1 w 1"/>
                  <a:gd name="T12" fmla="*/ 160 h 16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60">
                    <a:moveTo>
                      <a:pt x="0" y="0"/>
                    </a:moveTo>
                    <a:lnTo>
                      <a:pt x="0" y="16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52" name="Freeform 31"/>
              <xdr:cNvSpPr>
                <a:spLocks/>
              </xdr:cNvSpPr>
            </xdr:nvSpPr>
            <xdr:spPr bwMode="auto">
              <a:xfrm>
                <a:off x="87" y="691"/>
                <a:ext cx="165" cy="1"/>
              </a:xfrm>
              <a:custGeom>
                <a:avLst/>
                <a:gdLst>
                  <a:gd name="T0" fmla="*/ 165 w 165"/>
                  <a:gd name="T1" fmla="*/ 0 h 1"/>
                  <a:gd name="T2" fmla="*/ 0 w 165"/>
                  <a:gd name="T3" fmla="*/ 0 h 1"/>
                  <a:gd name="T4" fmla="*/ 0 w 165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65"/>
                  <a:gd name="T10" fmla="*/ 0 h 1"/>
                  <a:gd name="T11" fmla="*/ 165 w 165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5" h="1">
                    <a:moveTo>
                      <a:pt x="165" y="0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53" name="Freeform 32"/>
              <xdr:cNvSpPr>
                <a:spLocks/>
              </xdr:cNvSpPr>
            </xdr:nvSpPr>
            <xdr:spPr bwMode="auto">
              <a:xfrm>
                <a:off x="87" y="531"/>
                <a:ext cx="1" cy="160"/>
              </a:xfrm>
              <a:custGeom>
                <a:avLst/>
                <a:gdLst>
                  <a:gd name="T0" fmla="*/ 0 w 1"/>
                  <a:gd name="T1" fmla="*/ 160 h 160"/>
                  <a:gd name="T2" fmla="*/ 0 w 1"/>
                  <a:gd name="T3" fmla="*/ 0 h 160"/>
                  <a:gd name="T4" fmla="*/ 0 w 1"/>
                  <a:gd name="T5" fmla="*/ 0 h 160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60"/>
                  <a:gd name="T11" fmla="*/ 1 w 1"/>
                  <a:gd name="T12" fmla="*/ 160 h 16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60">
                    <a:moveTo>
                      <a:pt x="0" y="160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54" name="Freeform 33"/>
              <xdr:cNvSpPr>
                <a:spLocks/>
              </xdr:cNvSpPr>
            </xdr:nvSpPr>
            <xdr:spPr bwMode="auto">
              <a:xfrm>
                <a:off x="99" y="558"/>
                <a:ext cx="1" cy="106"/>
              </a:xfrm>
              <a:custGeom>
                <a:avLst/>
                <a:gdLst>
                  <a:gd name="T0" fmla="*/ 0 w 1"/>
                  <a:gd name="T1" fmla="*/ 106 h 106"/>
                  <a:gd name="T2" fmla="*/ 0 w 1"/>
                  <a:gd name="T3" fmla="*/ 0 h 106"/>
                  <a:gd name="T4" fmla="*/ 0 w 1"/>
                  <a:gd name="T5" fmla="*/ 0 h 106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06"/>
                  <a:gd name="T11" fmla="*/ 1 w 1"/>
                  <a:gd name="T12" fmla="*/ 106 h 10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06">
                    <a:moveTo>
                      <a:pt x="0" y="106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55" name="Freeform 34"/>
              <xdr:cNvSpPr>
                <a:spLocks/>
              </xdr:cNvSpPr>
            </xdr:nvSpPr>
            <xdr:spPr bwMode="auto">
              <a:xfrm>
                <a:off x="241" y="558"/>
                <a:ext cx="1" cy="106"/>
              </a:xfrm>
              <a:custGeom>
                <a:avLst/>
                <a:gdLst>
                  <a:gd name="T0" fmla="*/ 0 w 1"/>
                  <a:gd name="T1" fmla="*/ 0 h 106"/>
                  <a:gd name="T2" fmla="*/ 0 w 1"/>
                  <a:gd name="T3" fmla="*/ 106 h 106"/>
                  <a:gd name="T4" fmla="*/ 0 w 1"/>
                  <a:gd name="T5" fmla="*/ 106 h 106"/>
                  <a:gd name="T6" fmla="*/ 0 60000 65536"/>
                  <a:gd name="T7" fmla="*/ 0 60000 65536"/>
                  <a:gd name="T8" fmla="*/ 0 60000 65536"/>
                  <a:gd name="T9" fmla="*/ 0 w 1"/>
                  <a:gd name="T10" fmla="*/ 0 h 106"/>
                  <a:gd name="T11" fmla="*/ 1 w 1"/>
                  <a:gd name="T12" fmla="*/ 106 h 10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" h="106">
                    <a:moveTo>
                      <a:pt x="0" y="0"/>
                    </a:moveTo>
                    <a:lnTo>
                      <a:pt x="0" y="106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56" name="Freeform 35"/>
              <xdr:cNvSpPr>
                <a:spLocks/>
              </xdr:cNvSpPr>
            </xdr:nvSpPr>
            <xdr:spPr bwMode="auto">
              <a:xfrm>
                <a:off x="115" y="542"/>
                <a:ext cx="109" cy="1"/>
              </a:xfrm>
              <a:custGeom>
                <a:avLst/>
                <a:gdLst>
                  <a:gd name="T0" fmla="*/ 0 w 109"/>
                  <a:gd name="T1" fmla="*/ 0 h 1"/>
                  <a:gd name="T2" fmla="*/ 109 w 109"/>
                  <a:gd name="T3" fmla="*/ 0 h 1"/>
                  <a:gd name="T4" fmla="*/ 109 w 109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09"/>
                  <a:gd name="T10" fmla="*/ 0 h 1"/>
                  <a:gd name="T11" fmla="*/ 109 w 109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09" h="1">
                    <a:moveTo>
                      <a:pt x="0" y="0"/>
                    </a:moveTo>
                    <a:lnTo>
                      <a:pt x="109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57" name="Freeform 36"/>
              <xdr:cNvSpPr>
                <a:spLocks/>
              </xdr:cNvSpPr>
            </xdr:nvSpPr>
            <xdr:spPr bwMode="auto">
              <a:xfrm>
                <a:off x="115" y="680"/>
                <a:ext cx="109" cy="1"/>
              </a:xfrm>
              <a:custGeom>
                <a:avLst/>
                <a:gdLst>
                  <a:gd name="T0" fmla="*/ 109 w 109"/>
                  <a:gd name="T1" fmla="*/ 0 h 1"/>
                  <a:gd name="T2" fmla="*/ 0 w 109"/>
                  <a:gd name="T3" fmla="*/ 0 h 1"/>
                  <a:gd name="T4" fmla="*/ 0 w 109"/>
                  <a:gd name="T5" fmla="*/ 0 h 1"/>
                  <a:gd name="T6" fmla="*/ 0 60000 65536"/>
                  <a:gd name="T7" fmla="*/ 0 60000 65536"/>
                  <a:gd name="T8" fmla="*/ 0 60000 65536"/>
                  <a:gd name="T9" fmla="*/ 0 w 109"/>
                  <a:gd name="T10" fmla="*/ 0 h 1"/>
                  <a:gd name="T11" fmla="*/ 109 w 109"/>
                  <a:gd name="T12" fmla="*/ 1 h 1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09" h="1">
                    <a:moveTo>
                      <a:pt x="109" y="0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58" name="Freeform 37"/>
              <xdr:cNvSpPr>
                <a:spLocks/>
              </xdr:cNvSpPr>
            </xdr:nvSpPr>
            <xdr:spPr bwMode="auto">
              <a:xfrm>
                <a:off x="99" y="542"/>
                <a:ext cx="16" cy="16"/>
              </a:xfrm>
              <a:custGeom>
                <a:avLst/>
                <a:gdLst>
                  <a:gd name="T0" fmla="*/ 0 w 16"/>
                  <a:gd name="T1" fmla="*/ 16 h 16"/>
                  <a:gd name="T2" fmla="*/ 16 w 16"/>
                  <a:gd name="T3" fmla="*/ 0 h 16"/>
                  <a:gd name="T4" fmla="*/ 16 w 16"/>
                  <a:gd name="T5" fmla="*/ 0 h 16"/>
                  <a:gd name="T6" fmla="*/ 0 60000 65536"/>
                  <a:gd name="T7" fmla="*/ 0 60000 65536"/>
                  <a:gd name="T8" fmla="*/ 0 60000 65536"/>
                  <a:gd name="T9" fmla="*/ 0 w 16"/>
                  <a:gd name="T10" fmla="*/ 0 h 16"/>
                  <a:gd name="T11" fmla="*/ 16 w 16"/>
                  <a:gd name="T12" fmla="*/ 16 h 1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" h="16">
                    <a:moveTo>
                      <a:pt x="0" y="16"/>
                    </a:moveTo>
                    <a:lnTo>
                      <a:pt x="16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59" name="Freeform 38"/>
              <xdr:cNvSpPr>
                <a:spLocks/>
              </xdr:cNvSpPr>
            </xdr:nvSpPr>
            <xdr:spPr bwMode="auto">
              <a:xfrm>
                <a:off x="224" y="542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17 w 17"/>
                  <a:gd name="T3" fmla="*/ 16 h 16"/>
                  <a:gd name="T4" fmla="*/ 17 w 17"/>
                  <a:gd name="T5" fmla="*/ 16 h 16"/>
                  <a:gd name="T6" fmla="*/ 0 60000 65536"/>
                  <a:gd name="T7" fmla="*/ 0 60000 65536"/>
                  <a:gd name="T8" fmla="*/ 0 60000 65536"/>
                  <a:gd name="T9" fmla="*/ 0 w 17"/>
                  <a:gd name="T10" fmla="*/ 0 h 16"/>
                  <a:gd name="T11" fmla="*/ 17 w 17"/>
                  <a:gd name="T12" fmla="*/ 16 h 1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7" h="16">
                    <a:moveTo>
                      <a:pt x="0" y="0"/>
                    </a:moveTo>
                    <a:lnTo>
                      <a:pt x="17" y="16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48260" name="Freeform 39"/>
              <xdr:cNvSpPr>
                <a:spLocks/>
              </xdr:cNvSpPr>
            </xdr:nvSpPr>
            <xdr:spPr bwMode="auto">
              <a:xfrm>
                <a:off x="99" y="664"/>
                <a:ext cx="16" cy="16"/>
              </a:xfrm>
              <a:custGeom>
                <a:avLst/>
                <a:gdLst>
                  <a:gd name="T0" fmla="*/ 16 w 16"/>
                  <a:gd name="T1" fmla="*/ 16 h 16"/>
                  <a:gd name="T2" fmla="*/ 0 w 16"/>
                  <a:gd name="T3" fmla="*/ 0 h 16"/>
                  <a:gd name="T4" fmla="*/ 0 w 16"/>
                  <a:gd name="T5" fmla="*/ 0 h 16"/>
                  <a:gd name="T6" fmla="*/ 0 60000 65536"/>
                  <a:gd name="T7" fmla="*/ 0 60000 65536"/>
                  <a:gd name="T8" fmla="*/ 0 60000 65536"/>
                  <a:gd name="T9" fmla="*/ 0 w 16"/>
                  <a:gd name="T10" fmla="*/ 0 h 16"/>
                  <a:gd name="T11" fmla="*/ 16 w 16"/>
                  <a:gd name="T12" fmla="*/ 16 h 16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6" h="16">
                    <a:moveTo>
                      <a:pt x="16" y="16"/>
                    </a:moveTo>
                    <a:lnTo>
                      <a:pt x="0" y="0"/>
                    </a:lnTo>
                  </a:path>
                </a:pathLst>
              </a:cu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grpSp>
        <xdr:nvGrpSpPr>
          <xdr:cNvPr id="248224" name="Group 40"/>
          <xdr:cNvGrpSpPr>
            <a:grpSpLocks/>
          </xdr:cNvGrpSpPr>
        </xdr:nvGrpSpPr>
        <xdr:grpSpPr bwMode="auto">
          <a:xfrm>
            <a:off x="99" y="542"/>
            <a:ext cx="189" cy="185"/>
            <a:chOff x="99" y="542"/>
            <a:chExt cx="189" cy="185"/>
          </a:xfrm>
        </xdr:grpSpPr>
        <xdr:sp macro="" textlink="">
          <xdr:nvSpPr>
            <xdr:cNvPr id="248225" name="Freeform 41"/>
            <xdr:cNvSpPr>
              <a:spLocks/>
            </xdr:cNvSpPr>
          </xdr:nvSpPr>
          <xdr:spPr bwMode="auto">
            <a:xfrm>
              <a:off x="99" y="572"/>
              <a:ext cx="142" cy="1"/>
            </a:xfrm>
            <a:custGeom>
              <a:avLst/>
              <a:gdLst>
                <a:gd name="T0" fmla="*/ 0 w 142"/>
                <a:gd name="T1" fmla="*/ 0 h 1"/>
                <a:gd name="T2" fmla="*/ 142 w 142"/>
                <a:gd name="T3" fmla="*/ 0 h 1"/>
                <a:gd name="T4" fmla="*/ 142 w 142"/>
                <a:gd name="T5" fmla="*/ 0 h 1"/>
                <a:gd name="T6" fmla="*/ 0 60000 65536"/>
                <a:gd name="T7" fmla="*/ 0 60000 65536"/>
                <a:gd name="T8" fmla="*/ 0 60000 65536"/>
                <a:gd name="T9" fmla="*/ 0 w 142"/>
                <a:gd name="T10" fmla="*/ 0 h 1"/>
                <a:gd name="T11" fmla="*/ 142 w 142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42" h="1">
                  <a:moveTo>
                    <a:pt x="0" y="0"/>
                  </a:moveTo>
                  <a:lnTo>
                    <a:pt x="14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26" name="Freeform 42"/>
            <xdr:cNvSpPr>
              <a:spLocks/>
            </xdr:cNvSpPr>
          </xdr:nvSpPr>
          <xdr:spPr bwMode="auto">
            <a:xfrm>
              <a:off x="99" y="701"/>
              <a:ext cx="1" cy="26"/>
            </a:xfrm>
            <a:custGeom>
              <a:avLst/>
              <a:gdLst>
                <a:gd name="T0" fmla="*/ 0 w 1"/>
                <a:gd name="T1" fmla="*/ 0 h 26"/>
                <a:gd name="T2" fmla="*/ 0 w 1"/>
                <a:gd name="T3" fmla="*/ 26 h 26"/>
                <a:gd name="T4" fmla="*/ 0 w 1"/>
                <a:gd name="T5" fmla="*/ 26 h 26"/>
                <a:gd name="T6" fmla="*/ 0 60000 65536"/>
                <a:gd name="T7" fmla="*/ 0 60000 65536"/>
                <a:gd name="T8" fmla="*/ 0 60000 65536"/>
                <a:gd name="T9" fmla="*/ 0 w 1"/>
                <a:gd name="T10" fmla="*/ 0 h 26"/>
                <a:gd name="T11" fmla="*/ 1 w 1"/>
                <a:gd name="T12" fmla="*/ 26 h 2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26">
                  <a:moveTo>
                    <a:pt x="0" y="0"/>
                  </a:moveTo>
                  <a:lnTo>
                    <a:pt x="0" y="2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27" name="Freeform 43"/>
            <xdr:cNvSpPr>
              <a:spLocks/>
            </xdr:cNvSpPr>
          </xdr:nvSpPr>
          <xdr:spPr bwMode="auto">
            <a:xfrm>
              <a:off x="241" y="701"/>
              <a:ext cx="1" cy="26"/>
            </a:xfrm>
            <a:custGeom>
              <a:avLst/>
              <a:gdLst>
                <a:gd name="T0" fmla="*/ 0 w 1"/>
                <a:gd name="T1" fmla="*/ 0 h 26"/>
                <a:gd name="T2" fmla="*/ 0 w 1"/>
                <a:gd name="T3" fmla="*/ 26 h 26"/>
                <a:gd name="T4" fmla="*/ 0 w 1"/>
                <a:gd name="T5" fmla="*/ 26 h 26"/>
                <a:gd name="T6" fmla="*/ 0 60000 65536"/>
                <a:gd name="T7" fmla="*/ 0 60000 65536"/>
                <a:gd name="T8" fmla="*/ 0 60000 65536"/>
                <a:gd name="T9" fmla="*/ 0 w 1"/>
                <a:gd name="T10" fmla="*/ 0 h 26"/>
                <a:gd name="T11" fmla="*/ 1 w 1"/>
                <a:gd name="T12" fmla="*/ 26 h 2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26">
                  <a:moveTo>
                    <a:pt x="0" y="0"/>
                  </a:moveTo>
                  <a:lnTo>
                    <a:pt x="0" y="2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28" name="Freeform 44"/>
            <xdr:cNvSpPr>
              <a:spLocks/>
            </xdr:cNvSpPr>
          </xdr:nvSpPr>
          <xdr:spPr bwMode="auto">
            <a:xfrm>
              <a:off x="105" y="721"/>
              <a:ext cx="48" cy="1"/>
            </a:xfrm>
            <a:custGeom>
              <a:avLst/>
              <a:gdLst>
                <a:gd name="T0" fmla="*/ 0 w 48"/>
                <a:gd name="T1" fmla="*/ 0 h 1"/>
                <a:gd name="T2" fmla="*/ 48 w 48"/>
                <a:gd name="T3" fmla="*/ 0 h 1"/>
                <a:gd name="T4" fmla="*/ 48 w 48"/>
                <a:gd name="T5" fmla="*/ 0 h 1"/>
                <a:gd name="T6" fmla="*/ 0 60000 65536"/>
                <a:gd name="T7" fmla="*/ 0 60000 65536"/>
                <a:gd name="T8" fmla="*/ 0 60000 65536"/>
                <a:gd name="T9" fmla="*/ 0 w 48"/>
                <a:gd name="T10" fmla="*/ 0 h 1"/>
                <a:gd name="T11" fmla="*/ 48 w 48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8" h="1">
                  <a:moveTo>
                    <a:pt x="0" y="0"/>
                  </a:moveTo>
                  <a:lnTo>
                    <a:pt x="4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29" name="Freeform 45"/>
            <xdr:cNvSpPr>
              <a:spLocks/>
            </xdr:cNvSpPr>
          </xdr:nvSpPr>
          <xdr:spPr bwMode="auto">
            <a:xfrm>
              <a:off x="186" y="721"/>
              <a:ext cx="49" cy="1"/>
            </a:xfrm>
            <a:custGeom>
              <a:avLst/>
              <a:gdLst>
                <a:gd name="T0" fmla="*/ 49 w 49"/>
                <a:gd name="T1" fmla="*/ 0 h 1"/>
                <a:gd name="T2" fmla="*/ 0 w 49"/>
                <a:gd name="T3" fmla="*/ 0 h 1"/>
                <a:gd name="T4" fmla="*/ 0 w 49"/>
                <a:gd name="T5" fmla="*/ 0 h 1"/>
                <a:gd name="T6" fmla="*/ 0 60000 65536"/>
                <a:gd name="T7" fmla="*/ 0 60000 65536"/>
                <a:gd name="T8" fmla="*/ 0 60000 65536"/>
                <a:gd name="T9" fmla="*/ 0 w 49"/>
                <a:gd name="T10" fmla="*/ 0 h 1"/>
                <a:gd name="T11" fmla="*/ 49 w 49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9" h="1">
                  <a:moveTo>
                    <a:pt x="49" y="0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30" name="Freeform 46"/>
            <xdr:cNvSpPr>
              <a:spLocks/>
            </xdr:cNvSpPr>
          </xdr:nvSpPr>
          <xdr:spPr bwMode="auto">
            <a:xfrm>
              <a:off x="99" y="720"/>
              <a:ext cx="6" cy="2"/>
            </a:xfrm>
            <a:custGeom>
              <a:avLst/>
              <a:gdLst>
                <a:gd name="T0" fmla="*/ 6 w 6"/>
                <a:gd name="T1" fmla="*/ 0 h 2"/>
                <a:gd name="T2" fmla="*/ 6 w 6"/>
                <a:gd name="T3" fmla="*/ 2 h 2"/>
                <a:gd name="T4" fmla="*/ 0 w 6"/>
                <a:gd name="T5" fmla="*/ 1 h 2"/>
                <a:gd name="T6" fmla="*/ 6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6" y="0"/>
                  </a:moveTo>
                  <a:lnTo>
                    <a:pt x="6" y="2"/>
                  </a:lnTo>
                  <a:lnTo>
                    <a:pt x="0" y="1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8231" name="Freeform 47"/>
            <xdr:cNvSpPr>
              <a:spLocks/>
            </xdr:cNvSpPr>
          </xdr:nvSpPr>
          <xdr:spPr bwMode="auto">
            <a:xfrm>
              <a:off x="99" y="720"/>
              <a:ext cx="6" cy="2"/>
            </a:xfrm>
            <a:custGeom>
              <a:avLst/>
              <a:gdLst>
                <a:gd name="T0" fmla="*/ 6 w 6"/>
                <a:gd name="T1" fmla="*/ 0 h 2"/>
                <a:gd name="T2" fmla="*/ 6 w 6"/>
                <a:gd name="T3" fmla="*/ 2 h 2"/>
                <a:gd name="T4" fmla="*/ 0 w 6"/>
                <a:gd name="T5" fmla="*/ 1 h 2"/>
                <a:gd name="T6" fmla="*/ 6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6" y="0"/>
                  </a:moveTo>
                  <a:lnTo>
                    <a:pt x="6" y="2"/>
                  </a:lnTo>
                  <a:lnTo>
                    <a:pt x="0" y="1"/>
                  </a:ln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32" name="Freeform 48"/>
            <xdr:cNvSpPr>
              <a:spLocks/>
            </xdr:cNvSpPr>
          </xdr:nvSpPr>
          <xdr:spPr bwMode="auto">
            <a:xfrm>
              <a:off x="235" y="720"/>
              <a:ext cx="6" cy="2"/>
            </a:xfrm>
            <a:custGeom>
              <a:avLst/>
              <a:gdLst>
                <a:gd name="T0" fmla="*/ 0 w 6"/>
                <a:gd name="T1" fmla="*/ 0 h 2"/>
                <a:gd name="T2" fmla="*/ 0 w 6"/>
                <a:gd name="T3" fmla="*/ 2 h 2"/>
                <a:gd name="T4" fmla="*/ 6 w 6"/>
                <a:gd name="T5" fmla="*/ 1 h 2"/>
                <a:gd name="T6" fmla="*/ 0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0" y="0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8233" name="Freeform 49"/>
            <xdr:cNvSpPr>
              <a:spLocks/>
            </xdr:cNvSpPr>
          </xdr:nvSpPr>
          <xdr:spPr bwMode="auto">
            <a:xfrm>
              <a:off x="235" y="720"/>
              <a:ext cx="6" cy="2"/>
            </a:xfrm>
            <a:custGeom>
              <a:avLst/>
              <a:gdLst>
                <a:gd name="T0" fmla="*/ 0 w 6"/>
                <a:gd name="T1" fmla="*/ 0 h 2"/>
                <a:gd name="T2" fmla="*/ 0 w 6"/>
                <a:gd name="T3" fmla="*/ 2 h 2"/>
                <a:gd name="T4" fmla="*/ 6 w 6"/>
                <a:gd name="T5" fmla="*/ 1 h 2"/>
                <a:gd name="T6" fmla="*/ 0 w 6"/>
                <a:gd name="T7" fmla="*/ 0 h 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2"/>
                <a:gd name="T14" fmla="*/ 6 w 6"/>
                <a:gd name="T15" fmla="*/ 2 h 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2">
                  <a:moveTo>
                    <a:pt x="0" y="0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34" name="Freeform 50"/>
            <xdr:cNvSpPr>
              <a:spLocks/>
            </xdr:cNvSpPr>
          </xdr:nvSpPr>
          <xdr:spPr bwMode="auto">
            <a:xfrm>
              <a:off x="263" y="542"/>
              <a:ext cx="25" cy="1"/>
            </a:xfrm>
            <a:custGeom>
              <a:avLst/>
              <a:gdLst>
                <a:gd name="T0" fmla="*/ 0 w 25"/>
                <a:gd name="T1" fmla="*/ 0 h 1"/>
                <a:gd name="T2" fmla="*/ 25 w 25"/>
                <a:gd name="T3" fmla="*/ 0 h 1"/>
                <a:gd name="T4" fmla="*/ 25 w 25"/>
                <a:gd name="T5" fmla="*/ 0 h 1"/>
                <a:gd name="T6" fmla="*/ 0 60000 65536"/>
                <a:gd name="T7" fmla="*/ 0 60000 65536"/>
                <a:gd name="T8" fmla="*/ 0 60000 65536"/>
                <a:gd name="T9" fmla="*/ 0 w 25"/>
                <a:gd name="T10" fmla="*/ 0 h 1"/>
                <a:gd name="T11" fmla="*/ 25 w 25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5" h="1">
                  <a:moveTo>
                    <a:pt x="0" y="0"/>
                  </a:move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35" name="Freeform 51"/>
            <xdr:cNvSpPr>
              <a:spLocks/>
            </xdr:cNvSpPr>
          </xdr:nvSpPr>
          <xdr:spPr bwMode="auto">
            <a:xfrm>
              <a:off x="263" y="680"/>
              <a:ext cx="25" cy="1"/>
            </a:xfrm>
            <a:custGeom>
              <a:avLst/>
              <a:gdLst>
                <a:gd name="T0" fmla="*/ 0 w 25"/>
                <a:gd name="T1" fmla="*/ 0 h 1"/>
                <a:gd name="T2" fmla="*/ 25 w 25"/>
                <a:gd name="T3" fmla="*/ 0 h 1"/>
                <a:gd name="T4" fmla="*/ 25 w 25"/>
                <a:gd name="T5" fmla="*/ 0 h 1"/>
                <a:gd name="T6" fmla="*/ 0 60000 65536"/>
                <a:gd name="T7" fmla="*/ 0 60000 65536"/>
                <a:gd name="T8" fmla="*/ 0 60000 65536"/>
                <a:gd name="T9" fmla="*/ 0 w 25"/>
                <a:gd name="T10" fmla="*/ 0 h 1"/>
                <a:gd name="T11" fmla="*/ 25 w 25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5" h="1">
                  <a:moveTo>
                    <a:pt x="0" y="0"/>
                  </a:move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36" name="Freeform 52"/>
            <xdr:cNvSpPr>
              <a:spLocks/>
            </xdr:cNvSpPr>
          </xdr:nvSpPr>
          <xdr:spPr bwMode="auto">
            <a:xfrm>
              <a:off x="282" y="548"/>
              <a:ext cx="1" cy="54"/>
            </a:xfrm>
            <a:custGeom>
              <a:avLst/>
              <a:gdLst>
                <a:gd name="T0" fmla="*/ 0 w 1"/>
                <a:gd name="T1" fmla="*/ 0 h 54"/>
                <a:gd name="T2" fmla="*/ 0 w 1"/>
                <a:gd name="T3" fmla="*/ 54 h 54"/>
                <a:gd name="T4" fmla="*/ 0 w 1"/>
                <a:gd name="T5" fmla="*/ 54 h 54"/>
                <a:gd name="T6" fmla="*/ 0 60000 65536"/>
                <a:gd name="T7" fmla="*/ 0 60000 65536"/>
                <a:gd name="T8" fmla="*/ 0 60000 65536"/>
                <a:gd name="T9" fmla="*/ 0 w 1"/>
                <a:gd name="T10" fmla="*/ 0 h 54"/>
                <a:gd name="T11" fmla="*/ 1 w 1"/>
                <a:gd name="T12" fmla="*/ 54 h 54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54">
                  <a:moveTo>
                    <a:pt x="0" y="0"/>
                  </a:moveTo>
                  <a:lnTo>
                    <a:pt x="0" y="54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37" name="Freeform 53"/>
            <xdr:cNvSpPr>
              <a:spLocks/>
            </xdr:cNvSpPr>
          </xdr:nvSpPr>
          <xdr:spPr bwMode="auto">
            <a:xfrm>
              <a:off x="282" y="618"/>
              <a:ext cx="1" cy="56"/>
            </a:xfrm>
            <a:custGeom>
              <a:avLst/>
              <a:gdLst>
                <a:gd name="T0" fmla="*/ 0 w 1"/>
                <a:gd name="T1" fmla="*/ 56 h 56"/>
                <a:gd name="T2" fmla="*/ 0 w 1"/>
                <a:gd name="T3" fmla="*/ 0 h 56"/>
                <a:gd name="T4" fmla="*/ 0 w 1"/>
                <a:gd name="T5" fmla="*/ 0 h 56"/>
                <a:gd name="T6" fmla="*/ 0 60000 65536"/>
                <a:gd name="T7" fmla="*/ 0 60000 65536"/>
                <a:gd name="T8" fmla="*/ 0 60000 65536"/>
                <a:gd name="T9" fmla="*/ 0 w 1"/>
                <a:gd name="T10" fmla="*/ 0 h 56"/>
                <a:gd name="T11" fmla="*/ 1 w 1"/>
                <a:gd name="T12" fmla="*/ 56 h 5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56">
                  <a:moveTo>
                    <a:pt x="0" y="5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38" name="Freeform 54"/>
            <xdr:cNvSpPr>
              <a:spLocks/>
            </xdr:cNvSpPr>
          </xdr:nvSpPr>
          <xdr:spPr bwMode="auto">
            <a:xfrm>
              <a:off x="281" y="542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8239" name="Freeform 55"/>
            <xdr:cNvSpPr>
              <a:spLocks/>
            </xdr:cNvSpPr>
          </xdr:nvSpPr>
          <xdr:spPr bwMode="auto">
            <a:xfrm>
              <a:off x="281" y="542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40" name="Freeform 56"/>
            <xdr:cNvSpPr>
              <a:spLocks/>
            </xdr:cNvSpPr>
          </xdr:nvSpPr>
          <xdr:spPr bwMode="auto">
            <a:xfrm>
              <a:off x="281" y="674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0 h 6"/>
                <a:gd name="T4" fmla="*/ 1 w 2"/>
                <a:gd name="T5" fmla="*/ 6 h 6"/>
                <a:gd name="T6" fmla="*/ 0 w 2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0"/>
                  </a:moveTo>
                  <a:lnTo>
                    <a:pt x="2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8241" name="Freeform 57"/>
            <xdr:cNvSpPr>
              <a:spLocks/>
            </xdr:cNvSpPr>
          </xdr:nvSpPr>
          <xdr:spPr bwMode="auto">
            <a:xfrm>
              <a:off x="281" y="674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0 h 6"/>
                <a:gd name="T4" fmla="*/ 1 w 2"/>
                <a:gd name="T5" fmla="*/ 6 h 6"/>
                <a:gd name="T6" fmla="*/ 0 w 2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0"/>
                  </a:moveTo>
                  <a:lnTo>
                    <a:pt x="2" y="0"/>
                  </a:lnTo>
                  <a:lnTo>
                    <a:pt x="1" y="6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42" name="Freeform 58"/>
            <xdr:cNvSpPr>
              <a:spLocks/>
            </xdr:cNvSpPr>
          </xdr:nvSpPr>
          <xdr:spPr bwMode="auto">
            <a:xfrm>
              <a:off x="186" y="574"/>
              <a:ext cx="15" cy="1"/>
            </a:xfrm>
            <a:custGeom>
              <a:avLst/>
              <a:gdLst>
                <a:gd name="T0" fmla="*/ 0 w 15"/>
                <a:gd name="T1" fmla="*/ 0 h 1"/>
                <a:gd name="T2" fmla="*/ 15 w 15"/>
                <a:gd name="T3" fmla="*/ 0 h 1"/>
                <a:gd name="T4" fmla="*/ 15 w 15"/>
                <a:gd name="T5" fmla="*/ 0 h 1"/>
                <a:gd name="T6" fmla="*/ 0 60000 65536"/>
                <a:gd name="T7" fmla="*/ 0 60000 65536"/>
                <a:gd name="T8" fmla="*/ 0 60000 65536"/>
                <a:gd name="T9" fmla="*/ 0 w 15"/>
                <a:gd name="T10" fmla="*/ 0 h 1"/>
                <a:gd name="T11" fmla="*/ 15 w 15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5" h="1">
                  <a:moveTo>
                    <a:pt x="0" y="0"/>
                  </a:moveTo>
                  <a:lnTo>
                    <a:pt x="15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43" name="Freeform 59"/>
            <xdr:cNvSpPr>
              <a:spLocks/>
            </xdr:cNvSpPr>
          </xdr:nvSpPr>
          <xdr:spPr bwMode="auto">
            <a:xfrm>
              <a:off x="192" y="577"/>
              <a:ext cx="3" cy="1"/>
            </a:xfrm>
            <a:custGeom>
              <a:avLst/>
              <a:gdLst>
                <a:gd name="T0" fmla="*/ 0 w 3"/>
                <a:gd name="T1" fmla="*/ 0 h 1"/>
                <a:gd name="T2" fmla="*/ 3 w 3"/>
                <a:gd name="T3" fmla="*/ 0 h 1"/>
                <a:gd name="T4" fmla="*/ 3 w 3"/>
                <a:gd name="T5" fmla="*/ 0 h 1"/>
                <a:gd name="T6" fmla="*/ 0 60000 65536"/>
                <a:gd name="T7" fmla="*/ 0 60000 65536"/>
                <a:gd name="T8" fmla="*/ 0 60000 65536"/>
                <a:gd name="T9" fmla="*/ 0 w 3"/>
                <a:gd name="T10" fmla="*/ 0 h 1"/>
                <a:gd name="T11" fmla="*/ 3 w 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" h="1">
                  <a:moveTo>
                    <a:pt x="0" y="0"/>
                  </a:move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44" name="Freeform 60"/>
            <xdr:cNvSpPr>
              <a:spLocks/>
            </xdr:cNvSpPr>
          </xdr:nvSpPr>
          <xdr:spPr bwMode="auto">
            <a:xfrm>
              <a:off x="190" y="575"/>
              <a:ext cx="8" cy="1"/>
            </a:xfrm>
            <a:custGeom>
              <a:avLst/>
              <a:gdLst>
                <a:gd name="T0" fmla="*/ 0 w 8"/>
                <a:gd name="T1" fmla="*/ 0 h 1"/>
                <a:gd name="T2" fmla="*/ 8 w 8"/>
                <a:gd name="T3" fmla="*/ 0 h 1"/>
                <a:gd name="T4" fmla="*/ 8 w 8"/>
                <a:gd name="T5" fmla="*/ 0 h 1"/>
                <a:gd name="T6" fmla="*/ 0 60000 65536"/>
                <a:gd name="T7" fmla="*/ 0 60000 65536"/>
                <a:gd name="T8" fmla="*/ 0 60000 65536"/>
                <a:gd name="T9" fmla="*/ 0 w 8"/>
                <a:gd name="T10" fmla="*/ 0 h 1"/>
                <a:gd name="T11" fmla="*/ 8 w 8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8" h="1">
                  <a:moveTo>
                    <a:pt x="0" y="0"/>
                  </a:moveTo>
                  <a:lnTo>
                    <a:pt x="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45" name="Freeform 61"/>
            <xdr:cNvSpPr>
              <a:spLocks/>
            </xdr:cNvSpPr>
          </xdr:nvSpPr>
          <xdr:spPr bwMode="auto">
            <a:xfrm>
              <a:off x="189" y="569"/>
              <a:ext cx="5" cy="3"/>
            </a:xfrm>
            <a:custGeom>
              <a:avLst/>
              <a:gdLst>
                <a:gd name="T0" fmla="*/ 5 w 5"/>
                <a:gd name="T1" fmla="*/ 3 h 3"/>
                <a:gd name="T2" fmla="*/ 0 w 5"/>
                <a:gd name="T3" fmla="*/ 0 h 3"/>
                <a:gd name="T4" fmla="*/ 0 w 5"/>
                <a:gd name="T5" fmla="*/ 0 h 3"/>
                <a:gd name="T6" fmla="*/ 0 60000 65536"/>
                <a:gd name="T7" fmla="*/ 0 60000 65536"/>
                <a:gd name="T8" fmla="*/ 0 60000 65536"/>
                <a:gd name="T9" fmla="*/ 0 w 5"/>
                <a:gd name="T10" fmla="*/ 0 h 3"/>
                <a:gd name="T11" fmla="*/ 5 w 5"/>
                <a:gd name="T12" fmla="*/ 3 h 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5" h="3">
                  <a:moveTo>
                    <a:pt x="5" y="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46" name="Freeform 62"/>
            <xdr:cNvSpPr>
              <a:spLocks/>
            </xdr:cNvSpPr>
          </xdr:nvSpPr>
          <xdr:spPr bwMode="auto">
            <a:xfrm>
              <a:off x="189" y="569"/>
              <a:ext cx="8" cy="1"/>
            </a:xfrm>
            <a:custGeom>
              <a:avLst/>
              <a:gdLst>
                <a:gd name="T0" fmla="*/ 0 w 8"/>
                <a:gd name="T1" fmla="*/ 0 h 1"/>
                <a:gd name="T2" fmla="*/ 8 w 8"/>
                <a:gd name="T3" fmla="*/ 0 h 1"/>
                <a:gd name="T4" fmla="*/ 8 w 8"/>
                <a:gd name="T5" fmla="*/ 0 h 1"/>
                <a:gd name="T6" fmla="*/ 0 60000 65536"/>
                <a:gd name="T7" fmla="*/ 0 60000 65536"/>
                <a:gd name="T8" fmla="*/ 0 60000 65536"/>
                <a:gd name="T9" fmla="*/ 0 w 8"/>
                <a:gd name="T10" fmla="*/ 0 h 1"/>
                <a:gd name="T11" fmla="*/ 8 w 8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8" h="1">
                  <a:moveTo>
                    <a:pt x="0" y="0"/>
                  </a:moveTo>
                  <a:lnTo>
                    <a:pt x="8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247" name="Freeform 63"/>
            <xdr:cNvSpPr>
              <a:spLocks/>
            </xdr:cNvSpPr>
          </xdr:nvSpPr>
          <xdr:spPr bwMode="auto">
            <a:xfrm>
              <a:off x="194" y="569"/>
              <a:ext cx="3" cy="3"/>
            </a:xfrm>
            <a:custGeom>
              <a:avLst/>
              <a:gdLst>
                <a:gd name="T0" fmla="*/ 3 w 3"/>
                <a:gd name="T1" fmla="*/ 0 h 3"/>
                <a:gd name="T2" fmla="*/ 0 w 3"/>
                <a:gd name="T3" fmla="*/ 3 h 3"/>
                <a:gd name="T4" fmla="*/ 0 w 3"/>
                <a:gd name="T5" fmla="*/ 3 h 3"/>
                <a:gd name="T6" fmla="*/ 0 60000 65536"/>
                <a:gd name="T7" fmla="*/ 0 60000 65536"/>
                <a:gd name="T8" fmla="*/ 0 60000 65536"/>
                <a:gd name="T9" fmla="*/ 0 w 3"/>
                <a:gd name="T10" fmla="*/ 0 h 3"/>
                <a:gd name="T11" fmla="*/ 3 w 3"/>
                <a:gd name="T12" fmla="*/ 3 h 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3" h="3">
                  <a:moveTo>
                    <a:pt x="3" y="0"/>
                  </a:moveTo>
                  <a:lnTo>
                    <a:pt x="0" y="3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54633;&#48376;\02%20&#49328;&#52636;&#51088;&#47308;\3.&#44396;&#51312;&#46020;(&#44592;&#48264;2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찰쌓기,H=1.5,기초무)"/>
      <sheetName val="기슭막이(찰쌓기,H=2.0,기초무)"/>
      <sheetName val="기슭막이(찰쌓기,H=2.5,기초무)"/>
      <sheetName val="기슭막이(메쌓기,H=1.5,기초무)"/>
      <sheetName val="기슭막이(메쌓기,H=2.5,기초무)"/>
      <sheetName val="Φ800"/>
      <sheetName val="Φ1000"/>
      <sheetName val="돌붙임L3=45(야면석찰붙임)"/>
      <sheetName val="돌붙임L3=45(야면석메붙임)"/>
      <sheetName val="규준틀"/>
      <sheetName val="규준틀 (횡단)"/>
      <sheetName val="국가지점번호판"/>
      <sheetName val="########"/>
      <sheetName val="포장덮개"/>
      <sheetName val="Φ1500"/>
      <sheetName val="개거 (B=150mm)"/>
      <sheetName val="7급줄(사면)"/>
      <sheetName val="임도표지석"/>
      <sheetName val="야골찰 (상5하4고1.5)"/>
      <sheetName val="암거수량집계표(2×2)"/>
      <sheetName val="난간1(2×2)"/>
      <sheetName val="난간2(2×2)"/>
      <sheetName val="암거구체 토공(2×2)"/>
      <sheetName val="씨뿌리기"/>
      <sheetName val="떼수로"/>
      <sheetName val="떼흙막이"/>
      <sheetName val="기슭막이(H=1.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5">
          <cell r="U25">
            <v>8.9999999999999993E-3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Relationship Id="rId6" Type="http://schemas.openxmlformats.org/officeDocument/2006/relationships/comments" Target="../comments3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Relationship Id="rId6" Type="http://schemas.openxmlformats.org/officeDocument/2006/relationships/comments" Target="../comments6.xml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7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17"/>
  <sheetViews>
    <sheetView showGridLines="0" zoomScale="75" workbookViewId="0">
      <selection activeCell="C6" sqref="C6"/>
    </sheetView>
  </sheetViews>
  <sheetFormatPr defaultRowHeight="14.25"/>
  <cols>
    <col min="1" max="1" width="25.5" style="1" customWidth="1"/>
    <col min="2" max="6" width="9" style="1"/>
    <col min="7" max="7" width="13.5" style="1" customWidth="1"/>
    <col min="8" max="16384" width="9" style="1"/>
  </cols>
  <sheetData>
    <row r="1" spans="1:13" ht="30" customHeight="1"/>
    <row r="2" spans="1:13" ht="34.5" customHeight="1">
      <c r="A2" s="2"/>
      <c r="B2" s="2"/>
      <c r="C2" s="2"/>
      <c r="D2" s="2"/>
      <c r="E2" s="2"/>
      <c r="F2" s="2"/>
      <c r="G2" s="2"/>
      <c r="H2" s="2"/>
      <c r="I2" s="2"/>
      <c r="J2" s="3"/>
      <c r="K2" s="3"/>
      <c r="L2" s="4"/>
      <c r="M2" s="4"/>
    </row>
    <row r="3" spans="1:13" ht="34.5" customHeight="1">
      <c r="A3" s="2"/>
      <c r="B3" s="2"/>
      <c r="C3" s="2"/>
      <c r="D3" s="2"/>
      <c r="E3" s="2"/>
      <c r="F3" s="2"/>
      <c r="G3" s="2"/>
      <c r="H3" s="2"/>
      <c r="I3" s="2"/>
      <c r="J3" s="3"/>
      <c r="K3" s="3"/>
      <c r="L3" s="4"/>
      <c r="M3" s="4"/>
    </row>
    <row r="4" spans="1:13" ht="34.5" customHeight="1">
      <c r="A4" s="2"/>
      <c r="B4" s="5" t="s">
        <v>0</v>
      </c>
      <c r="C4" s="1033" t="s">
        <v>1</v>
      </c>
      <c r="D4" s="1033"/>
      <c r="E4" s="1033"/>
      <c r="F4" s="1033"/>
      <c r="G4" s="1033"/>
      <c r="H4" s="1033"/>
      <c r="I4" s="1033"/>
      <c r="J4" s="3"/>
      <c r="K4" s="3"/>
      <c r="L4" s="4"/>
      <c r="M4" s="4"/>
    </row>
    <row r="5" spans="1:13" ht="34.5" customHeight="1">
      <c r="A5" s="2"/>
      <c r="B5" s="2"/>
      <c r="C5" s="1033" t="s">
        <v>560</v>
      </c>
      <c r="D5" s="1033"/>
      <c r="E5" s="1033"/>
      <c r="F5" s="1033"/>
      <c r="G5" s="1033"/>
      <c r="H5" s="1033"/>
      <c r="I5" s="1033"/>
      <c r="J5" s="3"/>
      <c r="K5" s="3"/>
      <c r="L5" s="4"/>
      <c r="M5" s="4"/>
    </row>
    <row r="6" spans="1:13" ht="34.5" customHeight="1">
      <c r="A6" s="2"/>
      <c r="B6" s="2"/>
      <c r="C6" s="2"/>
      <c r="D6" s="2"/>
      <c r="E6" s="2"/>
      <c r="F6" s="2"/>
      <c r="G6" s="2"/>
      <c r="H6" s="2"/>
      <c r="I6" s="2"/>
      <c r="J6" s="3"/>
      <c r="K6" s="3"/>
      <c r="L6" s="4"/>
      <c r="M6" s="4"/>
    </row>
    <row r="7" spans="1:13" ht="34.5" customHeight="1">
      <c r="A7" s="2"/>
      <c r="B7" s="2"/>
      <c r="C7" s="2"/>
      <c r="D7" s="2"/>
      <c r="E7" s="2"/>
      <c r="F7" s="2"/>
      <c r="G7" s="2"/>
      <c r="H7" s="2"/>
      <c r="I7" s="2"/>
      <c r="J7" s="3"/>
      <c r="K7" s="3"/>
      <c r="L7" s="4"/>
      <c r="M7" s="4"/>
    </row>
    <row r="8" spans="1:13" ht="34.5" customHeight="1">
      <c r="A8" s="2"/>
      <c r="B8" s="2"/>
      <c r="C8" s="2"/>
      <c r="D8" s="6" t="s">
        <v>2</v>
      </c>
      <c r="E8" s="1034" t="s">
        <v>508</v>
      </c>
      <c r="F8" s="1035"/>
      <c r="G8" s="1035"/>
      <c r="H8" s="1035"/>
      <c r="I8" s="1035"/>
      <c r="J8" s="3"/>
      <c r="K8" s="3"/>
      <c r="L8" s="4"/>
      <c r="M8" s="4"/>
    </row>
    <row r="9" spans="1:13" ht="34.5" customHeight="1">
      <c r="A9" s="2"/>
      <c r="B9" s="7"/>
      <c r="I9" s="2"/>
      <c r="J9" s="3"/>
      <c r="K9" s="3"/>
      <c r="L9" s="4"/>
      <c r="M9" s="4"/>
    </row>
    <row r="10" spans="1:13" ht="34.5" customHeight="1">
      <c r="A10" s="2"/>
      <c r="B10" s="8"/>
      <c r="C10" s="9"/>
      <c r="D10" s="2"/>
      <c r="E10" s="2"/>
      <c r="F10" s="2"/>
      <c r="G10" s="2"/>
      <c r="H10" s="2"/>
      <c r="I10" s="2"/>
      <c r="J10" s="3"/>
      <c r="K10" s="3"/>
      <c r="L10" s="4"/>
      <c r="M10" s="4"/>
    </row>
    <row r="11" spans="1:13" ht="34.5" customHeight="1">
      <c r="A11" s="2"/>
      <c r="B11" s="2"/>
      <c r="C11" s="2"/>
      <c r="D11" s="2"/>
      <c r="E11" s="2"/>
      <c r="F11" s="2"/>
      <c r="G11" s="2"/>
      <c r="H11" s="2"/>
      <c r="I11" s="2"/>
      <c r="J11" s="3"/>
      <c r="K11" s="3"/>
      <c r="L11" s="4"/>
      <c r="M11" s="4"/>
    </row>
    <row r="12" spans="1:13" ht="27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4"/>
      <c r="M12" s="4"/>
    </row>
    <row r="13" spans="1:1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</row>
    <row r="14" spans="1:1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</sheetData>
  <mergeCells count="3">
    <mergeCell ref="C4:I4"/>
    <mergeCell ref="E8:I8"/>
    <mergeCell ref="C5:I5"/>
  </mergeCells>
  <phoneticPr fontId="4" type="noConversion"/>
  <pageMargins left="1.24" right="0.75" top="1.29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2"/>
  <sheetViews>
    <sheetView showGridLines="0" zoomScale="120" zoomScaleNormal="120" zoomScaleSheetLayoutView="115" workbookViewId="0">
      <selection activeCell="I4" sqref="I4"/>
    </sheetView>
  </sheetViews>
  <sheetFormatPr defaultRowHeight="14.25"/>
  <cols>
    <col min="1" max="1" width="4.625" style="652" customWidth="1"/>
    <col min="2" max="2" width="16.25" style="652" customWidth="1"/>
    <col min="3" max="3" width="31.5" style="652" customWidth="1"/>
    <col min="4" max="4" width="15" style="652" customWidth="1"/>
    <col min="5" max="5" width="17.5" style="652" customWidth="1"/>
    <col min="6" max="6" width="16.25" style="652" customWidth="1"/>
    <col min="7" max="7" width="12.75" style="652" customWidth="1"/>
    <col min="8" max="8" width="8" style="652" customWidth="1"/>
    <col min="9" max="16384" width="9" style="652"/>
  </cols>
  <sheetData>
    <row r="2" spans="1:8" ht="62.25" customHeight="1">
      <c r="B2" s="1242" t="s">
        <v>442</v>
      </c>
      <c r="C2" s="1242"/>
      <c r="D2" s="1242"/>
      <c r="E2" s="1242"/>
      <c r="F2" s="1242"/>
      <c r="G2" s="1242"/>
      <c r="H2" s="1242"/>
    </row>
    <row r="3" spans="1:8" ht="60" customHeight="1">
      <c r="A3" s="653"/>
      <c r="B3" s="654" t="s">
        <v>443</v>
      </c>
      <c r="C3" s="654" t="s">
        <v>444</v>
      </c>
      <c r="D3" s="654" t="s">
        <v>445</v>
      </c>
      <c r="E3" s="654" t="s">
        <v>446</v>
      </c>
      <c r="F3" s="654" t="s">
        <v>447</v>
      </c>
      <c r="G3" s="654" t="s">
        <v>448</v>
      </c>
      <c r="H3" s="654" t="s">
        <v>449</v>
      </c>
    </row>
    <row r="4" spans="1:8" ht="60" customHeight="1">
      <c r="A4" s="655"/>
      <c r="B4" s="688" t="s">
        <v>513</v>
      </c>
      <c r="C4" s="688" t="s">
        <v>561</v>
      </c>
      <c r="D4" s="656">
        <v>149.80000000000001</v>
      </c>
      <c r="E4" s="657">
        <v>45000</v>
      </c>
      <c r="F4" s="657">
        <v>63912</v>
      </c>
      <c r="G4" s="657">
        <f>E4+F4</f>
        <v>108912</v>
      </c>
      <c r="H4" s="654"/>
    </row>
    <row r="5" spans="1:8" ht="60" customHeight="1">
      <c r="A5" s="655"/>
      <c r="B5" s="654" t="s">
        <v>514</v>
      </c>
      <c r="C5" s="654" t="s">
        <v>519</v>
      </c>
      <c r="D5" s="689">
        <v>88.1</v>
      </c>
      <c r="E5" s="717">
        <v>28500</v>
      </c>
      <c r="F5" s="690">
        <v>50132</v>
      </c>
      <c r="G5" s="690">
        <f>E5+F5</f>
        <v>78632</v>
      </c>
      <c r="H5" s="691"/>
    </row>
    <row r="6" spans="1:8" ht="60" customHeight="1">
      <c r="A6" s="653"/>
      <c r="B6" s="654" t="s">
        <v>515</v>
      </c>
      <c r="C6" s="654" t="s">
        <v>516</v>
      </c>
      <c r="D6" s="689">
        <v>70.400000000000006</v>
      </c>
      <c r="E6" s="717">
        <v>44000</v>
      </c>
      <c r="F6" s="717">
        <v>34501</v>
      </c>
      <c r="G6" s="717">
        <f>E6+F6</f>
        <v>78501</v>
      </c>
      <c r="H6" s="654" t="s">
        <v>570</v>
      </c>
    </row>
    <row r="7" spans="1:8">
      <c r="A7" s="655"/>
      <c r="B7" s="653"/>
      <c r="C7" s="653"/>
      <c r="D7" s="653"/>
      <c r="E7" s="653"/>
    </row>
    <row r="8" spans="1:8">
      <c r="A8" s="653"/>
      <c r="B8" s="653"/>
      <c r="C8" s="653"/>
      <c r="D8" s="653"/>
      <c r="E8" s="653"/>
    </row>
    <row r="9" spans="1:8">
      <c r="D9" s="653"/>
    </row>
    <row r="10" spans="1:8">
      <c r="A10" s="655"/>
      <c r="B10" s="653"/>
      <c r="C10" s="653"/>
      <c r="D10" s="653"/>
      <c r="E10" s="653"/>
    </row>
    <row r="11" spans="1:8">
      <c r="A11" s="653"/>
      <c r="B11" s="653"/>
      <c r="C11" s="653"/>
      <c r="D11" s="653"/>
      <c r="E11" s="653"/>
    </row>
    <row r="12" spans="1:8">
      <c r="D12" s="653"/>
    </row>
    <row r="13" spans="1:8">
      <c r="A13" s="655"/>
      <c r="B13" s="653"/>
      <c r="C13" s="653"/>
      <c r="D13" s="653"/>
      <c r="E13" s="653"/>
    </row>
    <row r="14" spans="1:8">
      <c r="A14" s="653"/>
      <c r="B14" s="653"/>
      <c r="C14" s="653"/>
      <c r="D14" s="653"/>
      <c r="E14" s="653"/>
    </row>
    <row r="15" spans="1:8" ht="16.5" customHeight="1">
      <c r="A15" s="204"/>
      <c r="B15" s="204"/>
      <c r="C15" s="204"/>
    </row>
    <row r="16" spans="1:8">
      <c r="A16" s="655"/>
      <c r="B16" s="653"/>
      <c r="C16" s="653"/>
      <c r="D16" s="653"/>
      <c r="E16" s="653"/>
    </row>
    <row r="17" spans="1:5">
      <c r="A17" s="653"/>
      <c r="B17" s="653"/>
      <c r="C17" s="653"/>
      <c r="D17" s="653"/>
      <c r="E17" s="653"/>
    </row>
    <row r="20" spans="1:5" ht="16.5" customHeight="1">
      <c r="A20" s="204"/>
      <c r="B20" s="204"/>
      <c r="C20" s="204"/>
    </row>
    <row r="21" spans="1:5" ht="16.5" customHeight="1">
      <c r="A21" s="653"/>
      <c r="B21" s="653"/>
      <c r="C21" s="653"/>
    </row>
    <row r="22" spans="1:5" ht="16.5" customHeight="1">
      <c r="A22" s="653"/>
      <c r="B22" s="653"/>
      <c r="C22" s="653"/>
    </row>
    <row r="23" spans="1:5" ht="16.5" customHeight="1">
      <c r="A23" s="653"/>
      <c r="B23" s="653"/>
      <c r="C23" s="653"/>
    </row>
    <row r="24" spans="1:5" ht="16.5" customHeight="1">
      <c r="A24" s="653"/>
      <c r="B24" s="653"/>
      <c r="C24" s="653"/>
    </row>
    <row r="25" spans="1:5" ht="16.5" customHeight="1">
      <c r="A25" s="653"/>
      <c r="B25" s="653"/>
      <c r="C25" s="653"/>
    </row>
    <row r="26" spans="1:5" ht="16.5" customHeight="1">
      <c r="A26" s="653"/>
      <c r="B26" s="653"/>
      <c r="C26" s="653"/>
    </row>
    <row r="27" spans="1:5" ht="16.5" customHeight="1">
      <c r="A27" s="653"/>
      <c r="B27" s="653"/>
      <c r="C27" s="653"/>
    </row>
    <row r="31" spans="1:5" ht="14.25" hidden="1" customHeight="1"/>
    <row r="32" spans="1:5" ht="14.25" hidden="1" customHeight="1"/>
  </sheetData>
  <mergeCells count="1">
    <mergeCell ref="B2:H2"/>
  </mergeCells>
  <phoneticPr fontId="4" type="noConversion"/>
  <printOptions horizontalCentered="1" verticalCentered="1"/>
  <pageMargins left="1.35" right="0.51" top="0.43" bottom="0.98425196850393704" header="0.73" footer="0.51181102362204722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Q30"/>
  <sheetViews>
    <sheetView showGridLines="0" zoomScaleNormal="100" workbookViewId="0">
      <selection activeCell="L11" sqref="L11"/>
    </sheetView>
  </sheetViews>
  <sheetFormatPr defaultRowHeight="14.25"/>
  <cols>
    <col min="1" max="1" width="11.25" style="207" customWidth="1"/>
    <col min="2" max="2" width="4.5" style="207" customWidth="1"/>
    <col min="3" max="3" width="8.625" style="207" customWidth="1"/>
    <col min="4" max="4" width="12.375" style="207" customWidth="1"/>
    <col min="5" max="5" width="16.875" style="207" customWidth="1"/>
    <col min="6" max="6" width="17" style="207" customWidth="1"/>
    <col min="7" max="7" width="9" style="207" customWidth="1"/>
    <col min="8" max="8" width="10.875" style="207" customWidth="1"/>
    <col min="9" max="9" width="1.75" style="207" customWidth="1"/>
    <col min="10" max="10" width="5.875" style="207" customWidth="1"/>
    <col min="11" max="11" width="11.125" style="207" customWidth="1"/>
    <col min="12" max="12" width="16.125" style="207" bestFit="1" customWidth="1"/>
    <col min="13" max="13" width="16.625" style="207" bestFit="1" customWidth="1"/>
    <col min="14" max="14" width="10.25" style="207" bestFit="1" customWidth="1"/>
    <col min="15" max="16384" width="9" style="207"/>
  </cols>
  <sheetData>
    <row r="2" spans="1:17" ht="25.5" customHeight="1">
      <c r="A2" s="205"/>
      <c r="B2" s="1243" t="s">
        <v>179</v>
      </c>
      <c r="C2" s="1243"/>
      <c r="D2" s="1243"/>
      <c r="E2" s="1243"/>
      <c r="F2" s="1243"/>
      <c r="G2" s="206"/>
      <c r="H2" s="205"/>
      <c r="I2" s="205"/>
      <c r="J2" s="205"/>
      <c r="K2" s="205"/>
      <c r="L2" s="205"/>
      <c r="M2" s="205"/>
      <c r="N2" s="205"/>
      <c r="O2" s="205"/>
      <c r="P2" s="205"/>
      <c r="Q2" s="205"/>
    </row>
    <row r="3" spans="1:17" ht="24" customHeight="1" thickBot="1">
      <c r="A3" s="208"/>
      <c r="B3" s="208"/>
      <c r="C3" s="209"/>
      <c r="D3" s="208" t="s">
        <v>180</v>
      </c>
      <c r="E3" s="208"/>
      <c r="F3" s="209"/>
      <c r="G3" s="208"/>
      <c r="H3" s="208"/>
      <c r="I3" s="208"/>
      <c r="J3" s="208"/>
      <c r="K3" s="208"/>
      <c r="L3" s="208"/>
      <c r="M3" s="208"/>
      <c r="N3" s="208"/>
      <c r="O3" s="208"/>
      <c r="P3" s="205"/>
      <c r="Q3" s="205"/>
    </row>
    <row r="4" spans="1:17" ht="20.100000000000001" customHeight="1" thickTop="1">
      <c r="A4" s="208"/>
      <c r="B4" s="208"/>
      <c r="C4" s="1244"/>
      <c r="D4" s="1245"/>
      <c r="E4" s="1245"/>
      <c r="F4" s="1245"/>
      <c r="G4" s="1245"/>
      <c r="H4" s="1246"/>
      <c r="I4" s="208"/>
      <c r="J4" s="208"/>
      <c r="K4" s="208"/>
      <c r="L4" s="208"/>
      <c r="M4" s="208"/>
      <c r="N4" s="208"/>
      <c r="O4" s="208"/>
      <c r="P4" s="205"/>
      <c r="Q4" s="205"/>
    </row>
    <row r="5" spans="1:17" ht="27" customHeight="1">
      <c r="A5" s="208"/>
      <c r="B5" s="208"/>
      <c r="C5" s="1247"/>
      <c r="D5" s="1248"/>
      <c r="E5" s="1248"/>
      <c r="F5" s="1248"/>
      <c r="G5" s="1248"/>
      <c r="H5" s="1249"/>
      <c r="I5" s="208"/>
      <c r="J5" s="210" t="s">
        <v>181</v>
      </c>
      <c r="K5" s="211" t="s">
        <v>182</v>
      </c>
      <c r="L5" s="211" t="s">
        <v>183</v>
      </c>
      <c r="M5" s="212" t="s">
        <v>184</v>
      </c>
      <c r="N5" s="213" t="s">
        <v>185</v>
      </c>
      <c r="O5" s="208"/>
      <c r="P5" s="205"/>
      <c r="Q5" s="205"/>
    </row>
    <row r="6" spans="1:17" ht="23.1" customHeight="1">
      <c r="A6" s="208"/>
      <c r="B6" s="208"/>
      <c r="C6" s="1247"/>
      <c r="D6" s="1248"/>
      <c r="E6" s="1248"/>
      <c r="F6" s="1248"/>
      <c r="G6" s="1248"/>
      <c r="H6" s="1249"/>
      <c r="I6" s="208"/>
      <c r="J6" s="767">
        <v>1</v>
      </c>
      <c r="K6" s="764" t="s">
        <v>546</v>
      </c>
      <c r="L6" s="498" t="s">
        <v>464</v>
      </c>
      <c r="M6" s="498">
        <v>1.5</v>
      </c>
      <c r="N6" s="496" t="s">
        <v>571</v>
      </c>
      <c r="O6" s="208"/>
      <c r="P6" s="205"/>
      <c r="Q6" s="205"/>
    </row>
    <row r="7" spans="1:17" ht="23.1" customHeight="1">
      <c r="A7" s="208"/>
      <c r="B7" s="208"/>
      <c r="C7" s="1247"/>
      <c r="D7" s="1248"/>
      <c r="E7" s="1248"/>
      <c r="F7" s="1248"/>
      <c r="G7" s="1248"/>
      <c r="H7" s="1249"/>
      <c r="I7" s="208"/>
      <c r="J7" s="687">
        <v>2</v>
      </c>
      <c r="K7" s="765" t="s">
        <v>547</v>
      </c>
      <c r="L7" s="499" t="s">
        <v>464</v>
      </c>
      <c r="M7" s="532">
        <v>1.5</v>
      </c>
      <c r="N7" s="497" t="s">
        <v>571</v>
      </c>
      <c r="O7" s="208"/>
      <c r="P7" s="205"/>
      <c r="Q7" s="205"/>
    </row>
    <row r="8" spans="1:17" ht="23.1" customHeight="1">
      <c r="A8" s="208"/>
      <c r="B8" s="208"/>
      <c r="C8" s="1247"/>
      <c r="D8" s="1248"/>
      <c r="E8" s="1248"/>
      <c r="F8" s="1248"/>
      <c r="G8" s="1248"/>
      <c r="H8" s="1249"/>
      <c r="I8" s="208"/>
      <c r="J8" s="687">
        <v>3</v>
      </c>
      <c r="K8" s="765" t="s">
        <v>520</v>
      </c>
      <c r="L8" s="499" t="s">
        <v>572</v>
      </c>
      <c r="M8" s="499">
        <v>3</v>
      </c>
      <c r="N8" s="497" t="s">
        <v>512</v>
      </c>
      <c r="O8" s="208"/>
      <c r="P8" s="205"/>
      <c r="Q8" s="205"/>
    </row>
    <row r="9" spans="1:17" ht="25.5" customHeight="1">
      <c r="A9" s="208"/>
      <c r="B9" s="208"/>
      <c r="C9" s="1247"/>
      <c r="D9" s="1248"/>
      <c r="E9" s="1248"/>
      <c r="F9" s="1248"/>
      <c r="G9" s="1248"/>
      <c r="H9" s="1249"/>
      <c r="I9" s="208"/>
      <c r="J9" s="718">
        <v>4</v>
      </c>
      <c r="K9" s="766" t="s">
        <v>522</v>
      </c>
      <c r="L9" s="504" t="s">
        <v>572</v>
      </c>
      <c r="M9" s="504">
        <v>1</v>
      </c>
      <c r="N9" s="497" t="s">
        <v>571</v>
      </c>
      <c r="O9" s="208"/>
      <c r="P9" s="205"/>
      <c r="Q9" s="205"/>
    </row>
    <row r="10" spans="1:17" ht="23.1" customHeight="1">
      <c r="A10" s="208"/>
      <c r="B10" s="208"/>
      <c r="C10" s="1247"/>
      <c r="D10" s="1248"/>
      <c r="E10" s="1248"/>
      <c r="F10" s="1248"/>
      <c r="G10" s="1248"/>
      <c r="H10" s="1249"/>
      <c r="I10" s="208"/>
      <c r="J10" s="687">
        <v>5</v>
      </c>
      <c r="K10" s="765" t="s">
        <v>523</v>
      </c>
      <c r="L10" s="499" t="s">
        <v>573</v>
      </c>
      <c r="M10" s="499">
        <v>12.9</v>
      </c>
      <c r="N10" s="497" t="s">
        <v>512</v>
      </c>
      <c r="O10" s="208"/>
      <c r="P10" s="205"/>
      <c r="Q10" s="205"/>
    </row>
    <row r="11" spans="1:17" ht="23.1" customHeight="1">
      <c r="A11" s="208"/>
      <c r="B11" s="208"/>
      <c r="C11" s="1247"/>
      <c r="D11" s="1248"/>
      <c r="E11" s="1248"/>
      <c r="F11" s="1248"/>
      <c r="G11" s="1248"/>
      <c r="H11" s="1249"/>
      <c r="I11" s="208"/>
      <c r="J11" s="687">
        <v>6</v>
      </c>
      <c r="K11" s="765" t="s">
        <v>553</v>
      </c>
      <c r="L11" s="499" t="s">
        <v>572</v>
      </c>
      <c r="M11" s="499">
        <v>1</v>
      </c>
      <c r="N11" s="497" t="s">
        <v>571</v>
      </c>
      <c r="O11" s="208"/>
      <c r="P11" s="205"/>
      <c r="Q11" s="205"/>
    </row>
    <row r="12" spans="1:17" ht="23.1" customHeight="1">
      <c r="A12" s="208"/>
      <c r="B12" s="208"/>
      <c r="C12" s="1247"/>
      <c r="D12" s="1248"/>
      <c r="E12" s="1248"/>
      <c r="F12" s="1248"/>
      <c r="G12" s="1248"/>
      <c r="H12" s="1249"/>
      <c r="I12" s="208"/>
      <c r="J12" s="718">
        <v>7</v>
      </c>
      <c r="K12" s="766" t="s">
        <v>558</v>
      </c>
      <c r="L12" s="504" t="s">
        <v>497</v>
      </c>
      <c r="M12" s="504">
        <v>8.9</v>
      </c>
      <c r="N12" s="719" t="s">
        <v>512</v>
      </c>
      <c r="O12" s="208"/>
      <c r="P12" s="205"/>
      <c r="Q12" s="205"/>
    </row>
    <row r="13" spans="1:17" ht="23.1" customHeight="1">
      <c r="A13" s="208"/>
      <c r="B13" s="208"/>
      <c r="C13" s="1247"/>
      <c r="D13" s="1248"/>
      <c r="E13" s="1248"/>
      <c r="F13" s="1248"/>
      <c r="G13" s="1248"/>
      <c r="H13" s="1249"/>
      <c r="I13" s="208"/>
      <c r="J13" s="687"/>
      <c r="K13" s="770"/>
      <c r="L13" s="499"/>
      <c r="M13" s="499"/>
      <c r="N13" s="497"/>
    </row>
    <row r="14" spans="1:17" ht="23.1" customHeight="1">
      <c r="A14" s="208"/>
      <c r="B14" s="208"/>
      <c r="C14" s="1247"/>
      <c r="D14" s="1248"/>
      <c r="E14" s="1248"/>
      <c r="F14" s="1248"/>
      <c r="G14" s="1248"/>
      <c r="H14" s="1249"/>
      <c r="I14" s="208"/>
      <c r="J14" s="687"/>
      <c r="K14" s="770"/>
      <c r="L14" s="499"/>
      <c r="M14" s="499"/>
      <c r="N14" s="497"/>
    </row>
    <row r="15" spans="1:17" ht="23.1" customHeight="1">
      <c r="A15" s="208"/>
      <c r="B15" s="208"/>
      <c r="C15" s="1247"/>
      <c r="D15" s="1248"/>
      <c r="E15" s="1248"/>
      <c r="F15" s="1248"/>
      <c r="G15" s="1248"/>
      <c r="H15" s="1249"/>
      <c r="I15" s="208"/>
      <c r="J15" s="687"/>
      <c r="K15" s="770"/>
      <c r="L15" s="499"/>
      <c r="M15" s="499"/>
      <c r="N15" s="497"/>
      <c r="O15" s="208"/>
      <c r="P15" s="205"/>
      <c r="Q15" s="205"/>
    </row>
    <row r="16" spans="1:17" ht="23.1" customHeight="1">
      <c r="A16" s="208"/>
      <c r="B16" s="208"/>
      <c r="C16" s="1247"/>
      <c r="D16" s="1248"/>
      <c r="E16" s="1248"/>
      <c r="F16" s="1248"/>
      <c r="G16" s="1248"/>
      <c r="H16" s="1249"/>
      <c r="I16" s="208"/>
      <c r="J16" s="768"/>
      <c r="K16" s="762"/>
      <c r="L16" s="769"/>
      <c r="M16" s="769"/>
      <c r="N16" s="763"/>
      <c r="O16" s="208"/>
      <c r="P16" s="205"/>
      <c r="Q16" s="205"/>
    </row>
    <row r="17" spans="1:17" ht="23.1" customHeight="1">
      <c r="A17" s="208"/>
      <c r="B17" s="208"/>
      <c r="C17" s="1247"/>
      <c r="D17" s="1248"/>
      <c r="E17" s="1248"/>
      <c r="F17" s="1248"/>
      <c r="G17" s="1248"/>
      <c r="H17" s="1249"/>
      <c r="I17" s="208"/>
      <c r="J17" s="720"/>
      <c r="K17" s="720"/>
      <c r="L17" s="721"/>
      <c r="M17" s="722"/>
      <c r="N17" s="720"/>
      <c r="O17" s="208"/>
      <c r="P17" s="205"/>
      <c r="Q17" s="205"/>
    </row>
    <row r="18" spans="1:17" ht="23.1" customHeight="1">
      <c r="A18" s="208"/>
      <c r="B18" s="208"/>
      <c r="C18" s="1247"/>
      <c r="D18" s="1248"/>
      <c r="E18" s="1248"/>
      <c r="F18" s="1248"/>
      <c r="G18" s="1248"/>
      <c r="H18" s="1249"/>
      <c r="I18" s="208"/>
      <c r="J18" s="720"/>
      <c r="K18" s="720"/>
      <c r="L18" s="721"/>
      <c r="M18" s="722"/>
      <c r="N18" s="720"/>
      <c r="O18" s="208"/>
      <c r="P18" s="205"/>
      <c r="Q18" s="205"/>
    </row>
    <row r="19" spans="1:17" ht="23.1" customHeight="1">
      <c r="A19" s="208"/>
      <c r="B19" s="208"/>
      <c r="C19" s="1247"/>
      <c r="D19" s="1248"/>
      <c r="E19" s="1248"/>
      <c r="F19" s="1248"/>
      <c r="G19" s="1248"/>
      <c r="H19" s="1249"/>
      <c r="I19" s="208"/>
      <c r="O19" s="208"/>
      <c r="P19" s="205"/>
      <c r="Q19" s="205"/>
    </row>
    <row r="20" spans="1:17" ht="23.1" customHeight="1">
      <c r="A20" s="208"/>
      <c r="B20" s="208"/>
      <c r="C20" s="1247"/>
      <c r="D20" s="1248"/>
      <c r="E20" s="1248"/>
      <c r="F20" s="1248"/>
      <c r="G20" s="1248"/>
      <c r="H20" s="1249"/>
      <c r="I20" s="208"/>
      <c r="O20" s="208"/>
      <c r="P20" s="205"/>
      <c r="Q20" s="205"/>
    </row>
    <row r="21" spans="1:17" ht="23.1" customHeight="1">
      <c r="A21" s="208"/>
      <c r="B21" s="208"/>
      <c r="C21" s="1247"/>
      <c r="D21" s="1248"/>
      <c r="E21" s="1248"/>
      <c r="F21" s="1248"/>
      <c r="G21" s="1248"/>
      <c r="H21" s="1249"/>
      <c r="I21" s="208"/>
      <c r="O21" s="208"/>
      <c r="P21" s="205"/>
      <c r="Q21" s="205"/>
    </row>
    <row r="22" spans="1:17" ht="23.1" customHeight="1">
      <c r="A22" s="208"/>
      <c r="B22" s="208"/>
      <c r="C22" s="1247"/>
      <c r="D22" s="1248"/>
      <c r="E22" s="1248"/>
      <c r="F22" s="1248"/>
      <c r="G22" s="1248"/>
      <c r="H22" s="1249"/>
      <c r="I22" s="208"/>
      <c r="O22" s="208"/>
      <c r="P22" s="205"/>
      <c r="Q22" s="205"/>
    </row>
    <row r="23" spans="1:17" ht="23.1" customHeight="1">
      <c r="A23" s="208"/>
      <c r="B23" s="208"/>
      <c r="C23" s="1247"/>
      <c r="D23" s="1248"/>
      <c r="E23" s="1248"/>
      <c r="F23" s="1248"/>
      <c r="G23" s="1248"/>
      <c r="H23" s="1249"/>
      <c r="I23" s="208"/>
      <c r="O23" s="208"/>
      <c r="P23" s="205"/>
      <c r="Q23" s="205"/>
    </row>
    <row r="24" spans="1:17" ht="23.1" customHeight="1" thickBot="1">
      <c r="A24" s="208"/>
      <c r="B24" s="208"/>
      <c r="C24" s="1250"/>
      <c r="D24" s="1251"/>
      <c r="E24" s="1251"/>
      <c r="F24" s="1251"/>
      <c r="G24" s="1251"/>
      <c r="H24" s="1252"/>
      <c r="I24" s="208"/>
      <c r="O24" s="208"/>
      <c r="P24" s="205"/>
      <c r="Q24" s="205"/>
    </row>
    <row r="25" spans="1:17" ht="21" customHeight="1" thickTop="1"/>
    <row r="26" spans="1:17" ht="21" customHeight="1"/>
    <row r="27" spans="1:17" ht="21" customHeight="1"/>
    <row r="28" spans="1:17" ht="21" customHeight="1"/>
    <row r="29" spans="1:17" ht="21" customHeight="1"/>
    <row r="30" spans="1:17" ht="21" customHeight="1"/>
  </sheetData>
  <mergeCells count="2">
    <mergeCell ref="B2:F2"/>
    <mergeCell ref="C4:H24"/>
  </mergeCells>
  <phoneticPr fontId="4" type="noConversion"/>
  <pageMargins left="0.73" right="0.24000000000000002" top="0.75" bottom="0.44" header="0.51181102362204722" footer="0.28000000000000003"/>
  <pageSetup paperSize="9" scale="9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497"/>
  <sheetViews>
    <sheetView showGridLines="0" view="pageBreakPreview" zoomScaleNormal="100" zoomScaleSheetLayoutView="100" workbookViewId="0">
      <selection activeCell="AO24" sqref="AO24"/>
    </sheetView>
  </sheetViews>
  <sheetFormatPr defaultRowHeight="12"/>
  <cols>
    <col min="1" max="4" width="3.25" style="214" customWidth="1"/>
    <col min="5" max="5" width="7.875" style="214" customWidth="1"/>
    <col min="6" max="6" width="6" style="214" customWidth="1"/>
    <col min="7" max="11" width="3.25" style="214" customWidth="1"/>
    <col min="12" max="13" width="9.375" style="214" customWidth="1"/>
    <col min="14" max="14" width="3.25" style="214" customWidth="1"/>
    <col min="15" max="15" width="4.25" style="562" hidden="1" customWidth="1"/>
    <col min="16" max="22" width="11.375" style="562" hidden="1" customWidth="1"/>
    <col min="23" max="23" width="4.25" style="562" hidden="1" customWidth="1"/>
    <col min="24" max="24" width="11.625" style="562" hidden="1" customWidth="1"/>
    <col min="25" max="25" width="4.25" style="215" hidden="1" customWidth="1"/>
    <col min="26" max="32" width="11.375" style="215" hidden="1" customWidth="1"/>
    <col min="33" max="33" width="4.25" style="562" hidden="1" customWidth="1"/>
    <col min="34" max="34" width="11.625" style="562" hidden="1" customWidth="1"/>
    <col min="35" max="38" width="9.75" style="215" customWidth="1"/>
    <col min="39" max="39" width="9" style="215" customWidth="1"/>
    <col min="40" max="43" width="9.75" style="215" customWidth="1"/>
    <col min="44" max="16384" width="9" style="214"/>
  </cols>
  <sheetData>
    <row r="1" spans="1:51" ht="18.95" customHeight="1">
      <c r="A1" s="809" t="s">
        <v>574</v>
      </c>
      <c r="B1" s="260"/>
      <c r="C1" s="260"/>
      <c r="D1" s="260"/>
      <c r="E1" s="260"/>
      <c r="F1" s="810"/>
      <c r="G1" s="260"/>
      <c r="H1" s="260"/>
      <c r="I1" s="260"/>
      <c r="J1" s="260"/>
      <c r="K1" s="260"/>
      <c r="L1" s="260"/>
      <c r="M1" s="260"/>
      <c r="N1" s="260"/>
      <c r="O1" s="811"/>
      <c r="P1" s="812"/>
      <c r="Q1" s="811"/>
      <c r="R1" s="811"/>
      <c r="S1" s="811"/>
      <c r="T1" s="811"/>
      <c r="U1" s="811"/>
      <c r="V1" s="811"/>
      <c r="W1" s="811"/>
      <c r="X1" s="811"/>
      <c r="Y1" s="811"/>
      <c r="Z1" s="812"/>
      <c r="AA1" s="811"/>
      <c r="AB1" s="811"/>
      <c r="AC1" s="811"/>
      <c r="AD1" s="811"/>
      <c r="AE1" s="811"/>
      <c r="AF1" s="811"/>
      <c r="AG1" s="811"/>
      <c r="AH1" s="811"/>
      <c r="AI1" s="813" t="s">
        <v>575</v>
      </c>
      <c r="AJ1" s="814"/>
      <c r="AK1" s="814"/>
      <c r="AL1" s="814"/>
      <c r="AM1" s="814"/>
      <c r="AN1" s="814"/>
      <c r="AO1" s="814"/>
      <c r="AP1" s="814"/>
      <c r="AQ1" s="814"/>
      <c r="AR1" s="216" t="s">
        <v>341</v>
      </c>
      <c r="AS1" s="217"/>
      <c r="AT1" s="1259" t="s">
        <v>418</v>
      </c>
      <c r="AU1" s="1260"/>
      <c r="AV1" s="1261"/>
      <c r="AW1" s="1262" t="s">
        <v>576</v>
      </c>
      <c r="AX1" s="1263"/>
      <c r="AY1" s="1264"/>
    </row>
    <row r="2" spans="1:51" ht="18.95" customHeight="1" thickBot="1">
      <c r="A2" s="809"/>
      <c r="B2" s="260"/>
      <c r="C2" s="260"/>
      <c r="D2" s="260"/>
      <c r="E2" s="260"/>
      <c r="F2" s="815"/>
      <c r="G2" s="260"/>
      <c r="H2" s="260"/>
      <c r="I2" s="260"/>
      <c r="J2" s="260"/>
      <c r="K2" s="260"/>
      <c r="L2" s="260"/>
      <c r="M2" s="260"/>
      <c r="N2" s="260"/>
      <c r="O2" s="811"/>
      <c r="P2" s="812"/>
      <c r="Q2" s="811"/>
      <c r="R2" s="811"/>
      <c r="S2" s="811"/>
      <c r="T2" s="811"/>
      <c r="U2" s="811"/>
      <c r="V2" s="811"/>
      <c r="W2" s="811"/>
      <c r="X2" s="811"/>
      <c r="Y2" s="811"/>
      <c r="Z2" s="812"/>
      <c r="AA2" s="811"/>
      <c r="AB2" s="811"/>
      <c r="AC2" s="811"/>
      <c r="AD2" s="811"/>
      <c r="AE2" s="811"/>
      <c r="AF2" s="811"/>
      <c r="AG2" s="811"/>
      <c r="AH2" s="811"/>
      <c r="AI2" s="813"/>
      <c r="AJ2" s="814"/>
      <c r="AK2" s="814"/>
      <c r="AL2" s="814"/>
      <c r="AM2" s="814"/>
      <c r="AN2" s="814"/>
      <c r="AO2" s="814"/>
      <c r="AP2" s="814"/>
      <c r="AQ2" s="814"/>
      <c r="AR2" s="216" t="s">
        <v>577</v>
      </c>
      <c r="AS2" s="217"/>
      <c r="AT2" s="218">
        <v>10</v>
      </c>
      <c r="AU2" s="219"/>
      <c r="AV2" s="217"/>
      <c r="AW2" s="220">
        <v>199.6</v>
      </c>
      <c r="AX2" s="221"/>
      <c r="AY2" s="222"/>
    </row>
    <row r="3" spans="1:51" ht="18.95" customHeight="1">
      <c r="A3" s="260"/>
      <c r="B3" s="816" t="s">
        <v>391</v>
      </c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817"/>
      <c r="P3" s="812"/>
      <c r="Q3" s="812"/>
      <c r="R3" s="811"/>
      <c r="S3" s="811"/>
      <c r="T3" s="811"/>
      <c r="U3" s="811"/>
      <c r="V3" s="811"/>
      <c r="W3" s="818"/>
      <c r="X3" s="811"/>
      <c r="Y3" s="817"/>
      <c r="Z3" s="812"/>
      <c r="AA3" s="811"/>
      <c r="AB3" s="811"/>
      <c r="AC3" s="811"/>
      <c r="AD3" s="811"/>
      <c r="AE3" s="811"/>
      <c r="AF3" s="811"/>
      <c r="AG3" s="818"/>
      <c r="AH3" s="811"/>
      <c r="AI3" s="1265" t="s">
        <v>578</v>
      </c>
      <c r="AJ3" s="1266"/>
      <c r="AK3" s="819"/>
      <c r="AL3" s="819"/>
      <c r="AM3" s="819"/>
      <c r="AN3" s="819"/>
      <c r="AO3" s="819"/>
      <c r="AP3" s="819"/>
      <c r="AQ3" s="820"/>
      <c r="AR3" s="216" t="s">
        <v>577</v>
      </c>
      <c r="AS3" s="217"/>
      <c r="AT3" s="218">
        <v>20</v>
      </c>
      <c r="AU3" s="219"/>
      <c r="AV3" s="217"/>
      <c r="AW3" s="220">
        <v>233.2</v>
      </c>
      <c r="AX3" s="221"/>
      <c r="AY3" s="222"/>
    </row>
    <row r="4" spans="1:51" ht="18.95" customHeight="1">
      <c r="A4" s="260"/>
      <c r="B4" s="816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817"/>
      <c r="P4" s="812"/>
      <c r="Q4" s="812"/>
      <c r="R4" s="811"/>
      <c r="S4" s="811"/>
      <c r="T4" s="811"/>
      <c r="U4" s="811"/>
      <c r="V4" s="811"/>
      <c r="W4" s="818"/>
      <c r="X4" s="811"/>
      <c r="Y4" s="817"/>
      <c r="Z4" s="812"/>
      <c r="AA4" s="811"/>
      <c r="AB4" s="811"/>
      <c r="AC4" s="811"/>
      <c r="AD4" s="811"/>
      <c r="AE4" s="811"/>
      <c r="AF4" s="811"/>
      <c r="AG4" s="818"/>
      <c r="AH4" s="811"/>
      <c r="AI4" s="821"/>
      <c r="AJ4" s="822"/>
      <c r="AK4" s="823"/>
      <c r="AL4" s="824"/>
      <c r="AM4" s="825"/>
      <c r="AN4" s="826"/>
      <c r="AO4" s="825"/>
      <c r="AP4" s="827"/>
      <c r="AQ4" s="828"/>
      <c r="AR4" s="216" t="s">
        <v>577</v>
      </c>
      <c r="AS4" s="217"/>
      <c r="AT4" s="218">
        <v>30</v>
      </c>
      <c r="AU4" s="219"/>
      <c r="AV4" s="217"/>
      <c r="AW4" s="220">
        <v>252.6</v>
      </c>
      <c r="AX4" s="221"/>
      <c r="AY4" s="222"/>
    </row>
    <row r="5" spans="1:51" ht="18.95" customHeight="1">
      <c r="A5" s="260"/>
      <c r="B5" s="260"/>
      <c r="C5" s="260"/>
      <c r="D5" s="829" t="s">
        <v>579</v>
      </c>
      <c r="E5" s="829"/>
      <c r="F5" s="260"/>
      <c r="G5" s="260"/>
      <c r="H5" s="260"/>
      <c r="I5" s="260"/>
      <c r="J5" s="260"/>
      <c r="K5" s="260"/>
      <c r="L5" s="830">
        <f>ROUND(L6*1.5,2)</f>
        <v>1.76</v>
      </c>
      <c r="M5" s="831"/>
      <c r="N5" s="831"/>
      <c r="O5" s="817"/>
      <c r="P5" s="832"/>
      <c r="Q5" s="833"/>
      <c r="R5" s="1267">
        <f>S5+S6</f>
        <v>1.5</v>
      </c>
      <c r="S5" s="832">
        <v>0.3</v>
      </c>
      <c r="T5" s="832" t="s">
        <v>580</v>
      </c>
      <c r="U5" s="832"/>
      <c r="V5" s="811"/>
      <c r="W5" s="818"/>
      <c r="X5" s="811"/>
      <c r="Y5" s="817"/>
      <c r="Z5" s="832"/>
      <c r="AA5" s="832"/>
      <c r="AB5" s="1268">
        <f>AC5+AC6</f>
        <v>3.6</v>
      </c>
      <c r="AC5" s="834">
        <v>0.6</v>
      </c>
      <c r="AD5" s="832" t="s">
        <v>581</v>
      </c>
      <c r="AE5" s="832"/>
      <c r="AF5" s="811"/>
      <c r="AG5" s="818"/>
      <c r="AH5" s="811"/>
      <c r="AI5" s="835" t="s">
        <v>582</v>
      </c>
      <c r="AJ5" s="826"/>
      <c r="AK5" s="836">
        <f>+L5</f>
        <v>1.76</v>
      </c>
      <c r="AL5" s="826" t="s">
        <v>583</v>
      </c>
      <c r="AM5" s="826"/>
      <c r="AN5" s="827"/>
      <c r="AO5" s="827"/>
      <c r="AP5" s="827"/>
      <c r="AQ5" s="828"/>
      <c r="AR5" s="216" t="s">
        <v>343</v>
      </c>
      <c r="AS5" s="217"/>
      <c r="AT5" s="218">
        <v>50</v>
      </c>
      <c r="AU5" s="219"/>
      <c r="AV5" s="217"/>
      <c r="AW5" s="220">
        <v>276.8</v>
      </c>
      <c r="AX5" s="221"/>
      <c r="AY5" s="222"/>
    </row>
    <row r="6" spans="1:51" ht="18.95" customHeight="1">
      <c r="A6" s="260"/>
      <c r="B6" s="260"/>
      <c r="C6" s="260"/>
      <c r="D6" s="260" t="s">
        <v>584</v>
      </c>
      <c r="E6" s="260"/>
      <c r="F6" s="260"/>
      <c r="G6" s="260"/>
      <c r="H6" s="260"/>
      <c r="I6" s="260"/>
      <c r="J6" s="260"/>
      <c r="K6" s="260"/>
      <c r="L6" s="837">
        <f>ROUND(0.2778*L7*L8*L9,2)</f>
        <v>1.17</v>
      </c>
      <c r="M6" s="260"/>
      <c r="N6" s="260"/>
      <c r="O6" s="817"/>
      <c r="P6" s="832"/>
      <c r="Q6" s="832"/>
      <c r="R6" s="1267"/>
      <c r="S6" s="1269">
        <v>1.2</v>
      </c>
      <c r="T6" s="832"/>
      <c r="U6" s="811"/>
      <c r="V6" s="811"/>
      <c r="W6" s="818"/>
      <c r="X6" s="811"/>
      <c r="Y6" s="817"/>
      <c r="Z6" s="832"/>
      <c r="AA6" s="832"/>
      <c r="AB6" s="1268"/>
      <c r="AC6" s="1270">
        <v>3</v>
      </c>
      <c r="AD6" s="832"/>
      <c r="AE6" s="833" t="s">
        <v>585</v>
      </c>
      <c r="AF6" s="811"/>
      <c r="AG6" s="818"/>
      <c r="AH6" s="811"/>
      <c r="AI6" s="838"/>
      <c r="AJ6" s="839"/>
      <c r="AK6" s="839"/>
      <c r="AL6" s="839"/>
      <c r="AM6" s="839"/>
      <c r="AN6" s="839"/>
      <c r="AO6" s="839"/>
      <c r="AP6" s="839"/>
      <c r="AQ6" s="840"/>
      <c r="AR6" s="218" t="s">
        <v>577</v>
      </c>
      <c r="AS6" s="217"/>
      <c r="AT6" s="218">
        <v>100</v>
      </c>
      <c r="AU6" s="219"/>
      <c r="AV6" s="217"/>
      <c r="AW6" s="220">
        <v>309.5</v>
      </c>
      <c r="AX6" s="221"/>
      <c r="AY6" s="222"/>
    </row>
    <row r="7" spans="1:51" ht="18.95" customHeight="1">
      <c r="A7" s="260"/>
      <c r="B7" s="260"/>
      <c r="C7" s="260"/>
      <c r="D7" s="260" t="s">
        <v>586</v>
      </c>
      <c r="E7" s="260"/>
      <c r="F7" s="260"/>
      <c r="G7" s="260"/>
      <c r="H7" s="1254"/>
      <c r="I7" s="1254"/>
      <c r="J7" s="260"/>
      <c r="K7" s="260"/>
      <c r="L7" s="841">
        <v>0.8</v>
      </c>
      <c r="M7" s="260"/>
      <c r="N7" s="260"/>
      <c r="O7" s="817"/>
      <c r="P7" s="832"/>
      <c r="Q7" s="832"/>
      <c r="R7" s="1267"/>
      <c r="S7" s="1269"/>
      <c r="T7" s="832"/>
      <c r="U7" s="833" t="s">
        <v>587</v>
      </c>
      <c r="V7" s="811"/>
      <c r="W7" s="818"/>
      <c r="X7" s="811"/>
      <c r="Y7" s="817"/>
      <c r="Z7" s="832"/>
      <c r="AA7" s="832"/>
      <c r="AB7" s="1268"/>
      <c r="AC7" s="1270"/>
      <c r="AD7" s="832"/>
      <c r="AE7" s="832"/>
      <c r="AF7" s="811"/>
      <c r="AG7" s="818"/>
      <c r="AH7" s="811"/>
      <c r="AI7" s="835" t="s">
        <v>588</v>
      </c>
      <c r="AJ7" s="826"/>
      <c r="AK7" s="826"/>
      <c r="AL7" s="826"/>
      <c r="AM7" s="826"/>
      <c r="AN7" s="827"/>
      <c r="AO7" s="827"/>
      <c r="AP7" s="827"/>
      <c r="AQ7" s="828"/>
      <c r="AR7" s="216"/>
      <c r="AS7" s="217"/>
      <c r="AT7" s="218"/>
      <c r="AU7" s="219"/>
      <c r="AV7" s="217"/>
      <c r="AW7" s="220"/>
      <c r="AX7" s="221"/>
      <c r="AY7" s="222"/>
    </row>
    <row r="8" spans="1:51" ht="18.95" customHeight="1">
      <c r="A8" s="260"/>
      <c r="B8" s="260"/>
      <c r="C8" s="260"/>
      <c r="D8" s="260" t="s">
        <v>589</v>
      </c>
      <c r="E8" s="260"/>
      <c r="F8" s="260"/>
      <c r="G8" s="260"/>
      <c r="H8" s="260"/>
      <c r="I8" s="260"/>
      <c r="J8" s="260"/>
      <c r="K8" s="260"/>
      <c r="L8" s="837">
        <f>L24</f>
        <v>175.99</v>
      </c>
      <c r="M8" s="260"/>
      <c r="N8" s="260"/>
      <c r="O8" s="817"/>
      <c r="P8" s="832">
        <f>S6</f>
        <v>1.2</v>
      </c>
      <c r="Q8" s="832"/>
      <c r="R8" s="832"/>
      <c r="S8" s="834" t="e">
        <f>#REF!</f>
        <v>#REF!</v>
      </c>
      <c r="T8" s="832"/>
      <c r="U8" s="832"/>
      <c r="V8" s="832"/>
      <c r="W8" s="818"/>
      <c r="X8" s="811"/>
      <c r="Y8" s="817"/>
      <c r="Z8" s="832">
        <f>AC6</f>
        <v>3</v>
      </c>
      <c r="AA8" s="832"/>
      <c r="AB8" s="832"/>
      <c r="AC8" s="832"/>
      <c r="AD8" s="832"/>
      <c r="AE8" s="832"/>
      <c r="AF8" s="832"/>
      <c r="AG8" s="818"/>
      <c r="AH8" s="811"/>
      <c r="AI8" s="842"/>
      <c r="AJ8" s="827"/>
      <c r="AK8" s="827"/>
      <c r="AL8" s="811" t="s">
        <v>590</v>
      </c>
      <c r="AM8" s="827"/>
      <c r="AN8" s="843">
        <v>800</v>
      </c>
      <c r="AO8" s="844" t="s">
        <v>591</v>
      </c>
      <c r="AP8" s="845">
        <v>1</v>
      </c>
      <c r="AQ8" s="846" t="s">
        <v>592</v>
      </c>
      <c r="AR8" s="216"/>
      <c r="AS8" s="217"/>
      <c r="AT8" s="218"/>
      <c r="AU8" s="219"/>
      <c r="AV8" s="217"/>
      <c r="AW8" s="220"/>
      <c r="AX8" s="221"/>
      <c r="AY8" s="222"/>
    </row>
    <row r="9" spans="1:51" ht="18.95" customHeight="1">
      <c r="A9" s="260"/>
      <c r="B9" s="260"/>
      <c r="C9" s="260"/>
      <c r="D9" s="260" t="s">
        <v>593</v>
      </c>
      <c r="E9" s="260"/>
      <c r="F9" s="260"/>
      <c r="G9" s="260"/>
      <c r="H9" s="260"/>
      <c r="I9" s="260"/>
      <c r="J9" s="260"/>
      <c r="K9" s="260"/>
      <c r="L9" s="847">
        <f>M9/100</f>
        <v>0.03</v>
      </c>
      <c r="M9" s="848">
        <v>3</v>
      </c>
      <c r="N9" s="260"/>
      <c r="O9" s="817"/>
      <c r="P9" s="832"/>
      <c r="Q9" s="849" t="e">
        <f>#REF!</f>
        <v>#REF!</v>
      </c>
      <c r="R9" s="832"/>
      <c r="S9" s="811"/>
      <c r="T9" s="834"/>
      <c r="U9" s="832"/>
      <c r="V9" s="832"/>
      <c r="W9" s="818"/>
      <c r="X9" s="811"/>
      <c r="Y9" s="817"/>
      <c r="Z9" s="832"/>
      <c r="AA9" s="849" t="e">
        <f>ROUND(#REF!/AB5*AC6,2)</f>
        <v>#REF!</v>
      </c>
      <c r="AB9" s="832"/>
      <c r="AC9" s="834" t="e">
        <f>#REF!</f>
        <v>#REF!</v>
      </c>
      <c r="AD9" s="834"/>
      <c r="AE9" s="832"/>
      <c r="AF9" s="832"/>
      <c r="AG9" s="818"/>
      <c r="AH9" s="811"/>
      <c r="AI9" s="842"/>
      <c r="AJ9" s="827"/>
      <c r="AK9" s="827"/>
      <c r="AL9" s="850" t="s">
        <v>594</v>
      </c>
      <c r="AM9" s="827"/>
      <c r="AN9" s="811"/>
      <c r="AO9" s="811"/>
      <c r="AP9" s="811"/>
      <c r="AQ9" s="818"/>
      <c r="AR9" s="216"/>
      <c r="AS9" s="217"/>
      <c r="AT9" s="218"/>
      <c r="AU9" s="219"/>
      <c r="AV9" s="217"/>
      <c r="AW9" s="220"/>
      <c r="AX9" s="221"/>
      <c r="AY9" s="222"/>
    </row>
    <row r="10" spans="1:51" ht="18.95" customHeight="1">
      <c r="A10" s="260"/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817"/>
      <c r="P10" s="832"/>
      <c r="Q10" s="849"/>
      <c r="R10" s="832"/>
      <c r="S10" s="834"/>
      <c r="T10" s="834"/>
      <c r="U10" s="832"/>
      <c r="V10" s="832"/>
      <c r="W10" s="818"/>
      <c r="X10" s="811"/>
      <c r="Y10" s="817"/>
      <c r="Z10" s="832"/>
      <c r="AA10" s="849"/>
      <c r="AB10" s="832"/>
      <c r="AC10" s="834"/>
      <c r="AD10" s="834"/>
      <c r="AE10" s="832"/>
      <c r="AF10" s="832"/>
      <c r="AG10" s="818"/>
      <c r="AH10" s="811"/>
      <c r="AI10" s="842"/>
      <c r="AJ10" s="827"/>
      <c r="AK10" s="827"/>
      <c r="AL10" s="811"/>
      <c r="AM10" s="850" t="s">
        <v>595</v>
      </c>
      <c r="AN10" s="827"/>
      <c r="AO10" s="827" t="s">
        <v>207</v>
      </c>
      <c r="AP10" s="851">
        <f>ROUND((0.785*(AN8/1000)^2)*AP8,3)</f>
        <v>0.502</v>
      </c>
      <c r="AQ10" s="852" t="s">
        <v>35</v>
      </c>
      <c r="AR10" s="216"/>
      <c r="AS10" s="217"/>
      <c r="AT10" s="218"/>
      <c r="AU10" s="219"/>
      <c r="AV10" s="217"/>
      <c r="AW10" s="220"/>
      <c r="AX10" s="221"/>
      <c r="AY10" s="222"/>
    </row>
    <row r="11" spans="1:51" ht="18.95" customHeight="1">
      <c r="A11" s="260"/>
      <c r="B11" s="816" t="s">
        <v>596</v>
      </c>
      <c r="C11" s="260"/>
      <c r="D11" s="260"/>
      <c r="E11" s="260"/>
      <c r="F11" s="260"/>
      <c r="G11" s="260"/>
      <c r="H11" s="260"/>
      <c r="I11" s="260"/>
      <c r="J11" s="260"/>
      <c r="K11" s="260"/>
      <c r="L11" s="260"/>
      <c r="M11" s="260"/>
      <c r="N11" s="260"/>
      <c r="O11" s="817"/>
      <c r="P11" s="832"/>
      <c r="Q11" s="849"/>
      <c r="R11" s="832"/>
      <c r="S11" s="834"/>
      <c r="T11" s="834"/>
      <c r="U11" s="811"/>
      <c r="V11" s="832"/>
      <c r="W11" s="818"/>
      <c r="X11" s="811"/>
      <c r="Y11" s="817"/>
      <c r="Z11" s="832"/>
      <c r="AA11" s="849"/>
      <c r="AB11" s="832"/>
      <c r="AC11" s="834"/>
      <c r="AD11" s="834"/>
      <c r="AE11" s="832"/>
      <c r="AF11" s="832"/>
      <c r="AG11" s="818"/>
      <c r="AH11" s="811"/>
      <c r="AI11" s="842"/>
      <c r="AJ11" s="827"/>
      <c r="AK11" s="827"/>
      <c r="AL11" s="850" t="s">
        <v>597</v>
      </c>
      <c r="AM11" s="827"/>
      <c r="AN11" s="827"/>
      <c r="AO11" s="811"/>
      <c r="AP11" s="811"/>
      <c r="AQ11" s="818"/>
      <c r="AR11" s="216" t="s">
        <v>598</v>
      </c>
      <c r="AS11" s="217"/>
      <c r="AT11" s="218">
        <v>30</v>
      </c>
      <c r="AU11" s="219"/>
      <c r="AV11" s="217"/>
      <c r="AW11" s="220">
        <v>200.9</v>
      </c>
      <c r="AX11" s="221"/>
      <c r="AY11" s="222"/>
    </row>
    <row r="12" spans="1:51" ht="18.95" customHeight="1">
      <c r="A12" s="260"/>
      <c r="B12" s="260"/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817"/>
      <c r="P12" s="811"/>
      <c r="Q12" s="853" t="s">
        <v>599</v>
      </c>
      <c r="R12" s="854" t="e">
        <f>"√"&amp;FIXED(P8,2)&amp;"² + "&amp;FIXED(Q9,2)&amp;"² ="</f>
        <v>#REF!</v>
      </c>
      <c r="S12" s="855"/>
      <c r="T12" s="856" t="e">
        <f>ROUND((P8^2+Q9^2)^0.5,2)</f>
        <v>#REF!</v>
      </c>
      <c r="U12" s="811"/>
      <c r="V12" s="832"/>
      <c r="W12" s="818"/>
      <c r="X12" s="811"/>
      <c r="Y12" s="817"/>
      <c r="Z12" s="811"/>
      <c r="AA12" s="853" t="s">
        <v>599</v>
      </c>
      <c r="AB12" s="854" t="e">
        <f>"√"&amp;FIXED(Z8,2)&amp;"² + "&amp;FIXED(AA9,2)&amp;"² ="</f>
        <v>#REF!</v>
      </c>
      <c r="AC12" s="855"/>
      <c r="AD12" s="856" t="e">
        <f>ROUND((Z8^2+AA9^2)^0.5,2)</f>
        <v>#REF!</v>
      </c>
      <c r="AE12" s="811"/>
      <c r="AF12" s="832"/>
      <c r="AG12" s="818"/>
      <c r="AH12" s="811"/>
      <c r="AI12" s="842"/>
      <c r="AJ12" s="827"/>
      <c r="AK12" s="857" t="s">
        <v>600</v>
      </c>
      <c r="AL12" s="811"/>
      <c r="AM12" s="850" t="s">
        <v>601</v>
      </c>
      <c r="AN12" s="827"/>
      <c r="AO12" s="827" t="s">
        <v>207</v>
      </c>
      <c r="AP12" s="851">
        <f>ROUND(3.14*(AN8/1000)*AP8,3)</f>
        <v>2.512</v>
      </c>
      <c r="AQ12" s="852" t="s">
        <v>34</v>
      </c>
      <c r="AR12" s="216" t="s">
        <v>598</v>
      </c>
      <c r="AS12" s="217"/>
      <c r="AT12" s="218">
        <v>50</v>
      </c>
      <c r="AU12" s="219"/>
      <c r="AV12" s="217"/>
      <c r="AW12" s="220">
        <v>216.5</v>
      </c>
      <c r="AX12" s="221"/>
      <c r="AY12" s="222"/>
    </row>
    <row r="13" spans="1:51" ht="18.95" customHeight="1">
      <c r="A13" s="260"/>
      <c r="B13" s="260"/>
      <c r="C13" s="858" t="s">
        <v>602</v>
      </c>
      <c r="D13" s="858"/>
      <c r="E13" s="858"/>
      <c r="F13" s="858"/>
      <c r="G13" s="260"/>
      <c r="H13" s="260"/>
      <c r="I13" s="260"/>
      <c r="J13" s="260"/>
      <c r="K13" s="260"/>
      <c r="L13" s="260"/>
      <c r="M13" s="260"/>
      <c r="N13" s="260"/>
      <c r="O13" s="817"/>
      <c r="P13" s="811"/>
      <c r="Q13" s="853" t="s">
        <v>603</v>
      </c>
      <c r="R13" s="859" t="s">
        <v>604</v>
      </c>
      <c r="S13" s="860">
        <f>ROUND(1/MID(R13,4,3),4)</f>
        <v>3.0300000000000001E-2</v>
      </c>
      <c r="T13" s="861"/>
      <c r="U13" s="811"/>
      <c r="V13" s="811"/>
      <c r="W13" s="818"/>
      <c r="X13" s="811"/>
      <c r="Y13" s="817"/>
      <c r="Z13" s="862"/>
      <c r="AA13" s="853" t="s">
        <v>603</v>
      </c>
      <c r="AB13" s="859" t="s">
        <v>605</v>
      </c>
      <c r="AC13" s="860">
        <f>ROUND(1/MID(AB13,4,4),4)</f>
        <v>6.7000000000000002E-3</v>
      </c>
      <c r="AD13" s="861"/>
      <c r="AE13" s="811"/>
      <c r="AF13" s="832"/>
      <c r="AG13" s="818"/>
      <c r="AH13" s="811"/>
      <c r="AI13" s="842"/>
      <c r="AJ13" s="827"/>
      <c r="AK13" s="827"/>
      <c r="AL13" s="850" t="s">
        <v>606</v>
      </c>
      <c r="AM13" s="811"/>
      <c r="AN13" s="811"/>
      <c r="AO13" s="827" t="s">
        <v>207</v>
      </c>
      <c r="AP13" s="851">
        <f>ROUND(AP10/AP12,3)</f>
        <v>0.2</v>
      </c>
      <c r="AQ13" s="852"/>
      <c r="AR13" s="216" t="s">
        <v>598</v>
      </c>
      <c r="AS13" s="217"/>
      <c r="AT13" s="218">
        <v>70</v>
      </c>
      <c r="AU13" s="219"/>
      <c r="AV13" s="217"/>
      <c r="AW13" s="220">
        <v>226.7</v>
      </c>
      <c r="AX13" s="221"/>
      <c r="AY13" s="222"/>
    </row>
    <row r="14" spans="1:51" ht="18.95" customHeight="1">
      <c r="A14" s="260"/>
      <c r="B14" s="260"/>
      <c r="C14" s="858"/>
      <c r="D14" s="858"/>
      <c r="E14" s="858"/>
      <c r="F14" s="858"/>
      <c r="G14" s="260"/>
      <c r="H14" s="260"/>
      <c r="I14" s="260"/>
      <c r="J14" s="260"/>
      <c r="K14" s="260"/>
      <c r="L14" s="260"/>
      <c r="M14" s="260"/>
      <c r="N14" s="260"/>
      <c r="O14" s="817"/>
      <c r="P14" s="811"/>
      <c r="Q14" s="827"/>
      <c r="R14" s="863"/>
      <c r="S14" s="864"/>
      <c r="T14" s="811"/>
      <c r="U14" s="811"/>
      <c r="V14" s="811"/>
      <c r="W14" s="818"/>
      <c r="X14" s="811"/>
      <c r="Y14" s="817"/>
      <c r="Z14" s="862"/>
      <c r="AA14" s="827"/>
      <c r="AB14" s="863"/>
      <c r="AC14" s="864"/>
      <c r="AD14" s="811"/>
      <c r="AE14" s="811"/>
      <c r="AF14" s="832"/>
      <c r="AG14" s="818"/>
      <c r="AH14" s="811"/>
      <c r="AI14" s="842"/>
      <c r="AJ14" s="827"/>
      <c r="AK14" s="827"/>
      <c r="AL14" s="811"/>
      <c r="AM14" s="811"/>
      <c r="AN14" s="811"/>
      <c r="AO14" s="827"/>
      <c r="AP14" s="851"/>
      <c r="AQ14" s="852"/>
      <c r="AR14" s="216" t="s">
        <v>598</v>
      </c>
      <c r="AS14" s="217"/>
      <c r="AT14" s="218">
        <v>80</v>
      </c>
      <c r="AU14" s="219"/>
      <c r="AV14" s="217"/>
      <c r="AW14" s="220">
        <v>230.8</v>
      </c>
      <c r="AX14" s="221"/>
      <c r="AY14" s="222"/>
    </row>
    <row r="15" spans="1:51" ht="18.95" customHeight="1">
      <c r="A15" s="260"/>
      <c r="B15" s="260"/>
      <c r="C15" s="865" t="s">
        <v>607</v>
      </c>
      <c r="D15" s="866"/>
      <c r="E15" s="867"/>
      <c r="F15" s="867"/>
      <c r="G15" s="260"/>
      <c r="H15" s="260"/>
      <c r="I15" s="260"/>
      <c r="J15" s="260"/>
      <c r="K15" s="260"/>
      <c r="L15" s="260"/>
      <c r="M15" s="260"/>
      <c r="N15" s="260"/>
      <c r="O15" s="817"/>
      <c r="P15" s="811"/>
      <c r="Q15" s="827"/>
      <c r="R15" s="827"/>
      <c r="S15" s="864"/>
      <c r="T15" s="827"/>
      <c r="U15" s="811"/>
      <c r="V15" s="811"/>
      <c r="W15" s="818"/>
      <c r="X15" s="811"/>
      <c r="Y15" s="817"/>
      <c r="Z15" s="811"/>
      <c r="AA15" s="827"/>
      <c r="AB15" s="864"/>
      <c r="AC15" s="811"/>
      <c r="AD15" s="811"/>
      <c r="AE15" s="811"/>
      <c r="AF15" s="811"/>
      <c r="AG15" s="818"/>
      <c r="AH15" s="811"/>
      <c r="AI15" s="842"/>
      <c r="AJ15" s="827"/>
      <c r="AK15" s="827"/>
      <c r="AL15" s="811" t="s">
        <v>608</v>
      </c>
      <c r="AM15" s="827"/>
      <c r="AN15" s="868">
        <f>1/AP15*100</f>
        <v>10</v>
      </c>
      <c r="AO15" s="827" t="s">
        <v>609</v>
      </c>
      <c r="AP15" s="869">
        <v>10</v>
      </c>
      <c r="AQ15" s="818" t="s">
        <v>610</v>
      </c>
      <c r="AR15" s="216" t="s">
        <v>598</v>
      </c>
      <c r="AS15" s="217"/>
      <c r="AT15" s="218">
        <v>100</v>
      </c>
      <c r="AU15" s="219"/>
      <c r="AV15" s="217"/>
      <c r="AW15" s="220">
        <v>237.5</v>
      </c>
      <c r="AX15" s="221"/>
      <c r="AY15" s="222"/>
    </row>
    <row r="16" spans="1:51" ht="18.95" customHeight="1">
      <c r="A16" s="260"/>
      <c r="B16" s="260"/>
      <c r="C16" s="858"/>
      <c r="D16" s="867" t="s">
        <v>611</v>
      </c>
      <c r="E16" s="867"/>
      <c r="F16" s="867"/>
      <c r="G16" s="260"/>
      <c r="H16" s="260"/>
      <c r="I16" s="260"/>
      <c r="J16" s="260"/>
      <c r="K16" s="260"/>
      <c r="L16" s="870">
        <f>ROUND(((2/3*3.28*L17*(L19/L18^0.5))^0.467/60),2)</f>
        <v>0.22</v>
      </c>
      <c r="M16" s="260"/>
      <c r="N16" s="260"/>
      <c r="O16" s="871"/>
      <c r="P16" s="872"/>
      <c r="Q16" s="872"/>
      <c r="R16" s="872"/>
      <c r="S16" s="872"/>
      <c r="T16" s="872"/>
      <c r="U16" s="872"/>
      <c r="V16" s="872"/>
      <c r="W16" s="873"/>
      <c r="X16" s="811"/>
      <c r="Y16" s="871"/>
      <c r="Z16" s="874"/>
      <c r="AA16" s="875"/>
      <c r="AB16" s="876"/>
      <c r="AC16" s="872"/>
      <c r="AD16" s="874"/>
      <c r="AE16" s="877"/>
      <c r="AF16" s="872"/>
      <c r="AG16" s="873"/>
      <c r="AH16" s="811"/>
      <c r="AI16" s="842"/>
      <c r="AJ16" s="827"/>
      <c r="AK16" s="827"/>
      <c r="AL16" s="827"/>
      <c r="AM16" s="811" t="s">
        <v>612</v>
      </c>
      <c r="AN16" s="864">
        <v>1.2999999999999999E-2</v>
      </c>
      <c r="AO16" s="811"/>
      <c r="AP16" s="878"/>
      <c r="AQ16" s="828"/>
      <c r="AR16" s="216" t="s">
        <v>613</v>
      </c>
      <c r="AS16" s="217"/>
      <c r="AT16" s="218">
        <v>10</v>
      </c>
      <c r="AU16" s="219"/>
      <c r="AV16" s="217"/>
      <c r="AW16" s="220">
        <v>122.2</v>
      </c>
      <c r="AX16" s="221"/>
      <c r="AY16" s="222"/>
    </row>
    <row r="17" spans="1:51" ht="18.95" customHeight="1">
      <c r="A17" s="260"/>
      <c r="B17" s="260"/>
      <c r="C17" s="858"/>
      <c r="D17" s="867" t="s">
        <v>614</v>
      </c>
      <c r="E17" s="867"/>
      <c r="F17" s="867"/>
      <c r="G17" s="260"/>
      <c r="H17" s="260"/>
      <c r="I17" s="260"/>
      <c r="J17" s="260"/>
      <c r="K17" s="260"/>
      <c r="L17" s="841">
        <v>200</v>
      </c>
      <c r="M17" s="260"/>
      <c r="N17" s="260"/>
      <c r="O17" s="817"/>
      <c r="P17" s="811" t="s">
        <v>615</v>
      </c>
      <c r="Q17" s="811"/>
      <c r="R17" s="811"/>
      <c r="S17" s="811"/>
      <c r="T17" s="811"/>
      <c r="U17" s="811"/>
      <c r="V17" s="811"/>
      <c r="W17" s="818"/>
      <c r="X17" s="811"/>
      <c r="Y17" s="817"/>
      <c r="Z17" s="811" t="s">
        <v>616</v>
      </c>
      <c r="AA17" s="863"/>
      <c r="AB17" s="864"/>
      <c r="AC17" s="811"/>
      <c r="AD17" s="862"/>
      <c r="AE17" s="827"/>
      <c r="AF17" s="811"/>
      <c r="AG17" s="818"/>
      <c r="AH17" s="811"/>
      <c r="AI17" s="817"/>
      <c r="AJ17" s="811"/>
      <c r="AK17" s="811"/>
      <c r="AL17" s="811"/>
      <c r="AM17" s="811"/>
      <c r="AN17" s="811"/>
      <c r="AO17" s="811"/>
      <c r="AP17" s="811"/>
      <c r="AQ17" s="818"/>
      <c r="AR17" s="216" t="s">
        <v>613</v>
      </c>
      <c r="AS17" s="217"/>
      <c r="AT17" s="218">
        <v>20</v>
      </c>
      <c r="AU17" s="219"/>
      <c r="AV17" s="217"/>
      <c r="AW17" s="220">
        <v>135.30000000000001</v>
      </c>
      <c r="AX17" s="221"/>
      <c r="AY17" s="222"/>
    </row>
    <row r="18" spans="1:51" ht="18.95" customHeight="1">
      <c r="A18" s="260"/>
      <c r="B18" s="260"/>
      <c r="C18" s="858"/>
      <c r="D18" s="867" t="s">
        <v>617</v>
      </c>
      <c r="E18" s="867"/>
      <c r="F18" s="867"/>
      <c r="G18" s="260"/>
      <c r="H18" s="260"/>
      <c r="I18" s="260"/>
      <c r="J18" s="260"/>
      <c r="K18" s="260"/>
      <c r="L18" s="837">
        <f>L20/L17</f>
        <v>1.5</v>
      </c>
      <c r="M18" s="260"/>
      <c r="N18" s="260"/>
      <c r="O18" s="817"/>
      <c r="P18" s="827" t="s">
        <v>618</v>
      </c>
      <c r="Q18" s="811" t="e">
        <f>" ( "&amp;T12&amp;" × 2 EA ) + "&amp;S8&amp;"  ="</f>
        <v>#REF!</v>
      </c>
      <c r="R18" s="811"/>
      <c r="S18" s="811"/>
      <c r="T18" s="879" t="e">
        <f>ROUND(T12*2+S8,3)</f>
        <v>#REF!</v>
      </c>
      <c r="U18" s="811"/>
      <c r="V18" s="811"/>
      <c r="W18" s="818"/>
      <c r="X18" s="811"/>
      <c r="Y18" s="817"/>
      <c r="Z18" s="827" t="s">
        <v>618</v>
      </c>
      <c r="AA18" s="811" t="e">
        <f>" ( "&amp;FIXED(AD12,2)&amp;" ×2 EA ) + "&amp;FIXED(AC9,2)&amp;"  ="</f>
        <v>#REF!</v>
      </c>
      <c r="AB18" s="811"/>
      <c r="AC18" s="811"/>
      <c r="AD18" s="879" t="e">
        <f>ROUND(AD12*2+AC9,3)</f>
        <v>#REF!</v>
      </c>
      <c r="AE18" s="811"/>
      <c r="AF18" s="811"/>
      <c r="AG18" s="818"/>
      <c r="AH18" s="811"/>
      <c r="AI18" s="817"/>
      <c r="AJ18" s="880" t="s">
        <v>619</v>
      </c>
      <c r="AK18" s="881" t="str">
        <f>"V = 1 / n × R⅔ × I½  = 75 × "&amp;FIXED(AP13,3)&amp;"^⅔ × "&amp;FIXED(ROUND(1/AN15,3),3)&amp;"^⅔  ="</f>
        <v>V = 1 / n × R⅔ × I½  = 75 × 0.200^⅔ × 0.100^⅔  =</v>
      </c>
      <c r="AL18" s="826"/>
      <c r="AM18" s="811"/>
      <c r="AN18" s="864"/>
      <c r="AO18" s="811"/>
      <c r="AP18" s="811"/>
      <c r="AQ18" s="818"/>
      <c r="AR18" s="216" t="s">
        <v>613</v>
      </c>
      <c r="AS18" s="217"/>
      <c r="AT18" s="218">
        <v>30</v>
      </c>
      <c r="AU18" s="219"/>
      <c r="AV18" s="217"/>
      <c r="AW18" s="220">
        <v>142.9</v>
      </c>
      <c r="AX18" s="221"/>
      <c r="AY18" s="222"/>
    </row>
    <row r="19" spans="1:51" ht="18.95" customHeight="1">
      <c r="A19" s="260"/>
      <c r="B19" s="260"/>
      <c r="C19" s="260"/>
      <c r="D19" s="867" t="s">
        <v>620</v>
      </c>
      <c r="E19" s="260"/>
      <c r="F19" s="260"/>
      <c r="G19" s="260"/>
      <c r="H19" s="260"/>
      <c r="I19" s="260"/>
      <c r="J19" s="260"/>
      <c r="K19" s="260"/>
      <c r="L19" s="841">
        <v>0.7</v>
      </c>
      <c r="M19" s="260"/>
      <c r="N19" s="260"/>
      <c r="O19" s="817"/>
      <c r="P19" s="827"/>
      <c r="Q19" s="811"/>
      <c r="R19" s="811"/>
      <c r="S19" s="811"/>
      <c r="T19" s="879"/>
      <c r="U19" s="811"/>
      <c r="V19" s="811"/>
      <c r="W19" s="818"/>
      <c r="X19" s="811"/>
      <c r="Y19" s="817"/>
      <c r="Z19" s="827"/>
      <c r="AA19" s="811"/>
      <c r="AB19" s="811"/>
      <c r="AC19" s="811"/>
      <c r="AD19" s="879"/>
      <c r="AE19" s="811"/>
      <c r="AF19" s="811"/>
      <c r="AG19" s="818"/>
      <c r="AH19" s="811"/>
      <c r="AI19" s="817"/>
      <c r="AJ19" s="880"/>
      <c r="AK19" s="811"/>
      <c r="AL19" s="826"/>
      <c r="AM19" s="864"/>
      <c r="AN19" s="811"/>
      <c r="AO19" s="851">
        <f>ROUND(75*AP13^(2/3)*(1/AN15)^(1/2),3)</f>
        <v>8.1110000000000007</v>
      </c>
      <c r="AP19" s="882" t="s">
        <v>621</v>
      </c>
      <c r="AQ19" s="818"/>
      <c r="AR19" s="216" t="s">
        <v>613</v>
      </c>
      <c r="AS19" s="217"/>
      <c r="AT19" s="218">
        <v>50</v>
      </c>
      <c r="AU19" s="219"/>
      <c r="AV19" s="217"/>
      <c r="AW19" s="220">
        <v>152.30000000000001</v>
      </c>
      <c r="AX19" s="221"/>
      <c r="AY19" s="222"/>
    </row>
    <row r="20" spans="1:51" ht="18.95" customHeight="1">
      <c r="A20" s="260"/>
      <c r="B20" s="260"/>
      <c r="C20" s="260"/>
      <c r="D20" s="867" t="s">
        <v>622</v>
      </c>
      <c r="E20" s="260"/>
      <c r="F20" s="260"/>
      <c r="G20" s="260"/>
      <c r="H20" s="260"/>
      <c r="I20" s="260"/>
      <c r="J20" s="260"/>
      <c r="K20" s="260"/>
      <c r="L20" s="883">
        <v>300</v>
      </c>
      <c r="M20" s="260"/>
      <c r="N20" s="260"/>
      <c r="O20" s="817"/>
      <c r="P20" s="811" t="s">
        <v>623</v>
      </c>
      <c r="Q20" s="811"/>
      <c r="R20" s="811"/>
      <c r="S20" s="811"/>
      <c r="T20" s="879"/>
      <c r="U20" s="811"/>
      <c r="V20" s="811"/>
      <c r="W20" s="818"/>
      <c r="X20" s="811"/>
      <c r="Y20" s="817"/>
      <c r="Z20" s="811" t="s">
        <v>623</v>
      </c>
      <c r="AA20" s="811"/>
      <c r="AB20" s="811"/>
      <c r="AC20" s="811"/>
      <c r="AD20" s="879"/>
      <c r="AE20" s="811"/>
      <c r="AF20" s="811"/>
      <c r="AG20" s="818"/>
      <c r="AH20" s="811"/>
      <c r="AI20" s="817"/>
      <c r="AJ20" s="880"/>
      <c r="AK20" s="811"/>
      <c r="AL20" s="826"/>
      <c r="AM20" s="864"/>
      <c r="AN20" s="811"/>
      <c r="AO20" s="851"/>
      <c r="AP20" s="882"/>
      <c r="AQ20" s="818"/>
      <c r="AR20" s="216" t="s">
        <v>613</v>
      </c>
      <c r="AS20" s="217"/>
      <c r="AT20" s="218">
        <v>70</v>
      </c>
      <c r="AU20" s="219"/>
      <c r="AV20" s="217"/>
      <c r="AW20" s="220">
        <v>158.5</v>
      </c>
      <c r="AX20" s="221"/>
      <c r="AY20" s="222"/>
    </row>
    <row r="21" spans="1:51" ht="18.95" customHeight="1">
      <c r="A21" s="260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817"/>
      <c r="P21" s="827" t="s">
        <v>624</v>
      </c>
      <c r="Q21" s="811" t="e">
        <f>" ( "&amp;#REF!+Q9*2&amp;" + "&amp;S8&amp;" )× 1/2 × "&amp;S6&amp;"  ="</f>
        <v>#REF!</v>
      </c>
      <c r="R21" s="811"/>
      <c r="S21" s="811"/>
      <c r="T21" s="879" t="e">
        <f>ROUND(((#REF!+Q9*2)+S8)/2*S6,2)</f>
        <v>#REF!</v>
      </c>
      <c r="U21" s="811"/>
      <c r="V21" s="811"/>
      <c r="W21" s="818"/>
      <c r="X21" s="811"/>
      <c r="Y21" s="817"/>
      <c r="Z21" s="827" t="s">
        <v>624</v>
      </c>
      <c r="AA21" s="811" t="e">
        <f>" ( "&amp;FIXED(#REF!+AA9*2,2)&amp;" + "&amp;FIXED(AC9,2)&amp;" ) ×1/2 ×"&amp;FIXED(AC6,2)&amp;"  ="</f>
        <v>#REF!</v>
      </c>
      <c r="AB21" s="811"/>
      <c r="AC21" s="811"/>
      <c r="AD21" s="879" t="e">
        <f>ROUND(((#REF!+AA9*2)+AC9)/2*AC6,2)</f>
        <v>#REF!</v>
      </c>
      <c r="AE21" s="811"/>
      <c r="AF21" s="811"/>
      <c r="AG21" s="818"/>
      <c r="AH21" s="811"/>
      <c r="AI21" s="817"/>
      <c r="AJ21" s="880" t="s">
        <v>625</v>
      </c>
      <c r="AK21" s="811" t="str">
        <f>"Q = A × V   = "&amp;FIXED(AP10,3)&amp;" × "&amp;FIXED(AO19,3)&amp;"  ="</f>
        <v>Q = A × V   = 0.502 × 8.111  =</v>
      </c>
      <c r="AL21" s="811"/>
      <c r="AM21" s="884"/>
      <c r="AN21" s="864"/>
      <c r="AO21" s="851">
        <f>ROUND(AP10*AO19,3)</f>
        <v>4.0720000000000001</v>
      </c>
      <c r="AP21" s="811" t="s">
        <v>626</v>
      </c>
      <c r="AQ21" s="818"/>
      <c r="AR21" s="216" t="s">
        <v>613</v>
      </c>
      <c r="AS21" s="217"/>
      <c r="AT21" s="218">
        <v>80</v>
      </c>
      <c r="AU21" s="219"/>
      <c r="AV21" s="217"/>
      <c r="AW21" s="220">
        <v>160.9</v>
      </c>
      <c r="AX21" s="221"/>
      <c r="AY21" s="222"/>
    </row>
    <row r="22" spans="1:51" ht="18.95" customHeight="1" thickBot="1">
      <c r="A22" s="260"/>
      <c r="B22" s="816" t="s">
        <v>627</v>
      </c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817"/>
      <c r="P22" s="827"/>
      <c r="Q22" s="811"/>
      <c r="R22" s="811"/>
      <c r="S22" s="811"/>
      <c r="T22" s="879"/>
      <c r="U22" s="811"/>
      <c r="V22" s="811"/>
      <c r="W22" s="818"/>
      <c r="X22" s="811"/>
      <c r="Y22" s="817"/>
      <c r="Z22" s="827"/>
      <c r="AA22" s="811"/>
      <c r="AB22" s="811"/>
      <c r="AC22" s="811"/>
      <c r="AD22" s="879"/>
      <c r="AE22" s="811"/>
      <c r="AF22" s="811"/>
      <c r="AG22" s="818"/>
      <c r="AH22" s="811"/>
      <c r="AI22" s="817"/>
      <c r="AJ22" s="862"/>
      <c r="AK22" s="827"/>
      <c r="AL22" s="827"/>
      <c r="AM22" s="827"/>
      <c r="AN22" s="827"/>
      <c r="AO22" s="827"/>
      <c r="AP22" s="827"/>
      <c r="AQ22" s="818"/>
      <c r="AR22" s="216" t="s">
        <v>613</v>
      </c>
      <c r="AS22" s="217"/>
      <c r="AT22" s="218">
        <v>100</v>
      </c>
      <c r="AU22" s="219"/>
      <c r="AV22" s="217"/>
      <c r="AW22" s="220">
        <v>165</v>
      </c>
      <c r="AX22" s="221"/>
      <c r="AY22" s="222"/>
    </row>
    <row r="23" spans="1:51" ht="18.95" customHeight="1" thickBot="1">
      <c r="A23" s="260"/>
      <c r="B23" s="816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817"/>
      <c r="P23" s="827"/>
      <c r="Q23" s="811"/>
      <c r="R23" s="811"/>
      <c r="S23" s="811"/>
      <c r="T23" s="879"/>
      <c r="U23" s="811"/>
      <c r="V23" s="811"/>
      <c r="W23" s="818"/>
      <c r="X23" s="811"/>
      <c r="Y23" s="817"/>
      <c r="Z23" s="827"/>
      <c r="AA23" s="811"/>
      <c r="AB23" s="811"/>
      <c r="AC23" s="811"/>
      <c r="AD23" s="879"/>
      <c r="AE23" s="811"/>
      <c r="AF23" s="811"/>
      <c r="AG23" s="818"/>
      <c r="AH23" s="811"/>
      <c r="AI23" s="817"/>
      <c r="AJ23" s="862"/>
      <c r="AK23" s="1255" t="str">
        <f>AO21&amp;"㎥/s &gt; Qd = "&amp;AK5&amp;"㎥/s "&amp;IF(AO21&gt;AK5," -  O K  - "," -  N O  - ")</f>
        <v xml:space="preserve">4.072㎥/s &gt; Qd = 1.76㎥/s  -  O K  - </v>
      </c>
      <c r="AL23" s="1255"/>
      <c r="AM23" s="1255"/>
      <c r="AN23" s="1255"/>
      <c r="AO23" s="1255"/>
      <c r="AP23" s="827"/>
      <c r="AQ23" s="818"/>
      <c r="AR23" s="216" t="s">
        <v>628</v>
      </c>
      <c r="AS23" s="217"/>
      <c r="AT23" s="218">
        <v>10</v>
      </c>
      <c r="AU23" s="219"/>
      <c r="AV23" s="217"/>
      <c r="AW23" s="220">
        <v>217.1</v>
      </c>
      <c r="AX23" s="221"/>
      <c r="AY23" s="222"/>
    </row>
    <row r="24" spans="1:51" ht="18.95" customHeight="1">
      <c r="A24" s="260"/>
      <c r="B24" s="260"/>
      <c r="C24" s="260" t="s">
        <v>629</v>
      </c>
      <c r="D24" s="260"/>
      <c r="E24" s="260"/>
      <c r="F24" s="260"/>
      <c r="G24" s="260"/>
      <c r="H24" s="260"/>
      <c r="I24" s="260"/>
      <c r="J24" s="260"/>
      <c r="K24" s="260"/>
      <c r="L24" s="885">
        <f>ROUND((F25/24)*(24/L16)^0.557,2)</f>
        <v>175.99</v>
      </c>
      <c r="M24" s="260"/>
      <c r="N24" s="260"/>
      <c r="O24" s="817"/>
      <c r="P24" s="827" t="s">
        <v>630</v>
      </c>
      <c r="Q24" s="811" t="e">
        <f>" ( "&amp;T21&amp;" / "&amp;T18&amp;" )  ="</f>
        <v>#REF!</v>
      </c>
      <c r="R24" s="811"/>
      <c r="S24" s="811"/>
      <c r="T24" s="879" t="e">
        <f>ROUND(T21/T18,3)</f>
        <v>#REF!</v>
      </c>
      <c r="U24" s="811"/>
      <c r="V24" s="811"/>
      <c r="W24" s="818"/>
      <c r="X24" s="811"/>
      <c r="Y24" s="817"/>
      <c r="Z24" s="827" t="s">
        <v>630</v>
      </c>
      <c r="AA24" s="811" t="e">
        <f>" ( "&amp;FIXED(AD21,2)&amp;" / "&amp;FIXED(AD18,2)&amp;" ) ="</f>
        <v>#REF!</v>
      </c>
      <c r="AB24" s="811"/>
      <c r="AC24" s="811"/>
      <c r="AD24" s="879" t="e">
        <f>ROUND(AD21/AD18,3)</f>
        <v>#REF!</v>
      </c>
      <c r="AE24" s="811"/>
      <c r="AF24" s="811"/>
      <c r="AG24" s="818"/>
      <c r="AH24" s="811"/>
      <c r="AI24" s="817"/>
      <c r="AJ24" s="862"/>
      <c r="AK24" s="811"/>
      <c r="AL24" s="886"/>
      <c r="AM24" s="827"/>
      <c r="AN24" s="887"/>
      <c r="AO24" s="827"/>
      <c r="AP24" s="811"/>
      <c r="AQ24" s="828"/>
      <c r="AR24" s="216" t="s">
        <v>628</v>
      </c>
      <c r="AS24" s="217"/>
      <c r="AT24" s="218">
        <v>20</v>
      </c>
      <c r="AU24" s="219"/>
      <c r="AV24" s="217"/>
      <c r="AW24" s="220">
        <v>254</v>
      </c>
      <c r="AX24" s="221"/>
      <c r="AY24" s="222"/>
    </row>
    <row r="25" spans="1:51" ht="18.95" customHeight="1">
      <c r="A25" s="260"/>
      <c r="B25" s="260"/>
      <c r="C25" s="260"/>
      <c r="D25" s="260" t="s">
        <v>631</v>
      </c>
      <c r="E25" s="260"/>
      <c r="F25" s="610">
        <f t="array" ref="F25">MAX(IF(($AR$2:$AR$85=L26)*($AT$2:$AT$85=M26),$AW$2:$AW$85,""))</f>
        <v>309.5</v>
      </c>
      <c r="G25" s="611"/>
      <c r="H25" s="1254" t="s">
        <v>632</v>
      </c>
      <c r="I25" s="1254"/>
      <c r="J25" s="260"/>
      <c r="K25" s="260"/>
      <c r="L25" s="888" t="s">
        <v>633</v>
      </c>
      <c r="M25" s="888" t="s">
        <v>634</v>
      </c>
      <c r="N25" s="260"/>
      <c r="O25" s="817"/>
      <c r="P25" s="811" t="s">
        <v>635</v>
      </c>
      <c r="Q25" s="811"/>
      <c r="R25" s="811"/>
      <c r="S25" s="811"/>
      <c r="T25" s="879"/>
      <c r="U25" s="811"/>
      <c r="V25" s="811"/>
      <c r="W25" s="818"/>
      <c r="X25" s="811"/>
      <c r="Y25" s="817"/>
      <c r="Z25" s="811" t="s">
        <v>636</v>
      </c>
      <c r="AA25" s="811"/>
      <c r="AB25" s="811"/>
      <c r="AC25" s="811"/>
      <c r="AD25" s="879"/>
      <c r="AE25" s="811"/>
      <c r="AF25" s="811"/>
      <c r="AG25" s="818"/>
      <c r="AH25" s="811"/>
      <c r="AI25" s="817"/>
      <c r="AJ25" s="880" t="s">
        <v>637</v>
      </c>
      <c r="AK25" s="827">
        <f>ROUND(AO21/AK5*100,)</f>
        <v>231</v>
      </c>
      <c r="AL25" s="850" t="s">
        <v>638</v>
      </c>
      <c r="AM25" s="827"/>
      <c r="AN25" s="887"/>
      <c r="AO25" s="827"/>
      <c r="AP25" s="811"/>
      <c r="AQ25" s="828"/>
      <c r="AR25" s="216" t="s">
        <v>628</v>
      </c>
      <c r="AS25" s="217"/>
      <c r="AT25" s="218">
        <v>30</v>
      </c>
      <c r="AU25" s="219"/>
      <c r="AV25" s="217"/>
      <c r="AW25" s="220">
        <v>275.2</v>
      </c>
      <c r="AX25" s="221"/>
      <c r="AY25" s="222"/>
    </row>
    <row r="26" spans="1:51" ht="18.95" customHeight="1">
      <c r="A26" s="260"/>
      <c r="B26" s="260"/>
      <c r="C26" s="260"/>
      <c r="D26" s="260"/>
      <c r="E26" s="260"/>
      <c r="F26" s="611"/>
      <c r="G26" s="611"/>
      <c r="H26" s="889"/>
      <c r="I26" s="889"/>
      <c r="J26" s="260"/>
      <c r="K26" s="260"/>
      <c r="L26" s="613" t="s">
        <v>503</v>
      </c>
      <c r="M26" s="613">
        <v>100</v>
      </c>
      <c r="N26" s="260"/>
      <c r="O26" s="817"/>
      <c r="P26" s="827" t="s">
        <v>639</v>
      </c>
      <c r="Q26" s="811" t="e">
        <f>" 1 / "&amp;#REF!&amp;" × "&amp;T24&amp;"^ ⅔ × "&amp;S13&amp;" ^½  ="</f>
        <v>#REF!</v>
      </c>
      <c r="R26" s="811"/>
      <c r="S26" s="811"/>
      <c r="T26" s="879" t="e">
        <f>ROUND(1/#REF!*T24^(2/3)*S13^(1/2),3)</f>
        <v>#REF!</v>
      </c>
      <c r="U26" s="811" t="s">
        <v>640</v>
      </c>
      <c r="V26" s="811"/>
      <c r="W26" s="818"/>
      <c r="X26" s="811"/>
      <c r="Y26" s="817"/>
      <c r="Z26" s="827" t="s">
        <v>639</v>
      </c>
      <c r="AA26" s="811" t="e">
        <f>" 1/"&amp;FIXED(#REF!,3)&amp;" ×"&amp;FIXED(AD24,3)&amp;"^ ⅔ ×"&amp;FIXED(AC13,3)&amp;" ^½ ="</f>
        <v>#REF!</v>
      </c>
      <c r="AB26" s="811"/>
      <c r="AC26" s="811"/>
      <c r="AD26" s="879" t="e">
        <f>ROUND(1/#REF!*AD24^(2/3)*AC13^(1/2),3)</f>
        <v>#REF!</v>
      </c>
      <c r="AE26" s="811" t="s">
        <v>641</v>
      </c>
      <c r="AF26" s="811"/>
      <c r="AG26" s="818"/>
      <c r="AH26" s="811"/>
      <c r="AI26" s="838"/>
      <c r="AJ26" s="839"/>
      <c r="AK26" s="839"/>
      <c r="AL26" s="260"/>
      <c r="AM26" s="260"/>
      <c r="AN26" s="260"/>
      <c r="AO26" s="260"/>
      <c r="AP26" s="811"/>
      <c r="AQ26" s="828"/>
      <c r="AR26" s="216" t="s">
        <v>642</v>
      </c>
      <c r="AS26" s="217"/>
      <c r="AT26" s="218">
        <v>50</v>
      </c>
      <c r="AU26" s="219"/>
      <c r="AV26" s="217"/>
      <c r="AW26" s="220">
        <v>301.7</v>
      </c>
      <c r="AX26" s="221"/>
      <c r="AY26" s="222"/>
    </row>
    <row r="27" spans="1:51" ht="18.95" customHeight="1" thickBot="1">
      <c r="A27" s="260"/>
      <c r="B27" s="260"/>
      <c r="C27" s="260"/>
      <c r="D27" s="260"/>
      <c r="E27" s="260"/>
      <c r="F27" s="611"/>
      <c r="G27" s="611"/>
      <c r="H27" s="889"/>
      <c r="I27" s="889"/>
      <c r="J27" s="260"/>
      <c r="K27" s="260"/>
      <c r="L27" s="614"/>
      <c r="M27" s="614"/>
      <c r="N27" s="260"/>
      <c r="O27" s="817"/>
      <c r="P27" s="827"/>
      <c r="Q27" s="811"/>
      <c r="R27" s="811"/>
      <c r="S27" s="811"/>
      <c r="T27" s="811"/>
      <c r="U27" s="811"/>
      <c r="V27" s="811"/>
      <c r="W27" s="818"/>
      <c r="X27" s="811"/>
      <c r="Y27" s="817"/>
      <c r="Z27" s="827"/>
      <c r="AA27" s="811"/>
      <c r="AB27" s="811"/>
      <c r="AC27" s="811"/>
      <c r="AD27" s="879"/>
      <c r="AE27" s="811"/>
      <c r="AF27" s="811"/>
      <c r="AG27" s="818"/>
      <c r="AH27" s="811"/>
      <c r="AI27" s="890"/>
      <c r="AJ27" s="891"/>
      <c r="AK27" s="891"/>
      <c r="AL27" s="891"/>
      <c r="AM27" s="891"/>
      <c r="AN27" s="891"/>
      <c r="AO27" s="891"/>
      <c r="AP27" s="891"/>
      <c r="AQ27" s="892"/>
      <c r="AR27" s="216" t="s">
        <v>628</v>
      </c>
      <c r="AS27" s="217"/>
      <c r="AT27" s="218">
        <v>70</v>
      </c>
      <c r="AU27" s="219"/>
      <c r="AV27" s="217"/>
      <c r="AW27" s="220">
        <v>319.10000000000002</v>
      </c>
      <c r="AX27" s="221"/>
      <c r="AY27" s="222"/>
    </row>
    <row r="28" spans="1:51" ht="18.95" customHeight="1">
      <c r="A28" s="260"/>
      <c r="B28" s="260"/>
      <c r="C28" s="260"/>
      <c r="D28" s="893" t="s">
        <v>643</v>
      </c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894"/>
      <c r="P28" s="895"/>
      <c r="Q28" s="896"/>
      <c r="R28" s="896"/>
      <c r="S28" s="896"/>
      <c r="T28" s="896"/>
      <c r="U28" s="896"/>
      <c r="V28" s="896"/>
      <c r="W28" s="897"/>
      <c r="X28" s="811"/>
      <c r="Y28" s="894"/>
      <c r="Z28" s="895"/>
      <c r="AA28" s="896"/>
      <c r="AB28" s="896"/>
      <c r="AC28" s="896"/>
      <c r="AD28" s="898"/>
      <c r="AE28" s="896"/>
      <c r="AF28" s="896"/>
      <c r="AG28" s="897"/>
      <c r="AH28" s="811"/>
      <c r="AI28" s="260"/>
      <c r="AJ28" s="260"/>
      <c r="AK28" s="260"/>
      <c r="AL28" s="260"/>
      <c r="AM28" s="260"/>
      <c r="AN28" s="260"/>
      <c r="AO28" s="260"/>
      <c r="AP28" s="260"/>
      <c r="AQ28" s="260"/>
      <c r="AR28" s="216" t="s">
        <v>628</v>
      </c>
      <c r="AS28" s="217"/>
      <c r="AT28" s="218">
        <v>80</v>
      </c>
      <c r="AU28" s="219"/>
      <c r="AV28" s="217"/>
      <c r="AW28" s="220">
        <v>326</v>
      </c>
      <c r="AX28" s="221"/>
      <c r="AY28" s="222"/>
    </row>
    <row r="29" spans="1:51" ht="18.95" customHeight="1">
      <c r="O29" s="899"/>
      <c r="P29" s="900"/>
      <c r="Q29" s="901"/>
      <c r="R29" s="901"/>
      <c r="S29" s="901"/>
      <c r="T29" s="901"/>
      <c r="U29" s="901"/>
      <c r="V29" s="901"/>
      <c r="W29" s="902"/>
      <c r="Y29" s="899"/>
      <c r="Z29" s="900"/>
      <c r="AA29" s="901"/>
      <c r="AB29" s="901"/>
      <c r="AC29" s="901"/>
      <c r="AD29" s="903"/>
      <c r="AE29" s="901"/>
      <c r="AF29" s="901"/>
      <c r="AG29" s="902"/>
      <c r="AI29" s="214"/>
      <c r="AJ29" s="214"/>
      <c r="AK29" s="214"/>
      <c r="AL29" s="214"/>
      <c r="AM29" s="214"/>
      <c r="AN29" s="214"/>
      <c r="AO29" s="214"/>
      <c r="AP29" s="214"/>
      <c r="AQ29" s="214"/>
      <c r="AR29" s="216" t="s">
        <v>628</v>
      </c>
      <c r="AS29" s="217"/>
      <c r="AT29" s="218">
        <v>100</v>
      </c>
      <c r="AU29" s="219"/>
      <c r="AV29" s="217"/>
      <c r="AW29" s="220">
        <v>337.5</v>
      </c>
      <c r="AX29" s="221"/>
      <c r="AY29" s="222"/>
    </row>
    <row r="30" spans="1:51" ht="18.95" customHeight="1">
      <c r="L30" s="904" t="s">
        <v>644</v>
      </c>
      <c r="O30" s="560"/>
      <c r="W30" s="585"/>
      <c r="Y30" s="560"/>
      <c r="Z30" s="572"/>
      <c r="AA30" s="562"/>
      <c r="AB30" s="562"/>
      <c r="AC30" s="905"/>
      <c r="AD30" s="562"/>
      <c r="AE30" s="562"/>
      <c r="AF30" s="562"/>
      <c r="AG30" s="585"/>
      <c r="AI30" s="214"/>
      <c r="AJ30" s="214"/>
      <c r="AK30" s="214"/>
      <c r="AL30" s="214"/>
      <c r="AM30" s="214"/>
      <c r="AN30" s="214"/>
      <c r="AO30" s="214"/>
      <c r="AP30" s="214"/>
      <c r="AQ30" s="214"/>
      <c r="AR30" s="216" t="s">
        <v>645</v>
      </c>
      <c r="AS30" s="217"/>
      <c r="AT30" s="218">
        <v>10</v>
      </c>
      <c r="AU30" s="219"/>
      <c r="AV30" s="217"/>
      <c r="AW30" s="220">
        <v>170.4</v>
      </c>
      <c r="AX30" s="221"/>
      <c r="AY30" s="222"/>
    </row>
    <row r="31" spans="1:51" ht="18.95" customHeight="1" thickBot="1">
      <c r="O31" s="906"/>
      <c r="P31" s="907"/>
      <c r="Q31" s="907"/>
      <c r="R31" s="907"/>
      <c r="S31" s="907"/>
      <c r="T31" s="907"/>
      <c r="U31" s="907"/>
      <c r="V31" s="907"/>
      <c r="W31" s="908"/>
      <c r="Y31" s="906"/>
      <c r="Z31" s="907"/>
      <c r="AA31" s="907"/>
      <c r="AB31" s="907"/>
      <c r="AC31" s="907"/>
      <c r="AD31" s="907"/>
      <c r="AE31" s="907"/>
      <c r="AF31" s="907"/>
      <c r="AG31" s="908"/>
      <c r="AI31" s="214"/>
      <c r="AJ31" s="214"/>
      <c r="AK31" s="214"/>
      <c r="AL31" s="214"/>
      <c r="AM31" s="214"/>
      <c r="AN31" s="214"/>
      <c r="AO31" s="214"/>
      <c r="AP31" s="214"/>
      <c r="AQ31" s="214"/>
      <c r="AR31" s="216" t="s">
        <v>646</v>
      </c>
      <c r="AS31" s="217"/>
      <c r="AT31" s="218">
        <v>20</v>
      </c>
      <c r="AU31" s="219"/>
      <c r="AV31" s="217"/>
      <c r="AW31" s="220">
        <v>196.8</v>
      </c>
      <c r="AX31" s="221"/>
      <c r="AY31" s="222"/>
    </row>
    <row r="32" spans="1:51" ht="18.95" customHeight="1">
      <c r="O32" s="215"/>
      <c r="P32" s="215"/>
      <c r="Q32" s="215"/>
      <c r="R32" s="215"/>
      <c r="S32" s="215"/>
      <c r="T32" s="808"/>
      <c r="U32" s="909"/>
      <c r="V32" s="909"/>
      <c r="Y32" s="562"/>
      <c r="Z32" s="562"/>
      <c r="AA32" s="562"/>
      <c r="AB32" s="562"/>
      <c r="AC32" s="562"/>
      <c r="AD32" s="808"/>
      <c r="AE32" s="909"/>
      <c r="AF32" s="909"/>
      <c r="AI32" s="214"/>
      <c r="AJ32" s="214"/>
      <c r="AK32" s="214"/>
      <c r="AL32" s="214"/>
      <c r="AM32" s="214"/>
      <c r="AN32" s="214"/>
      <c r="AO32" s="214"/>
      <c r="AP32" s="214"/>
      <c r="AQ32" s="214"/>
      <c r="AR32" s="216" t="s">
        <v>646</v>
      </c>
      <c r="AS32" s="217"/>
      <c r="AT32" s="218">
        <v>30</v>
      </c>
      <c r="AU32" s="219"/>
      <c r="AV32" s="217"/>
      <c r="AW32" s="220">
        <v>211.2</v>
      </c>
      <c r="AX32" s="221"/>
      <c r="AY32" s="222"/>
    </row>
    <row r="33" spans="15:51" ht="18.95" customHeight="1">
      <c r="O33" s="910"/>
      <c r="P33" s="911"/>
      <c r="Q33" s="910"/>
      <c r="R33" s="910"/>
      <c r="S33" s="910"/>
      <c r="T33" s="910"/>
      <c r="U33" s="910"/>
      <c r="V33" s="910"/>
      <c r="W33" s="910"/>
      <c r="AI33" s="214"/>
      <c r="AJ33" s="214"/>
      <c r="AK33" s="214"/>
      <c r="AL33" s="214"/>
      <c r="AM33" s="214"/>
      <c r="AN33" s="214"/>
      <c r="AO33" s="214"/>
      <c r="AP33" s="214"/>
      <c r="AQ33" s="214"/>
      <c r="AR33" s="216" t="s">
        <v>646</v>
      </c>
      <c r="AS33" s="217"/>
      <c r="AT33" s="218">
        <v>50</v>
      </c>
      <c r="AU33" s="219"/>
      <c r="AV33" s="217"/>
      <c r="AW33" s="220">
        <v>228</v>
      </c>
      <c r="AX33" s="221"/>
      <c r="AY33" s="222"/>
    </row>
    <row r="34" spans="15:51" ht="18.95" customHeight="1">
      <c r="P34" s="909"/>
      <c r="AI34" s="214"/>
      <c r="AJ34" s="214"/>
      <c r="AK34" s="214"/>
      <c r="AL34" s="214"/>
      <c r="AM34" s="214"/>
      <c r="AN34" s="214"/>
      <c r="AO34" s="214"/>
      <c r="AP34" s="214"/>
      <c r="AQ34" s="214"/>
      <c r="AR34" s="216" t="s">
        <v>646</v>
      </c>
      <c r="AS34" s="217"/>
      <c r="AT34" s="218">
        <v>70</v>
      </c>
      <c r="AU34" s="219"/>
      <c r="AV34" s="217"/>
      <c r="AW34" s="220">
        <v>240</v>
      </c>
      <c r="AX34" s="221"/>
      <c r="AY34" s="222"/>
    </row>
    <row r="35" spans="15:51" ht="18.95" customHeight="1">
      <c r="P35" s="909"/>
      <c r="AI35" s="214"/>
      <c r="AJ35" s="214"/>
      <c r="AK35" s="214"/>
      <c r="AL35" s="214"/>
      <c r="AM35" s="214"/>
      <c r="AN35" s="214"/>
      <c r="AO35" s="214"/>
      <c r="AP35" s="214"/>
      <c r="AQ35" s="214"/>
      <c r="AR35" s="216" t="s">
        <v>646</v>
      </c>
      <c r="AS35" s="217"/>
      <c r="AT35" s="218">
        <v>80</v>
      </c>
      <c r="AU35" s="219"/>
      <c r="AV35" s="217"/>
      <c r="AW35" s="220">
        <v>244.8</v>
      </c>
      <c r="AX35" s="221"/>
      <c r="AY35" s="222"/>
    </row>
    <row r="36" spans="15:51" ht="18.95" customHeight="1">
      <c r="P36" s="1256"/>
      <c r="Q36" s="1256"/>
      <c r="AI36" s="214"/>
      <c r="AJ36" s="214"/>
      <c r="AK36" s="214"/>
      <c r="AL36" s="214"/>
      <c r="AM36" s="214"/>
      <c r="AN36" s="214"/>
      <c r="AO36" s="214"/>
      <c r="AP36" s="214"/>
      <c r="AQ36" s="214"/>
      <c r="AR36" s="216" t="s">
        <v>647</v>
      </c>
      <c r="AS36" s="217"/>
      <c r="AT36" s="218">
        <v>100</v>
      </c>
      <c r="AU36" s="219"/>
      <c r="AV36" s="217"/>
      <c r="AW36" s="220">
        <v>252</v>
      </c>
      <c r="AX36" s="221"/>
      <c r="AY36" s="222"/>
    </row>
    <row r="37" spans="15:51" ht="18.95" customHeight="1">
      <c r="P37" s="909"/>
      <c r="AI37" s="214"/>
      <c r="AJ37" s="214"/>
      <c r="AK37" s="214"/>
      <c r="AL37" s="214"/>
      <c r="AM37" s="214"/>
      <c r="AN37" s="214"/>
      <c r="AO37" s="214"/>
      <c r="AP37" s="214"/>
      <c r="AQ37" s="214"/>
      <c r="AR37" s="216" t="s">
        <v>648</v>
      </c>
      <c r="AS37" s="217"/>
      <c r="AT37" s="218">
        <v>10</v>
      </c>
      <c r="AU37" s="219"/>
      <c r="AV37" s="217"/>
      <c r="AW37" s="220">
        <v>233.5</v>
      </c>
      <c r="AX37" s="221"/>
      <c r="AY37" s="222"/>
    </row>
    <row r="38" spans="15:51" ht="18.95" customHeight="1">
      <c r="P38" s="905"/>
      <c r="Q38" s="905"/>
      <c r="R38" s="905"/>
      <c r="S38" s="589"/>
      <c r="T38" s="589"/>
      <c r="U38" s="905"/>
      <c r="V38" s="905"/>
      <c r="AI38" s="214"/>
      <c r="AJ38" s="214"/>
      <c r="AK38" s="214"/>
      <c r="AL38" s="214"/>
      <c r="AM38" s="214"/>
      <c r="AN38" s="214"/>
      <c r="AO38" s="214"/>
      <c r="AP38" s="214"/>
      <c r="AQ38" s="214"/>
      <c r="AR38" s="216" t="s">
        <v>648</v>
      </c>
      <c r="AS38" s="217"/>
      <c r="AT38" s="218">
        <v>20</v>
      </c>
      <c r="AU38" s="219"/>
      <c r="AV38" s="217"/>
      <c r="AW38" s="220">
        <v>273.89999999999998</v>
      </c>
      <c r="AX38" s="221"/>
      <c r="AY38" s="222"/>
    </row>
    <row r="39" spans="15:51" ht="18.95" customHeight="1">
      <c r="P39" s="905"/>
      <c r="Q39" s="912"/>
      <c r="R39" s="913"/>
      <c r="S39" s="912"/>
      <c r="T39" s="912"/>
      <c r="U39" s="912"/>
      <c r="V39" s="9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6" t="s">
        <v>648</v>
      </c>
      <c r="AS39" s="217"/>
      <c r="AT39" s="218">
        <v>30</v>
      </c>
      <c r="AU39" s="219"/>
      <c r="AV39" s="217"/>
      <c r="AW39" s="220">
        <v>297.2</v>
      </c>
      <c r="AX39" s="221"/>
      <c r="AY39" s="222"/>
    </row>
    <row r="40" spans="15:51" ht="18.95" customHeight="1">
      <c r="P40" s="905"/>
      <c r="Q40" s="905"/>
      <c r="R40" s="905"/>
      <c r="S40" s="905"/>
      <c r="T40" s="905"/>
      <c r="U40" s="905"/>
      <c r="V40" s="905"/>
      <c r="AI40" s="214"/>
      <c r="AJ40" s="214"/>
      <c r="AK40" s="214"/>
      <c r="AL40" s="214"/>
      <c r="AM40" s="214"/>
      <c r="AN40" s="214"/>
      <c r="AO40" s="214"/>
      <c r="AP40" s="214"/>
      <c r="AQ40" s="214"/>
      <c r="AR40" s="216" t="s">
        <v>648</v>
      </c>
      <c r="AS40" s="217"/>
      <c r="AT40" s="218">
        <v>50</v>
      </c>
      <c r="AU40" s="219"/>
      <c r="AV40" s="217"/>
      <c r="AW40" s="220">
        <v>326.3</v>
      </c>
      <c r="AX40" s="221"/>
      <c r="AY40" s="222"/>
    </row>
    <row r="41" spans="15:51" ht="18.95" customHeight="1">
      <c r="P41" s="905"/>
      <c r="Q41" s="905"/>
      <c r="R41" s="1257"/>
      <c r="S41" s="589"/>
      <c r="T41" s="905"/>
      <c r="U41" s="905"/>
      <c r="AI41" s="214"/>
      <c r="AJ41" s="214"/>
      <c r="AK41" s="214"/>
      <c r="AL41" s="214"/>
      <c r="AM41" s="214"/>
      <c r="AN41" s="214"/>
      <c r="AO41" s="214"/>
      <c r="AP41" s="214"/>
      <c r="AQ41" s="214"/>
      <c r="AR41" s="216" t="s">
        <v>648</v>
      </c>
      <c r="AS41" s="217"/>
      <c r="AT41" s="218">
        <v>70</v>
      </c>
      <c r="AU41" s="219"/>
      <c r="AV41" s="217"/>
      <c r="AW41" s="220">
        <v>345.3</v>
      </c>
      <c r="AX41" s="221"/>
      <c r="AY41" s="222"/>
    </row>
    <row r="42" spans="15:51" ht="18.95" customHeight="1">
      <c r="P42" s="905"/>
      <c r="Q42" s="905"/>
      <c r="R42" s="1257"/>
      <c r="S42" s="1258"/>
      <c r="T42" s="905"/>
      <c r="U42" s="915"/>
      <c r="AI42" s="214"/>
      <c r="AJ42" s="214"/>
      <c r="AK42" s="214"/>
      <c r="AL42" s="214"/>
      <c r="AM42" s="214"/>
      <c r="AN42" s="214"/>
      <c r="AO42" s="214"/>
      <c r="AP42" s="214"/>
      <c r="AQ42" s="214"/>
      <c r="AR42" s="216" t="s">
        <v>648</v>
      </c>
      <c r="AS42" s="217"/>
      <c r="AT42" s="218">
        <v>80</v>
      </c>
      <c r="AU42" s="219"/>
      <c r="AV42" s="217"/>
      <c r="AW42" s="220">
        <v>352.9</v>
      </c>
      <c r="AX42" s="221"/>
      <c r="AY42" s="222"/>
    </row>
    <row r="43" spans="15:51" ht="18.95" customHeight="1">
      <c r="P43" s="905"/>
      <c r="Q43" s="905"/>
      <c r="R43" s="1257"/>
      <c r="S43" s="1258"/>
      <c r="T43" s="905"/>
      <c r="U43" s="905"/>
      <c r="AI43" s="214"/>
      <c r="AJ43" s="214"/>
      <c r="AK43" s="214"/>
      <c r="AL43" s="214"/>
      <c r="AM43" s="214"/>
      <c r="AN43" s="214"/>
      <c r="AO43" s="214"/>
      <c r="AP43" s="214"/>
      <c r="AQ43" s="214"/>
      <c r="AR43" s="216" t="s">
        <v>648</v>
      </c>
      <c r="AS43" s="217"/>
      <c r="AT43" s="218">
        <v>100</v>
      </c>
      <c r="AU43" s="219"/>
      <c r="AV43" s="217"/>
      <c r="AW43" s="220">
        <v>414.2</v>
      </c>
      <c r="AX43" s="221"/>
      <c r="AY43" s="222"/>
    </row>
    <row r="44" spans="15:51" ht="18.95" customHeight="1">
      <c r="P44" s="905"/>
      <c r="Q44" s="905"/>
      <c r="R44" s="905"/>
      <c r="S44" s="905"/>
      <c r="T44" s="905"/>
      <c r="U44" s="905"/>
      <c r="V44" s="905"/>
      <c r="AI44" s="214"/>
      <c r="AJ44" s="214"/>
      <c r="AK44" s="214"/>
      <c r="AL44" s="214"/>
      <c r="AM44" s="214"/>
      <c r="AN44" s="214"/>
      <c r="AO44" s="214"/>
      <c r="AP44" s="214"/>
      <c r="AQ44" s="214"/>
      <c r="AR44" s="216" t="s">
        <v>649</v>
      </c>
      <c r="AS44" s="217"/>
      <c r="AT44" s="218">
        <v>10</v>
      </c>
      <c r="AU44" s="219"/>
      <c r="AV44" s="217"/>
      <c r="AW44" s="220">
        <v>213.4</v>
      </c>
      <c r="AX44" s="221"/>
      <c r="AY44" s="222"/>
    </row>
    <row r="45" spans="15:51" ht="18.95" customHeight="1">
      <c r="P45" s="905"/>
      <c r="Q45" s="916"/>
      <c r="R45" s="905"/>
      <c r="S45" s="589"/>
      <c r="T45" s="589"/>
      <c r="U45" s="905"/>
      <c r="V45" s="905"/>
      <c r="AI45" s="214"/>
      <c r="AJ45" s="214"/>
      <c r="AK45" s="214"/>
      <c r="AL45" s="214"/>
      <c r="AM45" s="214"/>
      <c r="AN45" s="214"/>
      <c r="AO45" s="214"/>
      <c r="AP45" s="214"/>
      <c r="AQ45" s="214"/>
      <c r="AR45" s="216" t="s">
        <v>649</v>
      </c>
      <c r="AS45" s="217"/>
      <c r="AT45" s="218">
        <v>20</v>
      </c>
      <c r="AU45" s="219"/>
      <c r="AV45" s="217"/>
      <c r="AW45" s="220">
        <v>245.8</v>
      </c>
      <c r="AX45" s="221"/>
      <c r="AY45" s="222"/>
    </row>
    <row r="46" spans="15:51" ht="18.95" customHeight="1">
      <c r="P46" s="905"/>
      <c r="Q46" s="916"/>
      <c r="R46" s="905"/>
      <c r="S46" s="589"/>
      <c r="T46" s="589"/>
      <c r="U46" s="905"/>
      <c r="V46" s="905"/>
      <c r="AI46" s="214"/>
      <c r="AJ46" s="214"/>
      <c r="AK46" s="214"/>
      <c r="AL46" s="214"/>
      <c r="AM46" s="214"/>
      <c r="AN46" s="214"/>
      <c r="AO46" s="214"/>
      <c r="AP46" s="214"/>
      <c r="AQ46" s="214"/>
      <c r="AR46" s="216" t="s">
        <v>649</v>
      </c>
      <c r="AS46" s="217"/>
      <c r="AT46" s="218">
        <v>30</v>
      </c>
      <c r="AU46" s="219"/>
      <c r="AV46" s="217"/>
      <c r="AW46" s="220">
        <v>264.39999999999998</v>
      </c>
      <c r="AX46" s="221"/>
      <c r="AY46" s="222"/>
    </row>
    <row r="47" spans="15:51" ht="18.95" customHeight="1">
      <c r="P47" s="905"/>
      <c r="Q47" s="916"/>
      <c r="R47" s="905"/>
      <c r="S47" s="589"/>
      <c r="T47" s="589"/>
      <c r="U47" s="905"/>
      <c r="V47" s="905"/>
      <c r="AI47" s="214"/>
      <c r="AJ47" s="214"/>
      <c r="AK47" s="214"/>
      <c r="AL47" s="214"/>
      <c r="AM47" s="214"/>
      <c r="AN47" s="214"/>
      <c r="AO47" s="214"/>
      <c r="AP47" s="214"/>
      <c r="AQ47" s="214"/>
      <c r="AR47" s="216" t="s">
        <v>649</v>
      </c>
      <c r="AS47" s="217"/>
      <c r="AT47" s="218">
        <v>50</v>
      </c>
      <c r="AU47" s="219"/>
      <c r="AV47" s="217"/>
      <c r="AW47" s="220">
        <v>287.7</v>
      </c>
      <c r="AX47" s="221"/>
      <c r="AY47" s="222"/>
    </row>
    <row r="48" spans="15:51" ht="18.95" customHeight="1">
      <c r="Q48" s="556"/>
      <c r="R48" s="905"/>
      <c r="T48" s="598"/>
      <c r="V48" s="905"/>
      <c r="AI48" s="214"/>
      <c r="AJ48" s="214"/>
      <c r="AK48" s="214"/>
      <c r="AL48" s="214"/>
      <c r="AM48" s="214"/>
      <c r="AN48" s="214"/>
      <c r="AO48" s="214"/>
      <c r="AP48" s="214"/>
      <c r="AQ48" s="214"/>
      <c r="AR48" s="216" t="s">
        <v>649</v>
      </c>
      <c r="AS48" s="217"/>
      <c r="AT48" s="218">
        <v>70</v>
      </c>
      <c r="AU48" s="219"/>
      <c r="AV48" s="217"/>
      <c r="AW48" s="220">
        <v>302.89999999999998</v>
      </c>
      <c r="AX48" s="221"/>
      <c r="AY48" s="222"/>
    </row>
    <row r="49" spans="15:51" ht="18.95" customHeight="1">
      <c r="P49" s="572"/>
      <c r="Q49" s="556"/>
      <c r="R49" s="917"/>
      <c r="S49" s="598"/>
      <c r="V49" s="905"/>
      <c r="AI49" s="214"/>
      <c r="AJ49" s="214"/>
      <c r="AK49" s="214"/>
      <c r="AL49" s="214"/>
      <c r="AM49" s="214"/>
      <c r="AN49" s="214"/>
      <c r="AO49" s="214"/>
      <c r="AP49" s="214"/>
      <c r="AQ49" s="214"/>
      <c r="AR49" s="216" t="s">
        <v>649</v>
      </c>
      <c r="AS49" s="217"/>
      <c r="AT49" s="218">
        <v>80</v>
      </c>
      <c r="AU49" s="219"/>
      <c r="AV49" s="217"/>
      <c r="AW49" s="220">
        <v>309</v>
      </c>
      <c r="AX49" s="221"/>
      <c r="AY49" s="222"/>
    </row>
    <row r="50" spans="15:51" ht="18.95" customHeight="1">
      <c r="Q50" s="556"/>
      <c r="R50" s="598"/>
      <c r="AI50" s="214"/>
      <c r="AJ50" s="214"/>
      <c r="AK50" s="214"/>
      <c r="AL50" s="214"/>
      <c r="AM50" s="214"/>
      <c r="AN50" s="214"/>
      <c r="AO50" s="214"/>
      <c r="AP50" s="214"/>
      <c r="AQ50" s="214"/>
      <c r="AR50" s="216" t="s">
        <v>649</v>
      </c>
      <c r="AS50" s="217"/>
      <c r="AT50" s="218">
        <v>100</v>
      </c>
      <c r="AU50" s="219"/>
      <c r="AV50" s="217"/>
      <c r="AW50" s="220">
        <v>319.10000000000002</v>
      </c>
      <c r="AX50" s="221"/>
      <c r="AY50" s="222"/>
    </row>
    <row r="51" spans="15:51" ht="18.95" customHeight="1">
      <c r="O51" s="1253"/>
      <c r="P51" s="1253"/>
      <c r="Q51" s="917"/>
      <c r="R51" s="598"/>
      <c r="T51" s="572"/>
      <c r="U51" s="556"/>
      <c r="AI51" s="214"/>
      <c r="AJ51" s="214"/>
      <c r="AK51" s="214"/>
      <c r="AL51" s="214"/>
      <c r="AM51" s="214"/>
      <c r="AN51" s="214"/>
      <c r="AO51" s="214"/>
      <c r="AP51" s="214"/>
      <c r="AQ51" s="214"/>
      <c r="AR51" s="216" t="s">
        <v>650</v>
      </c>
      <c r="AS51" s="217"/>
      <c r="AT51" s="218">
        <v>10</v>
      </c>
      <c r="AU51" s="219"/>
      <c r="AV51" s="217"/>
      <c r="AW51" s="220">
        <v>154.5</v>
      </c>
      <c r="AX51" s="221"/>
      <c r="AY51" s="222"/>
    </row>
    <row r="52" spans="15:51" ht="18.95" customHeight="1">
      <c r="P52" s="572"/>
      <c r="Q52" s="917"/>
      <c r="R52" s="598"/>
      <c r="T52" s="572"/>
      <c r="U52" s="556"/>
      <c r="AI52" s="214"/>
      <c r="AJ52" s="214"/>
      <c r="AK52" s="214"/>
      <c r="AL52" s="214"/>
      <c r="AM52" s="214"/>
      <c r="AN52" s="214"/>
      <c r="AO52" s="214"/>
      <c r="AP52" s="214"/>
      <c r="AQ52" s="214"/>
      <c r="AR52" s="216" t="s">
        <v>650</v>
      </c>
      <c r="AS52" s="217"/>
      <c r="AT52" s="218">
        <v>20</v>
      </c>
      <c r="AU52" s="219"/>
      <c r="AV52" s="217"/>
      <c r="AW52" s="220">
        <v>173.6</v>
      </c>
      <c r="AX52" s="221"/>
      <c r="AY52" s="222"/>
    </row>
    <row r="53" spans="15:51" ht="18.95" customHeight="1">
      <c r="Q53" s="917"/>
      <c r="R53" s="598"/>
      <c r="T53" s="572"/>
      <c r="U53" s="556"/>
      <c r="AI53" s="214"/>
      <c r="AJ53" s="214"/>
      <c r="AK53" s="214"/>
      <c r="AL53" s="214"/>
      <c r="AM53" s="214"/>
      <c r="AN53" s="214"/>
      <c r="AO53" s="214"/>
      <c r="AP53" s="214"/>
      <c r="AQ53" s="214"/>
      <c r="AR53" s="216" t="s">
        <v>650</v>
      </c>
      <c r="AS53" s="217"/>
      <c r="AT53" s="218">
        <v>30</v>
      </c>
      <c r="AU53" s="219"/>
      <c r="AV53" s="217"/>
      <c r="AW53" s="220">
        <v>184.6</v>
      </c>
      <c r="AX53" s="221"/>
      <c r="AY53" s="222"/>
    </row>
    <row r="54" spans="15:51" ht="18.95" customHeight="1">
      <c r="P54" s="556"/>
      <c r="T54" s="918"/>
      <c r="AI54" s="214"/>
      <c r="AJ54" s="214"/>
      <c r="AK54" s="214"/>
      <c r="AL54" s="214"/>
      <c r="AM54" s="214"/>
      <c r="AN54" s="214"/>
      <c r="AO54" s="214"/>
      <c r="AP54" s="214"/>
      <c r="AQ54" s="214"/>
      <c r="AR54" s="216" t="s">
        <v>650</v>
      </c>
      <c r="AS54" s="217"/>
      <c r="AT54" s="218">
        <v>50</v>
      </c>
      <c r="AU54" s="219"/>
      <c r="AV54" s="217"/>
      <c r="AW54" s="220">
        <v>198.3</v>
      </c>
      <c r="AX54" s="221"/>
      <c r="AY54" s="222"/>
    </row>
    <row r="55" spans="15:51" ht="18.95" customHeight="1">
      <c r="P55" s="556"/>
      <c r="T55" s="918"/>
      <c r="AI55" s="214"/>
      <c r="AJ55" s="214"/>
      <c r="AK55" s="214"/>
      <c r="AL55" s="214"/>
      <c r="AM55" s="214"/>
      <c r="AN55" s="214"/>
      <c r="AO55" s="214"/>
      <c r="AP55" s="214"/>
      <c r="AQ55" s="214"/>
      <c r="AR55" s="216" t="s">
        <v>651</v>
      </c>
      <c r="AS55" s="217"/>
      <c r="AT55" s="218">
        <v>70</v>
      </c>
      <c r="AU55" s="219"/>
      <c r="AV55" s="217"/>
      <c r="AW55" s="220">
        <v>207.3</v>
      </c>
      <c r="AX55" s="221"/>
      <c r="AY55" s="222"/>
    </row>
    <row r="56" spans="15:51" ht="18.95" customHeight="1">
      <c r="T56" s="918"/>
      <c r="AI56" s="214"/>
      <c r="AJ56" s="214"/>
      <c r="AK56" s="214"/>
      <c r="AL56" s="214"/>
      <c r="AM56" s="214"/>
      <c r="AN56" s="214"/>
      <c r="AO56" s="214"/>
      <c r="AP56" s="214"/>
      <c r="AQ56" s="214"/>
      <c r="AR56" s="216" t="s">
        <v>650</v>
      </c>
      <c r="AS56" s="217"/>
      <c r="AT56" s="218">
        <v>80</v>
      </c>
      <c r="AU56" s="219"/>
      <c r="AV56" s="217"/>
      <c r="AW56" s="220">
        <v>210.9</v>
      </c>
      <c r="AX56" s="221"/>
      <c r="AY56" s="222"/>
    </row>
    <row r="57" spans="15:51" ht="18.95" customHeight="1">
      <c r="P57" s="556"/>
      <c r="T57" s="918"/>
      <c r="AI57" s="214"/>
      <c r="AJ57" s="214"/>
      <c r="AK57" s="214"/>
      <c r="AL57" s="214"/>
      <c r="AM57" s="214"/>
      <c r="AN57" s="214"/>
      <c r="AO57" s="214"/>
      <c r="AP57" s="214"/>
      <c r="AQ57" s="214"/>
      <c r="AR57" s="216" t="s">
        <v>650</v>
      </c>
      <c r="AS57" s="217"/>
      <c r="AT57" s="218">
        <v>100</v>
      </c>
      <c r="AU57" s="219"/>
      <c r="AV57" s="217"/>
      <c r="AW57" s="220">
        <v>237.6</v>
      </c>
      <c r="AX57" s="221"/>
      <c r="AY57" s="222"/>
    </row>
    <row r="58" spans="15:51" ht="18.95" customHeight="1">
      <c r="P58" s="556"/>
      <c r="T58" s="918"/>
      <c r="AI58" s="214"/>
      <c r="AJ58" s="214"/>
      <c r="AK58" s="214"/>
      <c r="AL58" s="214"/>
      <c r="AM58" s="214"/>
      <c r="AN58" s="214"/>
      <c r="AO58" s="214"/>
      <c r="AP58" s="214"/>
      <c r="AQ58" s="214"/>
      <c r="AR58" s="216" t="s">
        <v>652</v>
      </c>
      <c r="AS58" s="217"/>
      <c r="AT58" s="218">
        <v>10</v>
      </c>
      <c r="AU58" s="219"/>
      <c r="AV58" s="217"/>
      <c r="AW58" s="220">
        <v>172.2</v>
      </c>
      <c r="AX58" s="221"/>
      <c r="AY58" s="222"/>
    </row>
    <row r="59" spans="15:51" ht="18.95" customHeight="1">
      <c r="T59" s="918"/>
      <c r="AR59" s="216" t="s">
        <v>652</v>
      </c>
      <c r="AS59" s="217"/>
      <c r="AT59" s="218">
        <v>20</v>
      </c>
      <c r="AU59" s="219"/>
      <c r="AV59" s="217"/>
      <c r="AW59" s="220">
        <v>197.2</v>
      </c>
      <c r="AX59" s="221"/>
      <c r="AY59" s="222"/>
    </row>
    <row r="60" spans="15:51" ht="18.95" customHeight="1">
      <c r="P60" s="556"/>
      <c r="T60" s="918"/>
      <c r="AR60" s="216" t="s">
        <v>652</v>
      </c>
      <c r="AS60" s="217"/>
      <c r="AT60" s="218">
        <v>30</v>
      </c>
      <c r="AU60" s="219"/>
      <c r="AV60" s="217"/>
      <c r="AW60" s="220">
        <v>211.6</v>
      </c>
      <c r="AX60" s="221"/>
      <c r="AY60" s="222"/>
    </row>
    <row r="61" spans="15:51" ht="18.95" customHeight="1">
      <c r="P61" s="556"/>
      <c r="T61" s="918"/>
      <c r="AR61" s="216" t="s">
        <v>653</v>
      </c>
      <c r="AS61" s="217"/>
      <c r="AT61" s="218">
        <v>50</v>
      </c>
      <c r="AU61" s="219"/>
      <c r="AV61" s="217"/>
      <c r="AW61" s="220">
        <v>229.6</v>
      </c>
      <c r="AX61" s="221"/>
      <c r="AY61" s="222"/>
    </row>
    <row r="62" spans="15:51" ht="18.95" customHeight="1">
      <c r="T62" s="918"/>
      <c r="AR62" s="216" t="s">
        <v>351</v>
      </c>
      <c r="AS62" s="217"/>
      <c r="AT62" s="218">
        <v>70</v>
      </c>
      <c r="AU62" s="219"/>
      <c r="AV62" s="217"/>
      <c r="AW62" s="220">
        <v>241.4</v>
      </c>
      <c r="AX62" s="221"/>
      <c r="AY62" s="222"/>
    </row>
    <row r="63" spans="15:51" ht="18.95" customHeight="1">
      <c r="P63" s="556"/>
      <c r="T63" s="918"/>
      <c r="AR63" s="216" t="s">
        <v>652</v>
      </c>
      <c r="AS63" s="217"/>
      <c r="AT63" s="218">
        <v>80</v>
      </c>
      <c r="AU63" s="219"/>
      <c r="AV63" s="217"/>
      <c r="AW63" s="220">
        <v>246.1</v>
      </c>
      <c r="AX63" s="221"/>
      <c r="AY63" s="222"/>
    </row>
    <row r="64" spans="15:51" ht="18.95" customHeight="1">
      <c r="P64" s="556"/>
      <c r="T64" s="918"/>
      <c r="AR64" s="216" t="s">
        <v>652</v>
      </c>
      <c r="AS64" s="217"/>
      <c r="AT64" s="218">
        <v>100</v>
      </c>
      <c r="AU64" s="219"/>
      <c r="AV64" s="217"/>
      <c r="AW64" s="220">
        <v>253.9</v>
      </c>
      <c r="AX64" s="221"/>
      <c r="AY64" s="222"/>
    </row>
    <row r="65" spans="16:51" ht="18.95" customHeight="1">
      <c r="P65" s="556"/>
      <c r="T65" s="918"/>
      <c r="AR65" s="216" t="s">
        <v>654</v>
      </c>
      <c r="AS65" s="217"/>
      <c r="AT65" s="218">
        <v>10</v>
      </c>
      <c r="AU65" s="219"/>
      <c r="AV65" s="217"/>
      <c r="AW65" s="220">
        <v>149.19999999999999</v>
      </c>
      <c r="AX65" s="221"/>
      <c r="AY65" s="222"/>
    </row>
    <row r="66" spans="16:51" ht="18.95" customHeight="1">
      <c r="P66" s="556"/>
      <c r="T66" s="918"/>
      <c r="AR66" s="216" t="s">
        <v>654</v>
      </c>
      <c r="AS66" s="217"/>
      <c r="AT66" s="218">
        <v>20</v>
      </c>
      <c r="AU66" s="219"/>
      <c r="AV66" s="217"/>
      <c r="AW66" s="220">
        <v>168.1</v>
      </c>
      <c r="AX66" s="221"/>
      <c r="AY66" s="222"/>
    </row>
    <row r="67" spans="16:51" ht="18.95" customHeight="1">
      <c r="AR67" s="216" t="s">
        <v>654</v>
      </c>
      <c r="AS67" s="217"/>
      <c r="AT67" s="218">
        <v>30</v>
      </c>
      <c r="AU67" s="219"/>
      <c r="AV67" s="217"/>
      <c r="AW67" s="220">
        <v>179.1</v>
      </c>
      <c r="AX67" s="221"/>
      <c r="AY67" s="222"/>
    </row>
    <row r="68" spans="16:51" ht="18.95" customHeight="1">
      <c r="P68" s="556"/>
      <c r="S68" s="919"/>
      <c r="T68" s="909"/>
      <c r="U68" s="909"/>
      <c r="AR68" s="216" t="s">
        <v>655</v>
      </c>
      <c r="AS68" s="217"/>
      <c r="AT68" s="218">
        <v>50</v>
      </c>
      <c r="AU68" s="219"/>
      <c r="AV68" s="217"/>
      <c r="AW68" s="220">
        <v>192.7</v>
      </c>
      <c r="AX68" s="221"/>
      <c r="AY68" s="222"/>
    </row>
    <row r="69" spans="16:51" ht="18.95" customHeight="1">
      <c r="P69" s="572"/>
      <c r="S69" s="905"/>
      <c r="AR69" s="216" t="s">
        <v>654</v>
      </c>
      <c r="AS69" s="217"/>
      <c r="AT69" s="218">
        <v>70</v>
      </c>
      <c r="AU69" s="219"/>
      <c r="AV69" s="217"/>
      <c r="AW69" s="220">
        <v>201.6</v>
      </c>
      <c r="AX69" s="221"/>
      <c r="AY69" s="222"/>
    </row>
    <row r="70" spans="16:51" ht="18.95" customHeight="1">
      <c r="AR70" s="216" t="s">
        <v>656</v>
      </c>
      <c r="AS70" s="217"/>
      <c r="AT70" s="218">
        <v>80</v>
      </c>
      <c r="AU70" s="219"/>
      <c r="AV70" s="217"/>
      <c r="AW70" s="220">
        <v>205.2</v>
      </c>
      <c r="AX70" s="221"/>
      <c r="AY70" s="222"/>
    </row>
    <row r="71" spans="16:51" ht="18.95" customHeight="1">
      <c r="T71" s="808"/>
      <c r="U71" s="909"/>
      <c r="V71" s="909"/>
      <c r="AR71" s="216" t="s">
        <v>654</v>
      </c>
      <c r="AS71" s="217"/>
      <c r="AT71" s="218">
        <v>100</v>
      </c>
      <c r="AU71" s="219"/>
      <c r="AV71" s="217"/>
      <c r="AW71" s="220">
        <v>211.1</v>
      </c>
      <c r="AX71" s="221"/>
      <c r="AY71" s="222"/>
    </row>
    <row r="72" spans="16:51" ht="18.95" customHeight="1">
      <c r="T72" s="808"/>
      <c r="U72" s="909"/>
      <c r="V72" s="909"/>
      <c r="AR72" s="216" t="s">
        <v>657</v>
      </c>
      <c r="AS72" s="217"/>
      <c r="AT72" s="218">
        <v>10</v>
      </c>
      <c r="AU72" s="219"/>
      <c r="AV72" s="217"/>
      <c r="AW72" s="220">
        <v>147.4</v>
      </c>
      <c r="AX72" s="221"/>
      <c r="AY72" s="222"/>
    </row>
    <row r="73" spans="16:51" ht="18.95" customHeight="1">
      <c r="AR73" s="216" t="s">
        <v>657</v>
      </c>
      <c r="AS73" s="217"/>
      <c r="AT73" s="218">
        <v>20</v>
      </c>
      <c r="AU73" s="219"/>
      <c r="AV73" s="217"/>
      <c r="AW73" s="220">
        <v>164.7</v>
      </c>
      <c r="AX73" s="221"/>
      <c r="AY73" s="222"/>
    </row>
    <row r="74" spans="16:51" ht="18.95" customHeight="1">
      <c r="AR74" s="216" t="s">
        <v>657</v>
      </c>
      <c r="AS74" s="217"/>
      <c r="AT74" s="218">
        <v>30</v>
      </c>
      <c r="AU74" s="219"/>
      <c r="AV74" s="217"/>
      <c r="AW74" s="220">
        <v>174.6</v>
      </c>
      <c r="AX74" s="221"/>
      <c r="AY74" s="222"/>
    </row>
    <row r="75" spans="16:51" ht="18.95" customHeight="1">
      <c r="AR75" s="216" t="s">
        <v>657</v>
      </c>
      <c r="AS75" s="217"/>
      <c r="AT75" s="218">
        <v>50</v>
      </c>
      <c r="AU75" s="219"/>
      <c r="AV75" s="217"/>
      <c r="AW75" s="220">
        <v>187</v>
      </c>
      <c r="AX75" s="221"/>
      <c r="AY75" s="222"/>
    </row>
    <row r="76" spans="16:51" ht="18.95" customHeight="1">
      <c r="AR76" s="216" t="s">
        <v>657</v>
      </c>
      <c r="AS76" s="217"/>
      <c r="AT76" s="218">
        <v>70</v>
      </c>
      <c r="AU76" s="219"/>
      <c r="AV76" s="217"/>
      <c r="AW76" s="220">
        <v>195.2</v>
      </c>
      <c r="AX76" s="221"/>
      <c r="AY76" s="222"/>
    </row>
    <row r="77" spans="16:51" ht="18.95" customHeight="1">
      <c r="AR77" s="216" t="s">
        <v>657</v>
      </c>
      <c r="AS77" s="217"/>
      <c r="AT77" s="218">
        <v>80</v>
      </c>
      <c r="AU77" s="219"/>
      <c r="AV77" s="217"/>
      <c r="AW77" s="220">
        <v>198.4</v>
      </c>
      <c r="AX77" s="221"/>
      <c r="AY77" s="222"/>
    </row>
    <row r="78" spans="16:51" ht="18.95" customHeight="1">
      <c r="AR78" s="216" t="s">
        <v>657</v>
      </c>
      <c r="AS78" s="217"/>
      <c r="AT78" s="218">
        <v>100</v>
      </c>
      <c r="AU78" s="219"/>
      <c r="AV78" s="217"/>
      <c r="AW78" s="220">
        <v>203.8</v>
      </c>
      <c r="AX78" s="221"/>
      <c r="AY78" s="222"/>
    </row>
    <row r="79" spans="16:51" ht="18.95" customHeight="1">
      <c r="AR79" s="216" t="s">
        <v>658</v>
      </c>
      <c r="AS79" s="217"/>
      <c r="AT79" s="218">
        <v>10</v>
      </c>
      <c r="AU79" s="219"/>
      <c r="AV79" s="217"/>
      <c r="AW79" s="220">
        <v>168.1</v>
      </c>
      <c r="AX79" s="221"/>
      <c r="AY79" s="222"/>
    </row>
    <row r="80" spans="16:51" ht="18.95" customHeight="1">
      <c r="AR80" s="216" t="s">
        <v>658</v>
      </c>
      <c r="AS80" s="217"/>
      <c r="AT80" s="218">
        <v>20</v>
      </c>
      <c r="AU80" s="219"/>
      <c r="AV80" s="217"/>
      <c r="AW80" s="220">
        <v>188.2</v>
      </c>
      <c r="AX80" s="221"/>
      <c r="AY80" s="222"/>
    </row>
    <row r="81" spans="44:51" ht="18.95" customHeight="1">
      <c r="AR81" s="216" t="s">
        <v>658</v>
      </c>
      <c r="AS81" s="217"/>
      <c r="AT81" s="218">
        <v>30</v>
      </c>
      <c r="AU81" s="219"/>
      <c r="AV81" s="217"/>
      <c r="AW81" s="220">
        <v>199.7</v>
      </c>
      <c r="AX81" s="221"/>
      <c r="AY81" s="222"/>
    </row>
    <row r="82" spans="44:51" ht="18.95" customHeight="1">
      <c r="AR82" s="216" t="s">
        <v>658</v>
      </c>
      <c r="AS82" s="217"/>
      <c r="AT82" s="218">
        <v>50</v>
      </c>
      <c r="AU82" s="219"/>
      <c r="AV82" s="217"/>
      <c r="AW82" s="220">
        <v>214.2</v>
      </c>
      <c r="AX82" s="221"/>
      <c r="AY82" s="222"/>
    </row>
    <row r="83" spans="44:51" ht="18.95" customHeight="1">
      <c r="AR83" s="216" t="s">
        <v>658</v>
      </c>
      <c r="AS83" s="217"/>
      <c r="AT83" s="218">
        <v>70</v>
      </c>
      <c r="AU83" s="219"/>
      <c r="AV83" s="217"/>
      <c r="AW83" s="220">
        <v>223.6</v>
      </c>
      <c r="AX83" s="221"/>
      <c r="AY83" s="222"/>
    </row>
    <row r="84" spans="44:51" ht="18.95" customHeight="1">
      <c r="AR84" s="216" t="s">
        <v>658</v>
      </c>
      <c r="AS84" s="217"/>
      <c r="AT84" s="218">
        <v>80</v>
      </c>
      <c r="AU84" s="219"/>
      <c r="AV84" s="217"/>
      <c r="AW84" s="220">
        <v>227.4</v>
      </c>
      <c r="AX84" s="221"/>
      <c r="AY84" s="222"/>
    </row>
    <row r="85" spans="44:51" ht="18.95" customHeight="1">
      <c r="AR85" s="216" t="s">
        <v>658</v>
      </c>
      <c r="AS85" s="217"/>
      <c r="AT85" s="218">
        <v>100</v>
      </c>
      <c r="AU85" s="219"/>
      <c r="AV85" s="217"/>
      <c r="AW85" s="220">
        <v>233.6</v>
      </c>
      <c r="AX85" s="221"/>
      <c r="AY85" s="222"/>
    </row>
    <row r="86" spans="44:51" ht="18.95" customHeight="1"/>
    <row r="87" spans="44:51" ht="18.95" customHeight="1"/>
    <row r="88" spans="44:51" ht="18.95" customHeight="1"/>
    <row r="89" spans="44:51" ht="18.95" customHeight="1"/>
    <row r="90" spans="44:51" ht="18.95" customHeight="1"/>
    <row r="91" spans="44:51" ht="18.95" customHeight="1"/>
    <row r="92" spans="44:51" ht="18.95" customHeight="1"/>
    <row r="93" spans="44:51" ht="18.95" customHeight="1"/>
    <row r="94" spans="44:51" ht="18.95" customHeight="1"/>
    <row r="95" spans="44:51" ht="18.95" customHeight="1"/>
    <row r="96" spans="44:51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  <row r="111" ht="18.95" customHeight="1"/>
    <row r="112" ht="18.95" customHeight="1"/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489" spans="15:34">
      <c r="O489" s="214"/>
      <c r="P489" s="214"/>
    </row>
    <row r="490" spans="15:34">
      <c r="O490" s="214"/>
      <c r="P490" s="214"/>
      <c r="Y490" s="562"/>
      <c r="Z490" s="562"/>
      <c r="AG490" s="215"/>
      <c r="AH490" s="215"/>
    </row>
    <row r="491" spans="15:34">
      <c r="O491" s="214"/>
      <c r="P491" s="214"/>
      <c r="Y491" s="562"/>
      <c r="Z491" s="562"/>
      <c r="AG491" s="215"/>
      <c r="AH491" s="215"/>
    </row>
    <row r="492" spans="15:34">
      <c r="O492" s="214"/>
      <c r="P492" s="214"/>
      <c r="Y492" s="562"/>
      <c r="Z492" s="562"/>
      <c r="AG492" s="215"/>
      <c r="AH492" s="215"/>
    </row>
    <row r="493" spans="15:34">
      <c r="O493" s="214"/>
      <c r="P493" s="214"/>
      <c r="Y493" s="562"/>
      <c r="Z493" s="562"/>
      <c r="AG493" s="215"/>
      <c r="AH493" s="215"/>
    </row>
    <row r="494" spans="15:34">
      <c r="O494" s="214"/>
      <c r="P494" s="214"/>
      <c r="Y494" s="562"/>
      <c r="Z494" s="562"/>
      <c r="AG494" s="215"/>
      <c r="AH494" s="215"/>
    </row>
    <row r="495" spans="15:34">
      <c r="O495" s="214"/>
      <c r="P495" s="214"/>
      <c r="Y495" s="562"/>
      <c r="Z495" s="562"/>
      <c r="AG495" s="215"/>
      <c r="AH495" s="215"/>
    </row>
    <row r="496" spans="15:34">
      <c r="O496" s="214"/>
      <c r="P496" s="214"/>
      <c r="Y496" s="562"/>
      <c r="Z496" s="562"/>
      <c r="AG496" s="215"/>
      <c r="AH496" s="215"/>
    </row>
    <row r="497" spans="25:34">
      <c r="Y497" s="562"/>
      <c r="Z497" s="562"/>
      <c r="AG497" s="215"/>
      <c r="AH497" s="215"/>
    </row>
  </sheetData>
  <mergeCells count="14">
    <mergeCell ref="AT1:AV1"/>
    <mergeCell ref="AW1:AY1"/>
    <mergeCell ref="AI3:AJ3"/>
    <mergeCell ref="R5:R7"/>
    <mergeCell ref="AB5:AB7"/>
    <mergeCell ref="S6:S7"/>
    <mergeCell ref="AC6:AC7"/>
    <mergeCell ref="O51:P51"/>
    <mergeCell ref="H7:I7"/>
    <mergeCell ref="AK23:AO23"/>
    <mergeCell ref="H25:I25"/>
    <mergeCell ref="P36:Q36"/>
    <mergeCell ref="R41:R43"/>
    <mergeCell ref="S42:S43"/>
  </mergeCells>
  <phoneticPr fontId="4" type="noConversion"/>
  <dataValidations count="2">
    <dataValidation type="list" allowBlank="1" showInputMessage="1" showErrorMessage="1" sqref="M26:M27">
      <formula1>"10,20,30,50,70,80,100"</formula1>
    </dataValidation>
    <dataValidation type="list" allowBlank="1" showInputMessage="1" showErrorMessage="1" sqref="L26:L27">
      <formula1>"울진,추풍령,안동,포항,대구,춘양,영주,문경,영덕,의성,구미,영천, "</formula1>
    </dataValidation>
  </dataValidations>
  <pageMargins left="0.31496062992125984" right="0.15748031496062992" top="0.78740157480314965" bottom="0.59055118110236227" header="0.51181102362204722" footer="0.51181102362204722"/>
  <pageSetup paperSize="9" scale="88" orientation="landscape" r:id="rId1"/>
  <headerFooter alignWithMargins="0"/>
  <rowBreaks count="1" manualBreakCount="1">
    <brk id="28" max="42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497"/>
  <sheetViews>
    <sheetView showGridLines="0" view="pageBreakPreview" zoomScaleNormal="100" zoomScaleSheetLayoutView="100" workbookViewId="0">
      <selection activeCell="AL18" sqref="AL18"/>
    </sheetView>
  </sheetViews>
  <sheetFormatPr defaultRowHeight="12"/>
  <cols>
    <col min="1" max="4" width="3.25" style="214" customWidth="1"/>
    <col min="5" max="5" width="7.875" style="214" customWidth="1"/>
    <col min="6" max="6" width="6" style="214" customWidth="1"/>
    <col min="7" max="11" width="3.25" style="214" customWidth="1"/>
    <col min="12" max="13" width="9.375" style="214" customWidth="1"/>
    <col min="14" max="14" width="3.25" style="214" customWidth="1"/>
    <col min="15" max="15" width="4.25" style="562" hidden="1" customWidth="1"/>
    <col min="16" max="22" width="11.375" style="562" hidden="1" customWidth="1"/>
    <col min="23" max="23" width="4.25" style="562" hidden="1" customWidth="1"/>
    <col min="24" max="24" width="11.625" style="562" hidden="1" customWidth="1"/>
    <col min="25" max="25" width="4.25" style="215" hidden="1" customWidth="1"/>
    <col min="26" max="32" width="11.375" style="215" hidden="1" customWidth="1"/>
    <col min="33" max="33" width="4.25" style="562" hidden="1" customWidth="1"/>
    <col min="34" max="34" width="11.625" style="562" hidden="1" customWidth="1"/>
    <col min="35" max="38" width="9.75" style="215" customWidth="1"/>
    <col min="39" max="39" width="9" style="215" customWidth="1"/>
    <col min="40" max="43" width="9.75" style="215" customWidth="1"/>
    <col min="44" max="16384" width="9" style="214"/>
  </cols>
  <sheetData>
    <row r="1" spans="1:51" ht="18.95" customHeight="1">
      <c r="A1" s="809" t="s">
        <v>659</v>
      </c>
      <c r="B1" s="260"/>
      <c r="C1" s="260"/>
      <c r="D1" s="260"/>
      <c r="E1" s="260"/>
      <c r="F1" s="810" t="s">
        <v>660</v>
      </c>
      <c r="G1" s="260"/>
      <c r="H1" s="260"/>
      <c r="I1" s="260"/>
      <c r="J1" s="260"/>
      <c r="K1" s="260"/>
      <c r="L1" s="260"/>
      <c r="M1" s="260"/>
      <c r="N1" s="260"/>
      <c r="O1" s="811"/>
      <c r="P1" s="812"/>
      <c r="Q1" s="811"/>
      <c r="R1" s="811"/>
      <c r="S1" s="811"/>
      <c r="T1" s="811"/>
      <c r="U1" s="811"/>
      <c r="V1" s="811"/>
      <c r="W1" s="811"/>
      <c r="X1" s="811"/>
      <c r="Y1" s="811"/>
      <c r="Z1" s="812"/>
      <c r="AA1" s="811"/>
      <c r="AB1" s="811"/>
      <c r="AC1" s="811"/>
      <c r="AD1" s="811"/>
      <c r="AE1" s="811"/>
      <c r="AF1" s="811"/>
      <c r="AG1" s="811"/>
      <c r="AH1" s="811"/>
      <c r="AI1" s="813" t="s">
        <v>575</v>
      </c>
      <c r="AJ1" s="814"/>
      <c r="AK1" s="814"/>
      <c r="AL1" s="814"/>
      <c r="AM1" s="814"/>
      <c r="AN1" s="814"/>
      <c r="AO1" s="814"/>
      <c r="AP1" s="814"/>
      <c r="AQ1" s="814"/>
      <c r="AR1" s="216" t="s">
        <v>661</v>
      </c>
      <c r="AS1" s="217"/>
      <c r="AT1" s="1259" t="s">
        <v>662</v>
      </c>
      <c r="AU1" s="1260"/>
      <c r="AV1" s="1261"/>
      <c r="AW1" s="1262" t="s">
        <v>663</v>
      </c>
      <c r="AX1" s="1263"/>
      <c r="AY1" s="1264"/>
    </row>
    <row r="2" spans="1:51" ht="18.95" customHeight="1" thickBot="1">
      <c r="A2" s="809"/>
      <c r="B2" s="260"/>
      <c r="C2" s="260"/>
      <c r="D2" s="260"/>
      <c r="E2" s="260"/>
      <c r="F2" s="815"/>
      <c r="G2" s="260"/>
      <c r="H2" s="260"/>
      <c r="I2" s="260"/>
      <c r="J2" s="260"/>
      <c r="K2" s="260"/>
      <c r="L2" s="260"/>
      <c r="M2" s="260"/>
      <c r="N2" s="260"/>
      <c r="O2" s="811"/>
      <c r="P2" s="812"/>
      <c r="Q2" s="811"/>
      <c r="R2" s="811"/>
      <c r="S2" s="811"/>
      <c r="T2" s="811"/>
      <c r="U2" s="811"/>
      <c r="V2" s="811"/>
      <c r="W2" s="811"/>
      <c r="X2" s="811"/>
      <c r="Y2" s="811"/>
      <c r="Z2" s="812"/>
      <c r="AA2" s="811"/>
      <c r="AB2" s="811"/>
      <c r="AC2" s="811"/>
      <c r="AD2" s="811"/>
      <c r="AE2" s="811"/>
      <c r="AF2" s="811"/>
      <c r="AG2" s="811"/>
      <c r="AH2" s="811"/>
      <c r="AI2" s="813"/>
      <c r="AJ2" s="814"/>
      <c r="AK2" s="814"/>
      <c r="AL2" s="814"/>
      <c r="AM2" s="814"/>
      <c r="AN2" s="814"/>
      <c r="AO2" s="814"/>
      <c r="AP2" s="814"/>
      <c r="AQ2" s="814"/>
      <c r="AR2" s="216" t="s">
        <v>664</v>
      </c>
      <c r="AS2" s="217"/>
      <c r="AT2" s="218">
        <v>10</v>
      </c>
      <c r="AU2" s="219"/>
      <c r="AV2" s="217"/>
      <c r="AW2" s="220">
        <v>199.6</v>
      </c>
      <c r="AX2" s="221"/>
      <c r="AY2" s="222"/>
    </row>
    <row r="3" spans="1:51" ht="18.95" customHeight="1">
      <c r="A3" s="260"/>
      <c r="B3" s="816" t="s">
        <v>665</v>
      </c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817"/>
      <c r="P3" s="812"/>
      <c r="Q3" s="812"/>
      <c r="R3" s="811"/>
      <c r="S3" s="811"/>
      <c r="T3" s="811"/>
      <c r="U3" s="811"/>
      <c r="V3" s="811"/>
      <c r="W3" s="818"/>
      <c r="X3" s="811"/>
      <c r="Y3" s="817"/>
      <c r="Z3" s="812"/>
      <c r="AA3" s="811"/>
      <c r="AB3" s="811"/>
      <c r="AC3" s="811"/>
      <c r="AD3" s="811"/>
      <c r="AE3" s="811"/>
      <c r="AF3" s="811"/>
      <c r="AG3" s="818"/>
      <c r="AH3" s="811"/>
      <c r="AI3" s="1265" t="s">
        <v>578</v>
      </c>
      <c r="AJ3" s="1266"/>
      <c r="AK3" s="819"/>
      <c r="AL3" s="819"/>
      <c r="AM3" s="819"/>
      <c r="AN3" s="819"/>
      <c r="AO3" s="819"/>
      <c r="AP3" s="819"/>
      <c r="AQ3" s="820"/>
      <c r="AR3" s="216" t="s">
        <v>577</v>
      </c>
      <c r="AS3" s="217"/>
      <c r="AT3" s="218">
        <v>20</v>
      </c>
      <c r="AU3" s="219"/>
      <c r="AV3" s="217"/>
      <c r="AW3" s="220">
        <v>233.2</v>
      </c>
      <c r="AX3" s="221"/>
      <c r="AY3" s="222"/>
    </row>
    <row r="4" spans="1:51" ht="18.95" customHeight="1">
      <c r="A4" s="260"/>
      <c r="B4" s="816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817"/>
      <c r="P4" s="812"/>
      <c r="Q4" s="812"/>
      <c r="R4" s="811"/>
      <c r="S4" s="811"/>
      <c r="T4" s="811"/>
      <c r="U4" s="811"/>
      <c r="V4" s="811"/>
      <c r="W4" s="818"/>
      <c r="X4" s="811"/>
      <c r="Y4" s="817"/>
      <c r="Z4" s="812"/>
      <c r="AA4" s="811"/>
      <c r="AB4" s="811"/>
      <c r="AC4" s="811"/>
      <c r="AD4" s="811"/>
      <c r="AE4" s="811"/>
      <c r="AF4" s="811"/>
      <c r="AG4" s="818"/>
      <c r="AH4" s="811"/>
      <c r="AI4" s="821"/>
      <c r="AJ4" s="822"/>
      <c r="AK4" s="823"/>
      <c r="AL4" s="824"/>
      <c r="AM4" s="825"/>
      <c r="AN4" s="826"/>
      <c r="AO4" s="825"/>
      <c r="AP4" s="827"/>
      <c r="AQ4" s="828"/>
      <c r="AR4" s="216" t="s">
        <v>666</v>
      </c>
      <c r="AS4" s="217"/>
      <c r="AT4" s="218">
        <v>30</v>
      </c>
      <c r="AU4" s="219"/>
      <c r="AV4" s="217"/>
      <c r="AW4" s="220">
        <v>252.6</v>
      </c>
      <c r="AX4" s="221"/>
      <c r="AY4" s="222"/>
    </row>
    <row r="5" spans="1:51" ht="18.95" customHeight="1">
      <c r="A5" s="260"/>
      <c r="B5" s="260"/>
      <c r="C5" s="260"/>
      <c r="D5" s="829" t="s">
        <v>395</v>
      </c>
      <c r="E5" s="829"/>
      <c r="F5" s="260"/>
      <c r="G5" s="260"/>
      <c r="H5" s="260"/>
      <c r="I5" s="260"/>
      <c r="J5" s="260"/>
      <c r="K5" s="260"/>
      <c r="L5" s="830">
        <f>ROUND(L6*1.5,2)</f>
        <v>1.34</v>
      </c>
      <c r="M5" s="831"/>
      <c r="N5" s="831"/>
      <c r="O5" s="817"/>
      <c r="P5" s="832"/>
      <c r="Q5" s="833"/>
      <c r="R5" s="1267">
        <f>S5+S6</f>
        <v>1.5</v>
      </c>
      <c r="S5" s="832">
        <v>0.3</v>
      </c>
      <c r="T5" s="832" t="s">
        <v>667</v>
      </c>
      <c r="U5" s="832"/>
      <c r="V5" s="811"/>
      <c r="W5" s="818"/>
      <c r="X5" s="811"/>
      <c r="Y5" s="817"/>
      <c r="Z5" s="832"/>
      <c r="AA5" s="832"/>
      <c r="AB5" s="1268">
        <f>AC5+AC6</f>
        <v>3.6</v>
      </c>
      <c r="AC5" s="834">
        <v>0.6</v>
      </c>
      <c r="AD5" s="832" t="s">
        <v>668</v>
      </c>
      <c r="AE5" s="832"/>
      <c r="AF5" s="811"/>
      <c r="AG5" s="818"/>
      <c r="AH5" s="811"/>
      <c r="AI5" s="835" t="s">
        <v>669</v>
      </c>
      <c r="AJ5" s="826"/>
      <c r="AK5" s="836">
        <f>+L5</f>
        <v>1.34</v>
      </c>
      <c r="AL5" s="826" t="s">
        <v>670</v>
      </c>
      <c r="AM5" s="826"/>
      <c r="AN5" s="827"/>
      <c r="AO5" s="827"/>
      <c r="AP5" s="827"/>
      <c r="AQ5" s="828"/>
      <c r="AR5" s="216" t="s">
        <v>671</v>
      </c>
      <c r="AS5" s="217"/>
      <c r="AT5" s="218">
        <v>50</v>
      </c>
      <c r="AU5" s="219"/>
      <c r="AV5" s="217"/>
      <c r="AW5" s="220">
        <v>276.8</v>
      </c>
      <c r="AX5" s="221"/>
      <c r="AY5" s="222"/>
    </row>
    <row r="6" spans="1:51" ht="18.95" customHeight="1">
      <c r="A6" s="260"/>
      <c r="B6" s="260"/>
      <c r="C6" s="260"/>
      <c r="D6" s="260" t="s">
        <v>672</v>
      </c>
      <c r="E6" s="260"/>
      <c r="F6" s="260"/>
      <c r="G6" s="260"/>
      <c r="H6" s="260"/>
      <c r="I6" s="260"/>
      <c r="J6" s="260"/>
      <c r="K6" s="260"/>
      <c r="L6" s="837">
        <f>ROUND(0.2778*L7*L8*L9,2)</f>
        <v>0.89</v>
      </c>
      <c r="M6" s="260"/>
      <c r="N6" s="260"/>
      <c r="O6" s="817"/>
      <c r="P6" s="832"/>
      <c r="Q6" s="832"/>
      <c r="R6" s="1267"/>
      <c r="S6" s="1269">
        <v>1.2</v>
      </c>
      <c r="T6" s="832"/>
      <c r="U6" s="811"/>
      <c r="V6" s="811"/>
      <c r="W6" s="818"/>
      <c r="X6" s="811"/>
      <c r="Y6" s="817"/>
      <c r="Z6" s="832"/>
      <c r="AA6" s="832"/>
      <c r="AB6" s="1268"/>
      <c r="AC6" s="1270">
        <v>3</v>
      </c>
      <c r="AD6" s="832"/>
      <c r="AE6" s="833" t="s">
        <v>673</v>
      </c>
      <c r="AF6" s="811"/>
      <c r="AG6" s="818"/>
      <c r="AH6" s="811"/>
      <c r="AI6" s="838"/>
      <c r="AJ6" s="839"/>
      <c r="AK6" s="839"/>
      <c r="AL6" s="839"/>
      <c r="AM6" s="839"/>
      <c r="AN6" s="839"/>
      <c r="AO6" s="839"/>
      <c r="AP6" s="839"/>
      <c r="AQ6" s="840"/>
      <c r="AR6" s="218" t="s">
        <v>666</v>
      </c>
      <c r="AS6" s="217"/>
      <c r="AT6" s="218">
        <v>100</v>
      </c>
      <c r="AU6" s="219"/>
      <c r="AV6" s="217"/>
      <c r="AW6" s="220">
        <v>309.5</v>
      </c>
      <c r="AX6" s="221"/>
      <c r="AY6" s="222"/>
    </row>
    <row r="7" spans="1:51" ht="18.95" customHeight="1">
      <c r="A7" s="260"/>
      <c r="B7" s="260"/>
      <c r="C7" s="260"/>
      <c r="D7" s="260" t="s">
        <v>398</v>
      </c>
      <c r="E7" s="260"/>
      <c r="F7" s="260"/>
      <c r="G7" s="260"/>
      <c r="H7" s="1254"/>
      <c r="I7" s="1254"/>
      <c r="J7" s="260"/>
      <c r="K7" s="260"/>
      <c r="L7" s="841">
        <v>0.8</v>
      </c>
      <c r="M7" s="260"/>
      <c r="N7" s="260"/>
      <c r="O7" s="817"/>
      <c r="P7" s="832"/>
      <c r="Q7" s="832"/>
      <c r="R7" s="1267"/>
      <c r="S7" s="1269"/>
      <c r="T7" s="832"/>
      <c r="U7" s="833" t="s">
        <v>587</v>
      </c>
      <c r="V7" s="811"/>
      <c r="W7" s="818"/>
      <c r="X7" s="811"/>
      <c r="Y7" s="817"/>
      <c r="Z7" s="832"/>
      <c r="AA7" s="832"/>
      <c r="AB7" s="1268"/>
      <c r="AC7" s="1270"/>
      <c r="AD7" s="832"/>
      <c r="AE7" s="832"/>
      <c r="AF7" s="811"/>
      <c r="AG7" s="818"/>
      <c r="AH7" s="811"/>
      <c r="AI7" s="835" t="s">
        <v>674</v>
      </c>
      <c r="AJ7" s="826"/>
      <c r="AK7" s="826"/>
      <c r="AL7" s="826"/>
      <c r="AM7" s="826"/>
      <c r="AN7" s="827"/>
      <c r="AO7" s="827"/>
      <c r="AP7" s="827"/>
      <c r="AQ7" s="828"/>
      <c r="AR7" s="216"/>
      <c r="AS7" s="217"/>
      <c r="AT7" s="218"/>
      <c r="AU7" s="219"/>
      <c r="AV7" s="217"/>
      <c r="AW7" s="220"/>
      <c r="AX7" s="221"/>
      <c r="AY7" s="222"/>
    </row>
    <row r="8" spans="1:51" ht="18.95" customHeight="1">
      <c r="A8" s="260"/>
      <c r="B8" s="260"/>
      <c r="C8" s="260"/>
      <c r="D8" s="260" t="s">
        <v>675</v>
      </c>
      <c r="E8" s="260"/>
      <c r="F8" s="260"/>
      <c r="G8" s="260"/>
      <c r="H8" s="260"/>
      <c r="I8" s="260"/>
      <c r="J8" s="260"/>
      <c r="K8" s="260"/>
      <c r="L8" s="837">
        <f>L24</f>
        <v>133.77000000000001</v>
      </c>
      <c r="M8" s="260"/>
      <c r="N8" s="260"/>
      <c r="O8" s="817"/>
      <c r="P8" s="832">
        <f>S6</f>
        <v>1.2</v>
      </c>
      <c r="Q8" s="832"/>
      <c r="R8" s="832"/>
      <c r="S8" s="834" t="e">
        <f>#REF!</f>
        <v>#REF!</v>
      </c>
      <c r="T8" s="832"/>
      <c r="U8" s="832"/>
      <c r="V8" s="832"/>
      <c r="W8" s="818"/>
      <c r="X8" s="811"/>
      <c r="Y8" s="817"/>
      <c r="Z8" s="832">
        <f>AC6</f>
        <v>3</v>
      </c>
      <c r="AA8" s="832"/>
      <c r="AB8" s="832"/>
      <c r="AC8" s="832"/>
      <c r="AD8" s="832"/>
      <c r="AE8" s="832"/>
      <c r="AF8" s="832"/>
      <c r="AG8" s="818"/>
      <c r="AH8" s="811"/>
      <c r="AI8" s="842"/>
      <c r="AJ8" s="827"/>
      <c r="AK8" s="827"/>
      <c r="AL8" s="811" t="s">
        <v>676</v>
      </c>
      <c r="AM8" s="827"/>
      <c r="AN8" s="843">
        <v>800</v>
      </c>
      <c r="AO8" s="844" t="s">
        <v>677</v>
      </c>
      <c r="AP8" s="845">
        <v>1</v>
      </c>
      <c r="AQ8" s="846" t="s">
        <v>678</v>
      </c>
      <c r="AR8" s="216"/>
      <c r="AS8" s="217"/>
      <c r="AT8" s="218"/>
      <c r="AU8" s="219"/>
      <c r="AV8" s="217"/>
      <c r="AW8" s="220"/>
      <c r="AX8" s="221"/>
      <c r="AY8" s="222"/>
    </row>
    <row r="9" spans="1:51" ht="18.95" customHeight="1">
      <c r="A9" s="260"/>
      <c r="B9" s="260"/>
      <c r="C9" s="260"/>
      <c r="D9" s="260" t="s">
        <v>679</v>
      </c>
      <c r="E9" s="260"/>
      <c r="F9" s="260"/>
      <c r="G9" s="260"/>
      <c r="H9" s="260"/>
      <c r="I9" s="260"/>
      <c r="J9" s="260"/>
      <c r="K9" s="260"/>
      <c r="L9" s="847">
        <f>M9/100</f>
        <v>0.03</v>
      </c>
      <c r="M9" s="848">
        <v>3</v>
      </c>
      <c r="N9" s="260"/>
      <c r="O9" s="817"/>
      <c r="P9" s="832"/>
      <c r="Q9" s="849" t="e">
        <f>#REF!</f>
        <v>#REF!</v>
      </c>
      <c r="R9" s="832"/>
      <c r="S9" s="811"/>
      <c r="T9" s="834"/>
      <c r="U9" s="832"/>
      <c r="V9" s="832"/>
      <c r="W9" s="818"/>
      <c r="X9" s="811"/>
      <c r="Y9" s="817"/>
      <c r="Z9" s="832"/>
      <c r="AA9" s="849" t="e">
        <f>ROUND(#REF!/AB5*AC6,2)</f>
        <v>#REF!</v>
      </c>
      <c r="AB9" s="832"/>
      <c r="AC9" s="834" t="e">
        <f>#REF!</f>
        <v>#REF!</v>
      </c>
      <c r="AD9" s="834"/>
      <c r="AE9" s="832"/>
      <c r="AF9" s="832"/>
      <c r="AG9" s="818"/>
      <c r="AH9" s="811"/>
      <c r="AI9" s="842"/>
      <c r="AJ9" s="827"/>
      <c r="AK9" s="827"/>
      <c r="AL9" s="850" t="s">
        <v>680</v>
      </c>
      <c r="AM9" s="827"/>
      <c r="AN9" s="811"/>
      <c r="AO9" s="811"/>
      <c r="AP9" s="811"/>
      <c r="AQ9" s="818"/>
      <c r="AR9" s="216"/>
      <c r="AS9" s="217"/>
      <c r="AT9" s="218"/>
      <c r="AU9" s="219"/>
      <c r="AV9" s="217"/>
      <c r="AW9" s="220"/>
      <c r="AX9" s="221"/>
      <c r="AY9" s="222"/>
    </row>
    <row r="10" spans="1:51" ht="18.95" customHeight="1">
      <c r="A10" s="260"/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817"/>
      <c r="P10" s="832"/>
      <c r="Q10" s="849"/>
      <c r="R10" s="832"/>
      <c r="S10" s="834"/>
      <c r="T10" s="834"/>
      <c r="U10" s="832"/>
      <c r="V10" s="832"/>
      <c r="W10" s="818"/>
      <c r="X10" s="811"/>
      <c r="Y10" s="817"/>
      <c r="Z10" s="832"/>
      <c r="AA10" s="849"/>
      <c r="AB10" s="832"/>
      <c r="AC10" s="834"/>
      <c r="AD10" s="834"/>
      <c r="AE10" s="832"/>
      <c r="AF10" s="832"/>
      <c r="AG10" s="818"/>
      <c r="AH10" s="811"/>
      <c r="AI10" s="842"/>
      <c r="AJ10" s="827"/>
      <c r="AK10" s="827"/>
      <c r="AL10" s="811"/>
      <c r="AM10" s="850" t="s">
        <v>681</v>
      </c>
      <c r="AN10" s="827"/>
      <c r="AO10" s="827" t="s">
        <v>207</v>
      </c>
      <c r="AP10" s="851">
        <f>ROUND((0.785*(AN8/1000)^2)*AP8,3)</f>
        <v>0.502</v>
      </c>
      <c r="AQ10" s="852" t="s">
        <v>35</v>
      </c>
      <c r="AR10" s="216"/>
      <c r="AS10" s="217"/>
      <c r="AT10" s="218"/>
      <c r="AU10" s="219"/>
      <c r="AV10" s="217"/>
      <c r="AW10" s="220"/>
      <c r="AX10" s="221"/>
      <c r="AY10" s="222"/>
    </row>
    <row r="11" spans="1:51" ht="18.95" customHeight="1">
      <c r="A11" s="260"/>
      <c r="B11" s="816" t="s">
        <v>682</v>
      </c>
      <c r="C11" s="260"/>
      <c r="D11" s="260"/>
      <c r="E11" s="260"/>
      <c r="F11" s="260"/>
      <c r="G11" s="260"/>
      <c r="H11" s="260"/>
      <c r="I11" s="260"/>
      <c r="J11" s="260"/>
      <c r="K11" s="260"/>
      <c r="L11" s="260"/>
      <c r="M11" s="260"/>
      <c r="N11" s="260"/>
      <c r="O11" s="817"/>
      <c r="P11" s="832"/>
      <c r="Q11" s="849"/>
      <c r="R11" s="832"/>
      <c r="S11" s="834"/>
      <c r="T11" s="834"/>
      <c r="U11" s="811"/>
      <c r="V11" s="832"/>
      <c r="W11" s="818"/>
      <c r="X11" s="811"/>
      <c r="Y11" s="817"/>
      <c r="Z11" s="832"/>
      <c r="AA11" s="849"/>
      <c r="AB11" s="832"/>
      <c r="AC11" s="834"/>
      <c r="AD11" s="834"/>
      <c r="AE11" s="832"/>
      <c r="AF11" s="832"/>
      <c r="AG11" s="818"/>
      <c r="AH11" s="811"/>
      <c r="AI11" s="842"/>
      <c r="AJ11" s="827"/>
      <c r="AK11" s="827"/>
      <c r="AL11" s="850" t="s">
        <v>597</v>
      </c>
      <c r="AM11" s="827"/>
      <c r="AN11" s="827"/>
      <c r="AO11" s="811"/>
      <c r="AP11" s="811"/>
      <c r="AQ11" s="818"/>
      <c r="AR11" s="216" t="s">
        <v>598</v>
      </c>
      <c r="AS11" s="217"/>
      <c r="AT11" s="218">
        <v>30</v>
      </c>
      <c r="AU11" s="219"/>
      <c r="AV11" s="217"/>
      <c r="AW11" s="220">
        <v>200.9</v>
      </c>
      <c r="AX11" s="221"/>
      <c r="AY11" s="222"/>
    </row>
    <row r="12" spans="1:51" ht="18.95" customHeight="1">
      <c r="A12" s="260"/>
      <c r="B12" s="260"/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817"/>
      <c r="P12" s="811"/>
      <c r="Q12" s="853" t="s">
        <v>683</v>
      </c>
      <c r="R12" s="854" t="e">
        <f>"√"&amp;FIXED(P8,2)&amp;"² + "&amp;FIXED(Q9,2)&amp;"² ="</f>
        <v>#REF!</v>
      </c>
      <c r="S12" s="855"/>
      <c r="T12" s="856" t="e">
        <f>ROUND((P8^2+Q9^2)^0.5,2)</f>
        <v>#REF!</v>
      </c>
      <c r="U12" s="811"/>
      <c r="V12" s="832"/>
      <c r="W12" s="818"/>
      <c r="X12" s="811"/>
      <c r="Y12" s="817"/>
      <c r="Z12" s="811"/>
      <c r="AA12" s="853" t="s">
        <v>599</v>
      </c>
      <c r="AB12" s="854" t="e">
        <f>"√"&amp;FIXED(Z8,2)&amp;"² + "&amp;FIXED(AA9,2)&amp;"² ="</f>
        <v>#REF!</v>
      </c>
      <c r="AC12" s="855"/>
      <c r="AD12" s="856" t="e">
        <f>ROUND((Z8^2+AA9^2)^0.5,2)</f>
        <v>#REF!</v>
      </c>
      <c r="AE12" s="811"/>
      <c r="AF12" s="832"/>
      <c r="AG12" s="818"/>
      <c r="AH12" s="811"/>
      <c r="AI12" s="842"/>
      <c r="AJ12" s="827"/>
      <c r="AK12" s="857" t="s">
        <v>684</v>
      </c>
      <c r="AL12" s="811"/>
      <c r="AM12" s="850" t="s">
        <v>685</v>
      </c>
      <c r="AN12" s="827"/>
      <c r="AO12" s="827" t="s">
        <v>207</v>
      </c>
      <c r="AP12" s="851">
        <f>ROUND(3.14*(AN8/1000)*AP8,3)</f>
        <v>2.512</v>
      </c>
      <c r="AQ12" s="852" t="s">
        <v>34</v>
      </c>
      <c r="AR12" s="216" t="s">
        <v>344</v>
      </c>
      <c r="AS12" s="217"/>
      <c r="AT12" s="218">
        <v>50</v>
      </c>
      <c r="AU12" s="219"/>
      <c r="AV12" s="217"/>
      <c r="AW12" s="220">
        <v>216.5</v>
      </c>
      <c r="AX12" s="221"/>
      <c r="AY12" s="222"/>
    </row>
    <row r="13" spans="1:51" ht="18.95" customHeight="1">
      <c r="A13" s="260"/>
      <c r="B13" s="260"/>
      <c r="C13" s="858" t="s">
        <v>686</v>
      </c>
      <c r="D13" s="858"/>
      <c r="E13" s="858"/>
      <c r="F13" s="858"/>
      <c r="G13" s="260"/>
      <c r="H13" s="260"/>
      <c r="I13" s="260"/>
      <c r="J13" s="260"/>
      <c r="K13" s="260"/>
      <c r="L13" s="260"/>
      <c r="M13" s="260"/>
      <c r="N13" s="260"/>
      <c r="O13" s="817"/>
      <c r="P13" s="811"/>
      <c r="Q13" s="853" t="s">
        <v>603</v>
      </c>
      <c r="R13" s="859" t="s">
        <v>687</v>
      </c>
      <c r="S13" s="860">
        <f>ROUND(1/MID(R13,4,3),4)</f>
        <v>3.0300000000000001E-2</v>
      </c>
      <c r="T13" s="861"/>
      <c r="U13" s="811"/>
      <c r="V13" s="811"/>
      <c r="W13" s="818"/>
      <c r="X13" s="811"/>
      <c r="Y13" s="817"/>
      <c r="Z13" s="862"/>
      <c r="AA13" s="853" t="s">
        <v>688</v>
      </c>
      <c r="AB13" s="859" t="s">
        <v>689</v>
      </c>
      <c r="AC13" s="860">
        <f>ROUND(1/MID(AB13,4,4),4)</f>
        <v>6.7000000000000002E-3</v>
      </c>
      <c r="AD13" s="861"/>
      <c r="AE13" s="811"/>
      <c r="AF13" s="832"/>
      <c r="AG13" s="818"/>
      <c r="AH13" s="811"/>
      <c r="AI13" s="842"/>
      <c r="AJ13" s="827"/>
      <c r="AK13" s="827"/>
      <c r="AL13" s="850" t="s">
        <v>690</v>
      </c>
      <c r="AM13" s="811"/>
      <c r="AN13" s="811"/>
      <c r="AO13" s="827" t="s">
        <v>207</v>
      </c>
      <c r="AP13" s="851">
        <f>ROUND(AP10/AP12,3)</f>
        <v>0.2</v>
      </c>
      <c r="AQ13" s="852"/>
      <c r="AR13" s="216" t="s">
        <v>344</v>
      </c>
      <c r="AS13" s="217"/>
      <c r="AT13" s="218">
        <v>70</v>
      </c>
      <c r="AU13" s="219"/>
      <c r="AV13" s="217"/>
      <c r="AW13" s="220">
        <v>226.7</v>
      </c>
      <c r="AX13" s="221"/>
      <c r="AY13" s="222"/>
    </row>
    <row r="14" spans="1:51" ht="18.95" customHeight="1">
      <c r="A14" s="260"/>
      <c r="B14" s="260"/>
      <c r="C14" s="858"/>
      <c r="D14" s="858"/>
      <c r="E14" s="858"/>
      <c r="F14" s="858"/>
      <c r="G14" s="260"/>
      <c r="H14" s="260"/>
      <c r="I14" s="260"/>
      <c r="J14" s="260"/>
      <c r="K14" s="260"/>
      <c r="L14" s="260"/>
      <c r="M14" s="260"/>
      <c r="N14" s="260"/>
      <c r="O14" s="817"/>
      <c r="P14" s="811"/>
      <c r="Q14" s="827"/>
      <c r="R14" s="863"/>
      <c r="S14" s="864"/>
      <c r="T14" s="811"/>
      <c r="U14" s="811"/>
      <c r="V14" s="811"/>
      <c r="W14" s="818"/>
      <c r="X14" s="811"/>
      <c r="Y14" s="817"/>
      <c r="Z14" s="862"/>
      <c r="AA14" s="827"/>
      <c r="AB14" s="863"/>
      <c r="AC14" s="864"/>
      <c r="AD14" s="811"/>
      <c r="AE14" s="811"/>
      <c r="AF14" s="832"/>
      <c r="AG14" s="818"/>
      <c r="AH14" s="811"/>
      <c r="AI14" s="842"/>
      <c r="AJ14" s="827"/>
      <c r="AK14" s="827"/>
      <c r="AL14" s="811"/>
      <c r="AM14" s="811"/>
      <c r="AN14" s="811"/>
      <c r="AO14" s="827"/>
      <c r="AP14" s="851"/>
      <c r="AQ14" s="852"/>
      <c r="AR14" s="216" t="s">
        <v>691</v>
      </c>
      <c r="AS14" s="217"/>
      <c r="AT14" s="218">
        <v>80</v>
      </c>
      <c r="AU14" s="219"/>
      <c r="AV14" s="217"/>
      <c r="AW14" s="220">
        <v>230.8</v>
      </c>
      <c r="AX14" s="221"/>
      <c r="AY14" s="222"/>
    </row>
    <row r="15" spans="1:51" ht="18.95" customHeight="1">
      <c r="A15" s="260"/>
      <c r="B15" s="260"/>
      <c r="C15" s="865" t="s">
        <v>692</v>
      </c>
      <c r="D15" s="866"/>
      <c r="E15" s="867"/>
      <c r="F15" s="867"/>
      <c r="G15" s="260"/>
      <c r="H15" s="260"/>
      <c r="I15" s="260"/>
      <c r="J15" s="260"/>
      <c r="K15" s="260"/>
      <c r="L15" s="260"/>
      <c r="M15" s="260"/>
      <c r="N15" s="260"/>
      <c r="O15" s="817"/>
      <c r="P15" s="811"/>
      <c r="Q15" s="827"/>
      <c r="R15" s="827"/>
      <c r="S15" s="864"/>
      <c r="T15" s="827"/>
      <c r="U15" s="811"/>
      <c r="V15" s="811"/>
      <c r="W15" s="818"/>
      <c r="X15" s="811"/>
      <c r="Y15" s="817"/>
      <c r="Z15" s="811"/>
      <c r="AA15" s="827"/>
      <c r="AB15" s="864"/>
      <c r="AC15" s="811"/>
      <c r="AD15" s="811"/>
      <c r="AE15" s="811"/>
      <c r="AF15" s="811"/>
      <c r="AG15" s="818"/>
      <c r="AH15" s="811"/>
      <c r="AI15" s="842"/>
      <c r="AJ15" s="827"/>
      <c r="AK15" s="827"/>
      <c r="AL15" s="811" t="s">
        <v>693</v>
      </c>
      <c r="AM15" s="827"/>
      <c r="AN15" s="868">
        <f>1/AP15*100</f>
        <v>20</v>
      </c>
      <c r="AO15" s="827" t="s">
        <v>694</v>
      </c>
      <c r="AP15" s="869">
        <v>5</v>
      </c>
      <c r="AQ15" s="818" t="s">
        <v>695</v>
      </c>
      <c r="AR15" s="216" t="s">
        <v>696</v>
      </c>
      <c r="AS15" s="217"/>
      <c r="AT15" s="218">
        <v>100</v>
      </c>
      <c r="AU15" s="219"/>
      <c r="AV15" s="217"/>
      <c r="AW15" s="220">
        <v>237.5</v>
      </c>
      <c r="AX15" s="221"/>
      <c r="AY15" s="222"/>
    </row>
    <row r="16" spans="1:51" ht="18.95" customHeight="1">
      <c r="A16" s="260"/>
      <c r="B16" s="260"/>
      <c r="C16" s="858"/>
      <c r="D16" s="867" t="s">
        <v>697</v>
      </c>
      <c r="E16" s="867"/>
      <c r="F16" s="867"/>
      <c r="G16" s="260"/>
      <c r="H16" s="260"/>
      <c r="I16" s="260"/>
      <c r="J16" s="260"/>
      <c r="K16" s="260"/>
      <c r="L16" s="870">
        <f>ROUND(((2/3*3.28*L17*(L19/L18^0.5))^0.467/60),2)</f>
        <v>0.36</v>
      </c>
      <c r="M16" s="260"/>
      <c r="N16" s="260"/>
      <c r="O16" s="871"/>
      <c r="P16" s="872"/>
      <c r="Q16" s="872"/>
      <c r="R16" s="872"/>
      <c r="S16" s="872"/>
      <c r="T16" s="872"/>
      <c r="U16" s="872"/>
      <c r="V16" s="872"/>
      <c r="W16" s="873"/>
      <c r="X16" s="811"/>
      <c r="Y16" s="871"/>
      <c r="Z16" s="874"/>
      <c r="AA16" s="875"/>
      <c r="AB16" s="876"/>
      <c r="AC16" s="872"/>
      <c r="AD16" s="874"/>
      <c r="AE16" s="877"/>
      <c r="AF16" s="872"/>
      <c r="AG16" s="873"/>
      <c r="AH16" s="811"/>
      <c r="AI16" s="842"/>
      <c r="AJ16" s="827"/>
      <c r="AK16" s="827"/>
      <c r="AL16" s="827"/>
      <c r="AM16" s="811" t="s">
        <v>698</v>
      </c>
      <c r="AN16" s="864">
        <v>1.2999999999999999E-2</v>
      </c>
      <c r="AO16" s="811"/>
      <c r="AP16" s="878"/>
      <c r="AQ16" s="828"/>
      <c r="AR16" s="216" t="s">
        <v>699</v>
      </c>
      <c r="AS16" s="217"/>
      <c r="AT16" s="218">
        <v>10</v>
      </c>
      <c r="AU16" s="219"/>
      <c r="AV16" s="217"/>
      <c r="AW16" s="220">
        <v>122.2</v>
      </c>
      <c r="AX16" s="221"/>
      <c r="AY16" s="222"/>
    </row>
    <row r="17" spans="1:51" ht="18.95" customHeight="1">
      <c r="A17" s="260"/>
      <c r="B17" s="260"/>
      <c r="C17" s="858"/>
      <c r="D17" s="867" t="s">
        <v>700</v>
      </c>
      <c r="E17" s="867"/>
      <c r="F17" s="867"/>
      <c r="G17" s="260"/>
      <c r="H17" s="260"/>
      <c r="I17" s="260"/>
      <c r="J17" s="260"/>
      <c r="K17" s="260"/>
      <c r="L17" s="841">
        <v>380</v>
      </c>
      <c r="M17" s="260"/>
      <c r="N17" s="260"/>
      <c r="O17" s="817"/>
      <c r="P17" s="811" t="s">
        <v>701</v>
      </c>
      <c r="Q17" s="811"/>
      <c r="R17" s="811"/>
      <c r="S17" s="811"/>
      <c r="T17" s="811"/>
      <c r="U17" s="811"/>
      <c r="V17" s="811"/>
      <c r="W17" s="818"/>
      <c r="X17" s="811"/>
      <c r="Y17" s="817"/>
      <c r="Z17" s="811" t="s">
        <v>616</v>
      </c>
      <c r="AA17" s="863"/>
      <c r="AB17" s="864"/>
      <c r="AC17" s="811"/>
      <c r="AD17" s="862"/>
      <c r="AE17" s="827"/>
      <c r="AF17" s="811"/>
      <c r="AG17" s="818"/>
      <c r="AH17" s="811"/>
      <c r="AI17" s="817"/>
      <c r="AJ17" s="811"/>
      <c r="AK17" s="811"/>
      <c r="AL17" s="811"/>
      <c r="AM17" s="811"/>
      <c r="AN17" s="811"/>
      <c r="AO17" s="811"/>
      <c r="AP17" s="811"/>
      <c r="AQ17" s="818"/>
      <c r="AR17" s="216" t="s">
        <v>345</v>
      </c>
      <c r="AS17" s="217"/>
      <c r="AT17" s="218">
        <v>20</v>
      </c>
      <c r="AU17" s="219"/>
      <c r="AV17" s="217"/>
      <c r="AW17" s="220">
        <v>135.30000000000001</v>
      </c>
      <c r="AX17" s="221"/>
      <c r="AY17" s="222"/>
    </row>
    <row r="18" spans="1:51" ht="18.95" customHeight="1">
      <c r="A18" s="260"/>
      <c r="B18" s="260"/>
      <c r="C18" s="858"/>
      <c r="D18" s="867" t="s">
        <v>702</v>
      </c>
      <c r="E18" s="867"/>
      <c r="F18" s="867"/>
      <c r="G18" s="260"/>
      <c r="H18" s="260"/>
      <c r="I18" s="260"/>
      <c r="J18" s="260"/>
      <c r="K18" s="260"/>
      <c r="L18" s="837">
        <f>L20/L17</f>
        <v>0.65789473684210531</v>
      </c>
      <c r="M18" s="260"/>
      <c r="N18" s="260"/>
      <c r="O18" s="817"/>
      <c r="P18" s="827" t="s">
        <v>703</v>
      </c>
      <c r="Q18" s="811" t="e">
        <f>" ( "&amp;T12&amp;" × 2 EA ) + "&amp;S8&amp;"  ="</f>
        <v>#REF!</v>
      </c>
      <c r="R18" s="811"/>
      <c r="S18" s="811"/>
      <c r="T18" s="879" t="e">
        <f>ROUND(T12*2+S8,3)</f>
        <v>#REF!</v>
      </c>
      <c r="U18" s="811"/>
      <c r="V18" s="811"/>
      <c r="W18" s="818"/>
      <c r="X18" s="811"/>
      <c r="Y18" s="817"/>
      <c r="Z18" s="827" t="s">
        <v>704</v>
      </c>
      <c r="AA18" s="811" t="e">
        <f>" ( "&amp;FIXED(AD12,2)&amp;" ×2 EA ) + "&amp;FIXED(AC9,2)&amp;"  ="</f>
        <v>#REF!</v>
      </c>
      <c r="AB18" s="811"/>
      <c r="AC18" s="811"/>
      <c r="AD18" s="879" t="e">
        <f>ROUND(AD12*2+AC9,3)</f>
        <v>#REF!</v>
      </c>
      <c r="AE18" s="811"/>
      <c r="AF18" s="811"/>
      <c r="AG18" s="818"/>
      <c r="AH18" s="811"/>
      <c r="AI18" s="817"/>
      <c r="AJ18" s="880" t="s">
        <v>705</v>
      </c>
      <c r="AK18" s="881" t="str">
        <f>"V = 1 / n × R⅔ × I½  = 75 × "&amp;FIXED(AP13,3)&amp;"^⅔ × "&amp;FIXED(ROUND(1/AN15,3),3)&amp;"^⅔  ="</f>
        <v>V = 1 / n × R⅔ × I½  = 75 × 0.200^⅔ × 0.050^⅔  =</v>
      </c>
      <c r="AL18" s="826"/>
      <c r="AM18" s="811"/>
      <c r="AN18" s="864"/>
      <c r="AO18" s="811"/>
      <c r="AP18" s="811"/>
      <c r="AQ18" s="818"/>
      <c r="AR18" s="216" t="s">
        <v>706</v>
      </c>
      <c r="AS18" s="217"/>
      <c r="AT18" s="218">
        <v>30</v>
      </c>
      <c r="AU18" s="219"/>
      <c r="AV18" s="217"/>
      <c r="AW18" s="220">
        <v>142.9</v>
      </c>
      <c r="AX18" s="221"/>
      <c r="AY18" s="222"/>
    </row>
    <row r="19" spans="1:51" ht="18.95" customHeight="1">
      <c r="A19" s="260"/>
      <c r="B19" s="260"/>
      <c r="C19" s="260"/>
      <c r="D19" s="867" t="s">
        <v>707</v>
      </c>
      <c r="E19" s="260"/>
      <c r="F19" s="260"/>
      <c r="G19" s="260"/>
      <c r="H19" s="260"/>
      <c r="I19" s="260"/>
      <c r="J19" s="260"/>
      <c r="K19" s="260"/>
      <c r="L19" s="841">
        <v>0.7</v>
      </c>
      <c r="M19" s="260"/>
      <c r="N19" s="260"/>
      <c r="O19" s="817"/>
      <c r="P19" s="827"/>
      <c r="Q19" s="811"/>
      <c r="R19" s="811"/>
      <c r="S19" s="811"/>
      <c r="T19" s="879"/>
      <c r="U19" s="811"/>
      <c r="V19" s="811"/>
      <c r="W19" s="818"/>
      <c r="X19" s="811"/>
      <c r="Y19" s="817"/>
      <c r="Z19" s="827"/>
      <c r="AA19" s="811"/>
      <c r="AB19" s="811"/>
      <c r="AC19" s="811"/>
      <c r="AD19" s="879"/>
      <c r="AE19" s="811"/>
      <c r="AF19" s="811"/>
      <c r="AG19" s="818"/>
      <c r="AH19" s="811"/>
      <c r="AI19" s="817"/>
      <c r="AJ19" s="880"/>
      <c r="AK19" s="811"/>
      <c r="AL19" s="826"/>
      <c r="AM19" s="864"/>
      <c r="AN19" s="811"/>
      <c r="AO19" s="851">
        <f>ROUND(75*AP13^(2/3)*(1/AN15)^(1/2),3)</f>
        <v>5.7350000000000003</v>
      </c>
      <c r="AP19" s="882" t="s">
        <v>621</v>
      </c>
      <c r="AQ19" s="818"/>
      <c r="AR19" s="216" t="s">
        <v>708</v>
      </c>
      <c r="AS19" s="217"/>
      <c r="AT19" s="218">
        <v>50</v>
      </c>
      <c r="AU19" s="219"/>
      <c r="AV19" s="217"/>
      <c r="AW19" s="220">
        <v>152.30000000000001</v>
      </c>
      <c r="AX19" s="221"/>
      <c r="AY19" s="222"/>
    </row>
    <row r="20" spans="1:51" ht="18.95" customHeight="1">
      <c r="A20" s="260"/>
      <c r="B20" s="260"/>
      <c r="C20" s="260"/>
      <c r="D20" s="867" t="s">
        <v>709</v>
      </c>
      <c r="E20" s="260"/>
      <c r="F20" s="260"/>
      <c r="G20" s="260"/>
      <c r="H20" s="260"/>
      <c r="I20" s="260"/>
      <c r="J20" s="260"/>
      <c r="K20" s="260"/>
      <c r="L20" s="883">
        <v>250</v>
      </c>
      <c r="M20" s="260"/>
      <c r="N20" s="260"/>
      <c r="O20" s="817"/>
      <c r="P20" s="811" t="s">
        <v>623</v>
      </c>
      <c r="Q20" s="811"/>
      <c r="R20" s="811"/>
      <c r="S20" s="811"/>
      <c r="T20" s="879"/>
      <c r="U20" s="811"/>
      <c r="V20" s="811"/>
      <c r="W20" s="818"/>
      <c r="X20" s="811"/>
      <c r="Y20" s="817"/>
      <c r="Z20" s="811" t="s">
        <v>710</v>
      </c>
      <c r="AA20" s="811"/>
      <c r="AB20" s="811"/>
      <c r="AC20" s="811"/>
      <c r="AD20" s="879"/>
      <c r="AE20" s="811"/>
      <c r="AF20" s="811"/>
      <c r="AG20" s="818"/>
      <c r="AH20" s="811"/>
      <c r="AI20" s="817"/>
      <c r="AJ20" s="880"/>
      <c r="AK20" s="811"/>
      <c r="AL20" s="826"/>
      <c r="AM20" s="864"/>
      <c r="AN20" s="811"/>
      <c r="AO20" s="851"/>
      <c r="AP20" s="882"/>
      <c r="AQ20" s="818"/>
      <c r="AR20" s="216" t="s">
        <v>613</v>
      </c>
      <c r="AS20" s="217"/>
      <c r="AT20" s="218">
        <v>70</v>
      </c>
      <c r="AU20" s="219"/>
      <c r="AV20" s="217"/>
      <c r="AW20" s="220">
        <v>158.5</v>
      </c>
      <c r="AX20" s="221"/>
      <c r="AY20" s="222"/>
    </row>
    <row r="21" spans="1:51" ht="18.95" customHeight="1">
      <c r="A21" s="260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817"/>
      <c r="P21" s="827" t="s">
        <v>711</v>
      </c>
      <c r="Q21" s="811" t="e">
        <f>" ( "&amp;#REF!+Q9*2&amp;" + "&amp;S8&amp;" )× 1/2 × "&amp;S6&amp;"  ="</f>
        <v>#REF!</v>
      </c>
      <c r="R21" s="811"/>
      <c r="S21" s="811"/>
      <c r="T21" s="879" t="e">
        <f>ROUND(((#REF!+Q9*2)+S8)/2*S6,2)</f>
        <v>#REF!</v>
      </c>
      <c r="U21" s="811"/>
      <c r="V21" s="811"/>
      <c r="W21" s="818"/>
      <c r="X21" s="811"/>
      <c r="Y21" s="817"/>
      <c r="Z21" s="827" t="s">
        <v>712</v>
      </c>
      <c r="AA21" s="811" t="e">
        <f>" ( "&amp;FIXED(#REF!+AA9*2,2)&amp;" + "&amp;FIXED(AC9,2)&amp;" ) ×1/2 ×"&amp;FIXED(AC6,2)&amp;"  ="</f>
        <v>#REF!</v>
      </c>
      <c r="AB21" s="811"/>
      <c r="AC21" s="811"/>
      <c r="AD21" s="879" t="e">
        <f>ROUND(((#REF!+AA9*2)+AC9)/2*AC6,2)</f>
        <v>#REF!</v>
      </c>
      <c r="AE21" s="811"/>
      <c r="AF21" s="811"/>
      <c r="AG21" s="818"/>
      <c r="AH21" s="811"/>
      <c r="AI21" s="817"/>
      <c r="AJ21" s="880" t="s">
        <v>625</v>
      </c>
      <c r="AK21" s="811" t="str">
        <f>"Q = A × V   = "&amp;FIXED(AP10,3)&amp;" × "&amp;FIXED(AO19,3)&amp;"  ="</f>
        <v>Q = A × V   = 0.502 × 5.735  =</v>
      </c>
      <c r="AL21" s="811"/>
      <c r="AM21" s="884"/>
      <c r="AN21" s="864"/>
      <c r="AO21" s="851">
        <f>ROUND(AP10*AO19,3)</f>
        <v>2.879</v>
      </c>
      <c r="AP21" s="811" t="s">
        <v>713</v>
      </c>
      <c r="AQ21" s="818"/>
      <c r="AR21" s="216" t="s">
        <v>714</v>
      </c>
      <c r="AS21" s="217"/>
      <c r="AT21" s="218">
        <v>80</v>
      </c>
      <c r="AU21" s="219"/>
      <c r="AV21" s="217"/>
      <c r="AW21" s="220">
        <v>160.9</v>
      </c>
      <c r="AX21" s="221"/>
      <c r="AY21" s="222"/>
    </row>
    <row r="22" spans="1:51" ht="18.95" customHeight="1" thickBot="1">
      <c r="A22" s="260"/>
      <c r="B22" s="816" t="s">
        <v>627</v>
      </c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817"/>
      <c r="P22" s="827"/>
      <c r="Q22" s="811"/>
      <c r="R22" s="811"/>
      <c r="S22" s="811"/>
      <c r="T22" s="879"/>
      <c r="U22" s="811"/>
      <c r="V22" s="811"/>
      <c r="W22" s="818"/>
      <c r="X22" s="811"/>
      <c r="Y22" s="817"/>
      <c r="Z22" s="827"/>
      <c r="AA22" s="811"/>
      <c r="AB22" s="811"/>
      <c r="AC22" s="811"/>
      <c r="AD22" s="879"/>
      <c r="AE22" s="811"/>
      <c r="AF22" s="811"/>
      <c r="AG22" s="818"/>
      <c r="AH22" s="811"/>
      <c r="AI22" s="817"/>
      <c r="AJ22" s="862"/>
      <c r="AK22" s="827"/>
      <c r="AL22" s="827"/>
      <c r="AM22" s="827"/>
      <c r="AN22" s="827"/>
      <c r="AO22" s="827"/>
      <c r="AP22" s="827"/>
      <c r="AQ22" s="818"/>
      <c r="AR22" s="216" t="s">
        <v>699</v>
      </c>
      <c r="AS22" s="217"/>
      <c r="AT22" s="218">
        <v>100</v>
      </c>
      <c r="AU22" s="219"/>
      <c r="AV22" s="217"/>
      <c r="AW22" s="220">
        <v>165</v>
      </c>
      <c r="AX22" s="221"/>
      <c r="AY22" s="222"/>
    </row>
    <row r="23" spans="1:51" ht="18.95" customHeight="1" thickBot="1">
      <c r="A23" s="260"/>
      <c r="B23" s="816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817"/>
      <c r="P23" s="827"/>
      <c r="Q23" s="811"/>
      <c r="R23" s="811"/>
      <c r="S23" s="811"/>
      <c r="T23" s="879"/>
      <c r="U23" s="811"/>
      <c r="V23" s="811"/>
      <c r="W23" s="818"/>
      <c r="X23" s="811"/>
      <c r="Y23" s="817"/>
      <c r="Z23" s="827"/>
      <c r="AA23" s="811"/>
      <c r="AB23" s="811"/>
      <c r="AC23" s="811"/>
      <c r="AD23" s="879"/>
      <c r="AE23" s="811"/>
      <c r="AF23" s="811"/>
      <c r="AG23" s="818"/>
      <c r="AH23" s="811"/>
      <c r="AI23" s="817"/>
      <c r="AJ23" s="862"/>
      <c r="AK23" s="1255" t="str">
        <f>AO21&amp;"㎥/s &gt; Qd = "&amp;AK5&amp;"㎥/s "&amp;IF(AO21&gt;AK5," -  O K  - "," -  N O  - ")</f>
        <v xml:space="preserve">2.879㎥/s &gt; Qd = 1.34㎥/s  -  O K  - </v>
      </c>
      <c r="AL23" s="1255"/>
      <c r="AM23" s="1255"/>
      <c r="AN23" s="1255"/>
      <c r="AO23" s="1255"/>
      <c r="AP23" s="827"/>
      <c r="AQ23" s="818"/>
      <c r="AR23" s="216" t="s">
        <v>715</v>
      </c>
      <c r="AS23" s="217"/>
      <c r="AT23" s="218">
        <v>10</v>
      </c>
      <c r="AU23" s="219"/>
      <c r="AV23" s="217"/>
      <c r="AW23" s="220">
        <v>217.1</v>
      </c>
      <c r="AX23" s="221"/>
      <c r="AY23" s="222"/>
    </row>
    <row r="24" spans="1:51" ht="18.95" customHeight="1">
      <c r="A24" s="260"/>
      <c r="B24" s="260"/>
      <c r="C24" s="260" t="s">
        <v>716</v>
      </c>
      <c r="D24" s="260"/>
      <c r="E24" s="260"/>
      <c r="F24" s="260"/>
      <c r="G24" s="260"/>
      <c r="H24" s="260"/>
      <c r="I24" s="260"/>
      <c r="J24" s="260"/>
      <c r="K24" s="260"/>
      <c r="L24" s="885">
        <f>ROUND((F25/24)*(24/L16)^0.557,2)</f>
        <v>133.77000000000001</v>
      </c>
      <c r="M24" s="260"/>
      <c r="N24" s="260"/>
      <c r="O24" s="817"/>
      <c r="P24" s="827" t="s">
        <v>717</v>
      </c>
      <c r="Q24" s="811" t="e">
        <f>" ( "&amp;T21&amp;" / "&amp;T18&amp;" )  ="</f>
        <v>#REF!</v>
      </c>
      <c r="R24" s="811"/>
      <c r="S24" s="811"/>
      <c r="T24" s="879" t="e">
        <f>ROUND(T21/T18,3)</f>
        <v>#REF!</v>
      </c>
      <c r="U24" s="811"/>
      <c r="V24" s="811"/>
      <c r="W24" s="818"/>
      <c r="X24" s="811"/>
      <c r="Y24" s="817"/>
      <c r="Z24" s="827" t="s">
        <v>717</v>
      </c>
      <c r="AA24" s="811" t="e">
        <f>" ( "&amp;FIXED(AD21,2)&amp;" / "&amp;FIXED(AD18,2)&amp;" ) ="</f>
        <v>#REF!</v>
      </c>
      <c r="AB24" s="811"/>
      <c r="AC24" s="811"/>
      <c r="AD24" s="879" t="e">
        <f>ROUND(AD21/AD18,3)</f>
        <v>#REF!</v>
      </c>
      <c r="AE24" s="811"/>
      <c r="AF24" s="811"/>
      <c r="AG24" s="818"/>
      <c r="AH24" s="811"/>
      <c r="AI24" s="817"/>
      <c r="AJ24" s="862"/>
      <c r="AK24" s="811"/>
      <c r="AL24" s="886"/>
      <c r="AM24" s="827"/>
      <c r="AN24" s="887"/>
      <c r="AO24" s="827"/>
      <c r="AP24" s="811"/>
      <c r="AQ24" s="828"/>
      <c r="AR24" s="216" t="s">
        <v>715</v>
      </c>
      <c r="AS24" s="217"/>
      <c r="AT24" s="218">
        <v>20</v>
      </c>
      <c r="AU24" s="219"/>
      <c r="AV24" s="217"/>
      <c r="AW24" s="220">
        <v>254</v>
      </c>
      <c r="AX24" s="221"/>
      <c r="AY24" s="222"/>
    </row>
    <row r="25" spans="1:51" ht="18.95" customHeight="1">
      <c r="A25" s="260"/>
      <c r="B25" s="260"/>
      <c r="C25" s="260"/>
      <c r="D25" s="260" t="s">
        <v>718</v>
      </c>
      <c r="E25" s="260"/>
      <c r="F25" s="610">
        <f t="array" ref="F25">MAX(IF(($AR$2:$AR$85=L26)*($AT$2:$AT$85=M26),$AW$2:$AW$85,""))</f>
        <v>309.5</v>
      </c>
      <c r="G25" s="611"/>
      <c r="H25" s="1254" t="s">
        <v>719</v>
      </c>
      <c r="I25" s="1254"/>
      <c r="J25" s="260"/>
      <c r="K25" s="260"/>
      <c r="L25" s="888" t="s">
        <v>720</v>
      </c>
      <c r="M25" s="888" t="s">
        <v>721</v>
      </c>
      <c r="N25" s="260"/>
      <c r="O25" s="817"/>
      <c r="P25" s="811" t="s">
        <v>722</v>
      </c>
      <c r="Q25" s="811"/>
      <c r="R25" s="811"/>
      <c r="S25" s="811"/>
      <c r="T25" s="879"/>
      <c r="U25" s="811"/>
      <c r="V25" s="811"/>
      <c r="W25" s="818"/>
      <c r="X25" s="811"/>
      <c r="Y25" s="817"/>
      <c r="Z25" s="811" t="s">
        <v>723</v>
      </c>
      <c r="AA25" s="811"/>
      <c r="AB25" s="811"/>
      <c r="AC25" s="811"/>
      <c r="AD25" s="879"/>
      <c r="AE25" s="811"/>
      <c r="AF25" s="811"/>
      <c r="AG25" s="818"/>
      <c r="AH25" s="811"/>
      <c r="AI25" s="817"/>
      <c r="AJ25" s="880" t="s">
        <v>637</v>
      </c>
      <c r="AK25" s="827">
        <f>ROUND(AO21/AK5*100,)</f>
        <v>215</v>
      </c>
      <c r="AL25" s="850" t="s">
        <v>638</v>
      </c>
      <c r="AM25" s="827"/>
      <c r="AN25" s="887"/>
      <c r="AO25" s="827"/>
      <c r="AP25" s="811"/>
      <c r="AQ25" s="828"/>
      <c r="AR25" s="216" t="s">
        <v>628</v>
      </c>
      <c r="AS25" s="217"/>
      <c r="AT25" s="218">
        <v>30</v>
      </c>
      <c r="AU25" s="219"/>
      <c r="AV25" s="217"/>
      <c r="AW25" s="220">
        <v>275.2</v>
      </c>
      <c r="AX25" s="221"/>
      <c r="AY25" s="222"/>
    </row>
    <row r="26" spans="1:51" ht="18.95" customHeight="1">
      <c r="A26" s="260"/>
      <c r="B26" s="260"/>
      <c r="C26" s="260"/>
      <c r="D26" s="260"/>
      <c r="E26" s="260"/>
      <c r="F26" s="611"/>
      <c r="G26" s="611"/>
      <c r="H26" s="889"/>
      <c r="I26" s="889"/>
      <c r="J26" s="260"/>
      <c r="K26" s="260"/>
      <c r="L26" s="613" t="s">
        <v>503</v>
      </c>
      <c r="M26" s="613">
        <v>100</v>
      </c>
      <c r="N26" s="260"/>
      <c r="O26" s="817"/>
      <c r="P26" s="827" t="s">
        <v>724</v>
      </c>
      <c r="Q26" s="811" t="e">
        <f>" 1 / "&amp;#REF!&amp;" × "&amp;T24&amp;"^ ⅔ × "&amp;S13&amp;" ^½  ="</f>
        <v>#REF!</v>
      </c>
      <c r="R26" s="811"/>
      <c r="S26" s="811"/>
      <c r="T26" s="879" t="e">
        <f>ROUND(1/#REF!*T24^(2/3)*S13^(1/2),3)</f>
        <v>#REF!</v>
      </c>
      <c r="U26" s="811" t="s">
        <v>725</v>
      </c>
      <c r="V26" s="811"/>
      <c r="W26" s="818"/>
      <c r="X26" s="811"/>
      <c r="Y26" s="817"/>
      <c r="Z26" s="827" t="s">
        <v>726</v>
      </c>
      <c r="AA26" s="811" t="e">
        <f>" 1/"&amp;FIXED(#REF!,3)&amp;" ×"&amp;FIXED(AD24,3)&amp;"^ ⅔ ×"&amp;FIXED(AC13,3)&amp;" ^½ ="</f>
        <v>#REF!</v>
      </c>
      <c r="AB26" s="811"/>
      <c r="AC26" s="811"/>
      <c r="AD26" s="879" t="e">
        <f>ROUND(1/#REF!*AD24^(2/3)*AC13^(1/2),3)</f>
        <v>#REF!</v>
      </c>
      <c r="AE26" s="811" t="s">
        <v>727</v>
      </c>
      <c r="AF26" s="811"/>
      <c r="AG26" s="818"/>
      <c r="AH26" s="811"/>
      <c r="AI26" s="838"/>
      <c r="AJ26" s="839"/>
      <c r="AK26" s="839"/>
      <c r="AL26" s="260"/>
      <c r="AM26" s="260"/>
      <c r="AN26" s="260"/>
      <c r="AO26" s="260"/>
      <c r="AP26" s="811"/>
      <c r="AQ26" s="828"/>
      <c r="AR26" s="216" t="s">
        <v>728</v>
      </c>
      <c r="AS26" s="217"/>
      <c r="AT26" s="218">
        <v>50</v>
      </c>
      <c r="AU26" s="219"/>
      <c r="AV26" s="217"/>
      <c r="AW26" s="220">
        <v>301.7</v>
      </c>
      <c r="AX26" s="221"/>
      <c r="AY26" s="222"/>
    </row>
    <row r="27" spans="1:51" ht="18.95" customHeight="1" thickBot="1">
      <c r="A27" s="260"/>
      <c r="B27" s="260"/>
      <c r="C27" s="260"/>
      <c r="D27" s="260"/>
      <c r="E27" s="260"/>
      <c r="F27" s="611"/>
      <c r="G27" s="611"/>
      <c r="H27" s="889"/>
      <c r="I27" s="889"/>
      <c r="J27" s="260"/>
      <c r="K27" s="260"/>
      <c r="L27" s="614"/>
      <c r="M27" s="614"/>
      <c r="N27" s="260"/>
      <c r="O27" s="817"/>
      <c r="P27" s="827"/>
      <c r="Q27" s="811"/>
      <c r="R27" s="811"/>
      <c r="S27" s="811"/>
      <c r="T27" s="811"/>
      <c r="U27" s="811"/>
      <c r="V27" s="811"/>
      <c r="W27" s="818"/>
      <c r="X27" s="811"/>
      <c r="Y27" s="817"/>
      <c r="Z27" s="827"/>
      <c r="AA27" s="811"/>
      <c r="AB27" s="811"/>
      <c r="AC27" s="811"/>
      <c r="AD27" s="879"/>
      <c r="AE27" s="811"/>
      <c r="AF27" s="811"/>
      <c r="AG27" s="818"/>
      <c r="AH27" s="811"/>
      <c r="AI27" s="890"/>
      <c r="AJ27" s="891"/>
      <c r="AK27" s="891"/>
      <c r="AL27" s="891"/>
      <c r="AM27" s="891"/>
      <c r="AN27" s="891"/>
      <c r="AO27" s="891"/>
      <c r="AP27" s="891"/>
      <c r="AQ27" s="892"/>
      <c r="AR27" s="216" t="s">
        <v>628</v>
      </c>
      <c r="AS27" s="217"/>
      <c r="AT27" s="218">
        <v>70</v>
      </c>
      <c r="AU27" s="219"/>
      <c r="AV27" s="217"/>
      <c r="AW27" s="220">
        <v>319.10000000000002</v>
      </c>
      <c r="AX27" s="221"/>
      <c r="AY27" s="222"/>
    </row>
    <row r="28" spans="1:51" ht="18.95" customHeight="1">
      <c r="A28" s="260"/>
      <c r="B28" s="260"/>
      <c r="C28" s="260"/>
      <c r="D28" s="893" t="s">
        <v>729</v>
      </c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894"/>
      <c r="P28" s="895"/>
      <c r="Q28" s="896"/>
      <c r="R28" s="896"/>
      <c r="S28" s="896"/>
      <c r="T28" s="896"/>
      <c r="U28" s="896"/>
      <c r="V28" s="896"/>
      <c r="W28" s="897"/>
      <c r="X28" s="811"/>
      <c r="Y28" s="894"/>
      <c r="Z28" s="895"/>
      <c r="AA28" s="896"/>
      <c r="AB28" s="896"/>
      <c r="AC28" s="896"/>
      <c r="AD28" s="898"/>
      <c r="AE28" s="896"/>
      <c r="AF28" s="896"/>
      <c r="AG28" s="897"/>
      <c r="AH28" s="811"/>
      <c r="AI28" s="260"/>
      <c r="AJ28" s="260"/>
      <c r="AK28" s="260"/>
      <c r="AL28" s="260"/>
      <c r="AM28" s="260"/>
      <c r="AN28" s="260"/>
      <c r="AO28" s="260"/>
      <c r="AP28" s="260"/>
      <c r="AQ28" s="260"/>
      <c r="AR28" s="216" t="s">
        <v>642</v>
      </c>
      <c r="AS28" s="217"/>
      <c r="AT28" s="218">
        <v>80</v>
      </c>
      <c r="AU28" s="219"/>
      <c r="AV28" s="217"/>
      <c r="AW28" s="220">
        <v>326</v>
      </c>
      <c r="AX28" s="221"/>
      <c r="AY28" s="222"/>
    </row>
    <row r="29" spans="1:51" ht="18.95" customHeight="1">
      <c r="O29" s="899"/>
      <c r="P29" s="900"/>
      <c r="Q29" s="901"/>
      <c r="R29" s="901"/>
      <c r="S29" s="901"/>
      <c r="T29" s="901"/>
      <c r="U29" s="901"/>
      <c r="V29" s="901"/>
      <c r="W29" s="902"/>
      <c r="Y29" s="899"/>
      <c r="Z29" s="900"/>
      <c r="AA29" s="901"/>
      <c r="AB29" s="901"/>
      <c r="AC29" s="901"/>
      <c r="AD29" s="903"/>
      <c r="AE29" s="901"/>
      <c r="AF29" s="901"/>
      <c r="AG29" s="902"/>
      <c r="AI29" s="214"/>
      <c r="AJ29" s="214"/>
      <c r="AK29" s="214"/>
      <c r="AL29" s="214"/>
      <c r="AM29" s="214"/>
      <c r="AN29" s="214"/>
      <c r="AO29" s="214"/>
      <c r="AP29" s="214"/>
      <c r="AQ29" s="214"/>
      <c r="AR29" s="216" t="s">
        <v>642</v>
      </c>
      <c r="AS29" s="217"/>
      <c r="AT29" s="218">
        <v>100</v>
      </c>
      <c r="AU29" s="219"/>
      <c r="AV29" s="217"/>
      <c r="AW29" s="220">
        <v>337.5</v>
      </c>
      <c r="AX29" s="221"/>
      <c r="AY29" s="222"/>
    </row>
    <row r="30" spans="1:51" ht="18.95" customHeight="1">
      <c r="L30" s="904" t="s">
        <v>730</v>
      </c>
      <c r="O30" s="560"/>
      <c r="W30" s="585"/>
      <c r="Y30" s="560"/>
      <c r="Z30" s="572"/>
      <c r="AA30" s="562"/>
      <c r="AB30" s="562"/>
      <c r="AC30" s="905"/>
      <c r="AD30" s="562"/>
      <c r="AE30" s="562"/>
      <c r="AF30" s="562"/>
      <c r="AG30" s="585"/>
      <c r="AI30" s="214"/>
      <c r="AJ30" s="214"/>
      <c r="AK30" s="214"/>
      <c r="AL30" s="214"/>
      <c r="AM30" s="214"/>
      <c r="AN30" s="214"/>
      <c r="AO30" s="214"/>
      <c r="AP30" s="214"/>
      <c r="AQ30" s="214"/>
      <c r="AR30" s="216" t="s">
        <v>646</v>
      </c>
      <c r="AS30" s="217"/>
      <c r="AT30" s="218">
        <v>10</v>
      </c>
      <c r="AU30" s="219"/>
      <c r="AV30" s="217"/>
      <c r="AW30" s="220">
        <v>170.4</v>
      </c>
      <c r="AX30" s="221"/>
      <c r="AY30" s="222"/>
    </row>
    <row r="31" spans="1:51" ht="18.95" customHeight="1" thickBot="1">
      <c r="O31" s="906"/>
      <c r="P31" s="907"/>
      <c r="Q31" s="907"/>
      <c r="R31" s="907"/>
      <c r="S31" s="907"/>
      <c r="T31" s="907"/>
      <c r="U31" s="907"/>
      <c r="V31" s="907"/>
      <c r="W31" s="908"/>
      <c r="Y31" s="906"/>
      <c r="Z31" s="907"/>
      <c r="AA31" s="907"/>
      <c r="AB31" s="907"/>
      <c r="AC31" s="907"/>
      <c r="AD31" s="907"/>
      <c r="AE31" s="907"/>
      <c r="AF31" s="907"/>
      <c r="AG31" s="908"/>
      <c r="AI31" s="214"/>
      <c r="AJ31" s="214"/>
      <c r="AK31" s="214"/>
      <c r="AL31" s="214"/>
      <c r="AM31" s="214"/>
      <c r="AN31" s="214"/>
      <c r="AO31" s="214"/>
      <c r="AP31" s="214"/>
      <c r="AQ31" s="214"/>
      <c r="AR31" s="216" t="s">
        <v>647</v>
      </c>
      <c r="AS31" s="217"/>
      <c r="AT31" s="218">
        <v>20</v>
      </c>
      <c r="AU31" s="219"/>
      <c r="AV31" s="217"/>
      <c r="AW31" s="220">
        <v>196.8</v>
      </c>
      <c r="AX31" s="221"/>
      <c r="AY31" s="222"/>
    </row>
    <row r="32" spans="1:51" ht="18.95" customHeight="1">
      <c r="O32" s="215"/>
      <c r="P32" s="215"/>
      <c r="Q32" s="215"/>
      <c r="R32" s="215"/>
      <c r="S32" s="215"/>
      <c r="T32" s="808"/>
      <c r="U32" s="909"/>
      <c r="V32" s="909"/>
      <c r="Y32" s="562"/>
      <c r="Z32" s="562"/>
      <c r="AA32" s="562"/>
      <c r="AB32" s="562"/>
      <c r="AC32" s="562"/>
      <c r="AD32" s="808"/>
      <c r="AE32" s="909"/>
      <c r="AF32" s="909"/>
      <c r="AI32" s="214"/>
      <c r="AJ32" s="214"/>
      <c r="AK32" s="214"/>
      <c r="AL32" s="214"/>
      <c r="AM32" s="214"/>
      <c r="AN32" s="214"/>
      <c r="AO32" s="214"/>
      <c r="AP32" s="214"/>
      <c r="AQ32" s="214"/>
      <c r="AR32" s="216" t="s">
        <v>645</v>
      </c>
      <c r="AS32" s="217"/>
      <c r="AT32" s="218">
        <v>30</v>
      </c>
      <c r="AU32" s="219"/>
      <c r="AV32" s="217"/>
      <c r="AW32" s="220">
        <v>211.2</v>
      </c>
      <c r="AX32" s="221"/>
      <c r="AY32" s="222"/>
    </row>
    <row r="33" spans="15:51" ht="18.95" customHeight="1">
      <c r="O33" s="910"/>
      <c r="P33" s="911"/>
      <c r="Q33" s="910"/>
      <c r="R33" s="910"/>
      <c r="S33" s="910"/>
      <c r="T33" s="910"/>
      <c r="U33" s="910"/>
      <c r="V33" s="910"/>
      <c r="W33" s="910"/>
      <c r="AI33" s="214"/>
      <c r="AJ33" s="214"/>
      <c r="AK33" s="214"/>
      <c r="AL33" s="214"/>
      <c r="AM33" s="214"/>
      <c r="AN33" s="214"/>
      <c r="AO33" s="214"/>
      <c r="AP33" s="214"/>
      <c r="AQ33" s="214"/>
      <c r="AR33" s="216" t="s">
        <v>645</v>
      </c>
      <c r="AS33" s="217"/>
      <c r="AT33" s="218">
        <v>50</v>
      </c>
      <c r="AU33" s="219"/>
      <c r="AV33" s="217"/>
      <c r="AW33" s="220">
        <v>228</v>
      </c>
      <c r="AX33" s="221"/>
      <c r="AY33" s="222"/>
    </row>
    <row r="34" spans="15:51" ht="18.95" customHeight="1">
      <c r="P34" s="909"/>
      <c r="AI34" s="214"/>
      <c r="AJ34" s="214"/>
      <c r="AK34" s="214"/>
      <c r="AL34" s="214"/>
      <c r="AM34" s="214"/>
      <c r="AN34" s="214"/>
      <c r="AO34" s="214"/>
      <c r="AP34" s="214"/>
      <c r="AQ34" s="214"/>
      <c r="AR34" s="216" t="s">
        <v>645</v>
      </c>
      <c r="AS34" s="217"/>
      <c r="AT34" s="218">
        <v>70</v>
      </c>
      <c r="AU34" s="219"/>
      <c r="AV34" s="217"/>
      <c r="AW34" s="220">
        <v>240</v>
      </c>
      <c r="AX34" s="221"/>
      <c r="AY34" s="222"/>
    </row>
    <row r="35" spans="15:51" ht="18.95" customHeight="1">
      <c r="P35" s="909"/>
      <c r="AI35" s="214"/>
      <c r="AJ35" s="214"/>
      <c r="AK35" s="214"/>
      <c r="AL35" s="214"/>
      <c r="AM35" s="214"/>
      <c r="AN35" s="214"/>
      <c r="AO35" s="214"/>
      <c r="AP35" s="214"/>
      <c r="AQ35" s="214"/>
      <c r="AR35" s="216" t="s">
        <v>647</v>
      </c>
      <c r="AS35" s="217"/>
      <c r="AT35" s="218">
        <v>80</v>
      </c>
      <c r="AU35" s="219"/>
      <c r="AV35" s="217"/>
      <c r="AW35" s="220">
        <v>244.8</v>
      </c>
      <c r="AX35" s="221"/>
      <c r="AY35" s="222"/>
    </row>
    <row r="36" spans="15:51" ht="18.95" customHeight="1">
      <c r="P36" s="1256"/>
      <c r="Q36" s="1256"/>
      <c r="AI36" s="214"/>
      <c r="AJ36" s="214"/>
      <c r="AK36" s="214"/>
      <c r="AL36" s="214"/>
      <c r="AM36" s="214"/>
      <c r="AN36" s="214"/>
      <c r="AO36" s="214"/>
      <c r="AP36" s="214"/>
      <c r="AQ36" s="214"/>
      <c r="AR36" s="216" t="s">
        <v>645</v>
      </c>
      <c r="AS36" s="217"/>
      <c r="AT36" s="218">
        <v>100</v>
      </c>
      <c r="AU36" s="219"/>
      <c r="AV36" s="217"/>
      <c r="AW36" s="220">
        <v>252</v>
      </c>
      <c r="AX36" s="221"/>
      <c r="AY36" s="222"/>
    </row>
    <row r="37" spans="15:51" ht="18.95" customHeight="1">
      <c r="P37" s="909"/>
      <c r="AI37" s="214"/>
      <c r="AJ37" s="214"/>
      <c r="AK37" s="214"/>
      <c r="AL37" s="214"/>
      <c r="AM37" s="214"/>
      <c r="AN37" s="214"/>
      <c r="AO37" s="214"/>
      <c r="AP37" s="214"/>
      <c r="AQ37" s="214"/>
      <c r="AR37" s="216" t="s">
        <v>348</v>
      </c>
      <c r="AS37" s="217"/>
      <c r="AT37" s="218">
        <v>10</v>
      </c>
      <c r="AU37" s="219"/>
      <c r="AV37" s="217"/>
      <c r="AW37" s="220">
        <v>233.5</v>
      </c>
      <c r="AX37" s="221"/>
      <c r="AY37" s="222"/>
    </row>
    <row r="38" spans="15:51" ht="18.95" customHeight="1">
      <c r="P38" s="905"/>
      <c r="Q38" s="905"/>
      <c r="R38" s="905"/>
      <c r="S38" s="589"/>
      <c r="T38" s="589"/>
      <c r="U38" s="905"/>
      <c r="V38" s="905"/>
      <c r="AI38" s="214"/>
      <c r="AJ38" s="214"/>
      <c r="AK38" s="214"/>
      <c r="AL38" s="214"/>
      <c r="AM38" s="214"/>
      <c r="AN38" s="214"/>
      <c r="AO38" s="214"/>
      <c r="AP38" s="214"/>
      <c r="AQ38" s="214"/>
      <c r="AR38" s="216" t="s">
        <v>648</v>
      </c>
      <c r="AS38" s="217"/>
      <c r="AT38" s="218">
        <v>20</v>
      </c>
      <c r="AU38" s="219"/>
      <c r="AV38" s="217"/>
      <c r="AW38" s="220">
        <v>273.89999999999998</v>
      </c>
      <c r="AX38" s="221"/>
      <c r="AY38" s="222"/>
    </row>
    <row r="39" spans="15:51" ht="18.95" customHeight="1">
      <c r="P39" s="905"/>
      <c r="Q39" s="912"/>
      <c r="R39" s="913"/>
      <c r="S39" s="912"/>
      <c r="T39" s="912"/>
      <c r="U39" s="912"/>
      <c r="V39" s="9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6" t="s">
        <v>731</v>
      </c>
      <c r="AS39" s="217"/>
      <c r="AT39" s="218">
        <v>30</v>
      </c>
      <c r="AU39" s="219"/>
      <c r="AV39" s="217"/>
      <c r="AW39" s="220">
        <v>297.2</v>
      </c>
      <c r="AX39" s="221"/>
      <c r="AY39" s="222"/>
    </row>
    <row r="40" spans="15:51" ht="18.95" customHeight="1">
      <c r="P40" s="905"/>
      <c r="Q40" s="905"/>
      <c r="R40" s="905"/>
      <c r="S40" s="905"/>
      <c r="T40" s="905"/>
      <c r="U40" s="905"/>
      <c r="V40" s="905"/>
      <c r="AI40" s="214"/>
      <c r="AJ40" s="214"/>
      <c r="AK40" s="214"/>
      <c r="AL40" s="214"/>
      <c r="AM40" s="214"/>
      <c r="AN40" s="214"/>
      <c r="AO40" s="214"/>
      <c r="AP40" s="214"/>
      <c r="AQ40" s="214"/>
      <c r="AR40" s="216" t="s">
        <v>731</v>
      </c>
      <c r="AS40" s="217"/>
      <c r="AT40" s="218">
        <v>50</v>
      </c>
      <c r="AU40" s="219"/>
      <c r="AV40" s="217"/>
      <c r="AW40" s="220">
        <v>326.3</v>
      </c>
      <c r="AX40" s="221"/>
      <c r="AY40" s="222"/>
    </row>
    <row r="41" spans="15:51" ht="18.95" customHeight="1">
      <c r="P41" s="905"/>
      <c r="Q41" s="905"/>
      <c r="R41" s="1257"/>
      <c r="S41" s="589"/>
      <c r="T41" s="905"/>
      <c r="U41" s="905"/>
      <c r="AI41" s="214"/>
      <c r="AJ41" s="214"/>
      <c r="AK41" s="214"/>
      <c r="AL41" s="214"/>
      <c r="AM41" s="214"/>
      <c r="AN41" s="214"/>
      <c r="AO41" s="214"/>
      <c r="AP41" s="214"/>
      <c r="AQ41" s="214"/>
      <c r="AR41" s="216" t="s">
        <v>348</v>
      </c>
      <c r="AS41" s="217"/>
      <c r="AT41" s="218">
        <v>70</v>
      </c>
      <c r="AU41" s="219"/>
      <c r="AV41" s="217"/>
      <c r="AW41" s="220">
        <v>345.3</v>
      </c>
      <c r="AX41" s="221"/>
      <c r="AY41" s="222"/>
    </row>
    <row r="42" spans="15:51" ht="18.95" customHeight="1">
      <c r="P42" s="905"/>
      <c r="Q42" s="905"/>
      <c r="R42" s="1257"/>
      <c r="S42" s="1258"/>
      <c r="T42" s="905"/>
      <c r="U42" s="915"/>
      <c r="AI42" s="214"/>
      <c r="AJ42" s="214"/>
      <c r="AK42" s="214"/>
      <c r="AL42" s="214"/>
      <c r="AM42" s="214"/>
      <c r="AN42" s="214"/>
      <c r="AO42" s="214"/>
      <c r="AP42" s="214"/>
      <c r="AQ42" s="214"/>
      <c r="AR42" s="216" t="s">
        <v>348</v>
      </c>
      <c r="AS42" s="217"/>
      <c r="AT42" s="218">
        <v>80</v>
      </c>
      <c r="AU42" s="219"/>
      <c r="AV42" s="217"/>
      <c r="AW42" s="220">
        <v>352.9</v>
      </c>
      <c r="AX42" s="221"/>
      <c r="AY42" s="222"/>
    </row>
    <row r="43" spans="15:51" ht="18.95" customHeight="1">
      <c r="P43" s="905"/>
      <c r="Q43" s="905"/>
      <c r="R43" s="1257"/>
      <c r="S43" s="1258"/>
      <c r="T43" s="905"/>
      <c r="U43" s="905"/>
      <c r="AI43" s="214"/>
      <c r="AJ43" s="214"/>
      <c r="AK43" s="214"/>
      <c r="AL43" s="214"/>
      <c r="AM43" s="214"/>
      <c r="AN43" s="214"/>
      <c r="AO43" s="214"/>
      <c r="AP43" s="214"/>
      <c r="AQ43" s="214"/>
      <c r="AR43" s="216" t="s">
        <v>731</v>
      </c>
      <c r="AS43" s="217"/>
      <c r="AT43" s="218">
        <v>100</v>
      </c>
      <c r="AU43" s="219"/>
      <c r="AV43" s="217"/>
      <c r="AW43" s="220">
        <v>414.2</v>
      </c>
      <c r="AX43" s="221"/>
      <c r="AY43" s="222"/>
    </row>
    <row r="44" spans="15:51" ht="18.95" customHeight="1">
      <c r="P44" s="905"/>
      <c r="Q44" s="905"/>
      <c r="R44" s="905"/>
      <c r="S44" s="905"/>
      <c r="T44" s="905"/>
      <c r="U44" s="905"/>
      <c r="V44" s="905"/>
      <c r="AI44" s="214"/>
      <c r="AJ44" s="214"/>
      <c r="AK44" s="214"/>
      <c r="AL44" s="214"/>
      <c r="AM44" s="214"/>
      <c r="AN44" s="214"/>
      <c r="AO44" s="214"/>
      <c r="AP44" s="214"/>
      <c r="AQ44" s="214"/>
      <c r="AR44" s="216" t="s">
        <v>732</v>
      </c>
      <c r="AS44" s="217"/>
      <c r="AT44" s="218">
        <v>10</v>
      </c>
      <c r="AU44" s="219"/>
      <c r="AV44" s="217"/>
      <c r="AW44" s="220">
        <v>213.4</v>
      </c>
      <c r="AX44" s="221"/>
      <c r="AY44" s="222"/>
    </row>
    <row r="45" spans="15:51" ht="18.95" customHeight="1">
      <c r="P45" s="905"/>
      <c r="Q45" s="916"/>
      <c r="R45" s="905"/>
      <c r="S45" s="589"/>
      <c r="T45" s="589"/>
      <c r="U45" s="905"/>
      <c r="V45" s="905"/>
      <c r="AI45" s="214"/>
      <c r="AJ45" s="214"/>
      <c r="AK45" s="214"/>
      <c r="AL45" s="214"/>
      <c r="AM45" s="214"/>
      <c r="AN45" s="214"/>
      <c r="AO45" s="214"/>
      <c r="AP45" s="214"/>
      <c r="AQ45" s="214"/>
      <c r="AR45" s="216" t="s">
        <v>349</v>
      </c>
      <c r="AS45" s="217"/>
      <c r="AT45" s="218">
        <v>20</v>
      </c>
      <c r="AU45" s="219"/>
      <c r="AV45" s="217"/>
      <c r="AW45" s="220">
        <v>245.8</v>
      </c>
      <c r="AX45" s="221"/>
      <c r="AY45" s="222"/>
    </row>
    <row r="46" spans="15:51" ht="18.95" customHeight="1">
      <c r="P46" s="905"/>
      <c r="Q46" s="916"/>
      <c r="R46" s="905"/>
      <c r="S46" s="589"/>
      <c r="T46" s="589"/>
      <c r="U46" s="905"/>
      <c r="V46" s="905"/>
      <c r="AI46" s="214"/>
      <c r="AJ46" s="214"/>
      <c r="AK46" s="214"/>
      <c r="AL46" s="214"/>
      <c r="AM46" s="214"/>
      <c r="AN46" s="214"/>
      <c r="AO46" s="214"/>
      <c r="AP46" s="214"/>
      <c r="AQ46" s="214"/>
      <c r="AR46" s="216" t="s">
        <v>732</v>
      </c>
      <c r="AS46" s="217"/>
      <c r="AT46" s="218">
        <v>30</v>
      </c>
      <c r="AU46" s="219"/>
      <c r="AV46" s="217"/>
      <c r="AW46" s="220">
        <v>264.39999999999998</v>
      </c>
      <c r="AX46" s="221"/>
      <c r="AY46" s="222"/>
    </row>
    <row r="47" spans="15:51" ht="18.95" customHeight="1">
      <c r="P47" s="905"/>
      <c r="Q47" s="916"/>
      <c r="R47" s="905"/>
      <c r="S47" s="589"/>
      <c r="T47" s="589"/>
      <c r="U47" s="905"/>
      <c r="V47" s="905"/>
      <c r="AI47" s="214"/>
      <c r="AJ47" s="214"/>
      <c r="AK47" s="214"/>
      <c r="AL47" s="214"/>
      <c r="AM47" s="214"/>
      <c r="AN47" s="214"/>
      <c r="AO47" s="214"/>
      <c r="AP47" s="214"/>
      <c r="AQ47" s="214"/>
      <c r="AR47" s="216" t="s">
        <v>649</v>
      </c>
      <c r="AS47" s="217"/>
      <c r="AT47" s="218">
        <v>50</v>
      </c>
      <c r="AU47" s="219"/>
      <c r="AV47" s="217"/>
      <c r="AW47" s="220">
        <v>287.7</v>
      </c>
      <c r="AX47" s="221"/>
      <c r="AY47" s="222"/>
    </row>
    <row r="48" spans="15:51" ht="18.95" customHeight="1">
      <c r="Q48" s="556"/>
      <c r="R48" s="905"/>
      <c r="T48" s="598"/>
      <c r="V48" s="905"/>
      <c r="AI48" s="214"/>
      <c r="AJ48" s="214"/>
      <c r="AK48" s="214"/>
      <c r="AL48" s="214"/>
      <c r="AM48" s="214"/>
      <c r="AN48" s="214"/>
      <c r="AO48" s="214"/>
      <c r="AP48" s="214"/>
      <c r="AQ48" s="214"/>
      <c r="AR48" s="216" t="s">
        <v>733</v>
      </c>
      <c r="AS48" s="217"/>
      <c r="AT48" s="218">
        <v>70</v>
      </c>
      <c r="AU48" s="219"/>
      <c r="AV48" s="217"/>
      <c r="AW48" s="220">
        <v>302.89999999999998</v>
      </c>
      <c r="AX48" s="221"/>
      <c r="AY48" s="222"/>
    </row>
    <row r="49" spans="15:51" ht="18.95" customHeight="1">
      <c r="P49" s="572"/>
      <c r="Q49" s="556"/>
      <c r="R49" s="917"/>
      <c r="S49" s="598"/>
      <c r="V49" s="905"/>
      <c r="AI49" s="214"/>
      <c r="AJ49" s="214"/>
      <c r="AK49" s="214"/>
      <c r="AL49" s="214"/>
      <c r="AM49" s="214"/>
      <c r="AN49" s="214"/>
      <c r="AO49" s="214"/>
      <c r="AP49" s="214"/>
      <c r="AQ49" s="214"/>
      <c r="AR49" s="216" t="s">
        <v>733</v>
      </c>
      <c r="AS49" s="217"/>
      <c r="AT49" s="218">
        <v>80</v>
      </c>
      <c r="AU49" s="219"/>
      <c r="AV49" s="217"/>
      <c r="AW49" s="220">
        <v>309</v>
      </c>
      <c r="AX49" s="221"/>
      <c r="AY49" s="222"/>
    </row>
    <row r="50" spans="15:51" ht="18.95" customHeight="1">
      <c r="Q50" s="556"/>
      <c r="R50" s="598"/>
      <c r="AI50" s="214"/>
      <c r="AJ50" s="214"/>
      <c r="AK50" s="214"/>
      <c r="AL50" s="214"/>
      <c r="AM50" s="214"/>
      <c r="AN50" s="214"/>
      <c r="AO50" s="214"/>
      <c r="AP50" s="214"/>
      <c r="AQ50" s="214"/>
      <c r="AR50" s="216" t="s">
        <v>734</v>
      </c>
      <c r="AS50" s="217"/>
      <c r="AT50" s="218">
        <v>100</v>
      </c>
      <c r="AU50" s="219"/>
      <c r="AV50" s="217"/>
      <c r="AW50" s="220">
        <v>319.10000000000002</v>
      </c>
      <c r="AX50" s="221"/>
      <c r="AY50" s="222"/>
    </row>
    <row r="51" spans="15:51" ht="18.95" customHeight="1">
      <c r="O51" s="1253"/>
      <c r="P51" s="1253"/>
      <c r="Q51" s="917"/>
      <c r="R51" s="598"/>
      <c r="T51" s="572"/>
      <c r="U51" s="556"/>
      <c r="AI51" s="214"/>
      <c r="AJ51" s="214"/>
      <c r="AK51" s="214"/>
      <c r="AL51" s="214"/>
      <c r="AM51" s="214"/>
      <c r="AN51" s="214"/>
      <c r="AO51" s="214"/>
      <c r="AP51" s="214"/>
      <c r="AQ51" s="214"/>
      <c r="AR51" s="216" t="s">
        <v>735</v>
      </c>
      <c r="AS51" s="217"/>
      <c r="AT51" s="218">
        <v>10</v>
      </c>
      <c r="AU51" s="219"/>
      <c r="AV51" s="217"/>
      <c r="AW51" s="220">
        <v>154.5</v>
      </c>
      <c r="AX51" s="221"/>
      <c r="AY51" s="222"/>
    </row>
    <row r="52" spans="15:51" ht="18.95" customHeight="1">
      <c r="P52" s="572"/>
      <c r="Q52" s="917"/>
      <c r="R52" s="598"/>
      <c r="T52" s="572"/>
      <c r="U52" s="556"/>
      <c r="AI52" s="214"/>
      <c r="AJ52" s="214"/>
      <c r="AK52" s="214"/>
      <c r="AL52" s="214"/>
      <c r="AM52" s="214"/>
      <c r="AN52" s="214"/>
      <c r="AO52" s="214"/>
      <c r="AP52" s="214"/>
      <c r="AQ52" s="214"/>
      <c r="AR52" s="216" t="s">
        <v>350</v>
      </c>
      <c r="AS52" s="217"/>
      <c r="AT52" s="218">
        <v>20</v>
      </c>
      <c r="AU52" s="219"/>
      <c r="AV52" s="217"/>
      <c r="AW52" s="220">
        <v>173.6</v>
      </c>
      <c r="AX52" s="221"/>
      <c r="AY52" s="222"/>
    </row>
    <row r="53" spans="15:51" ht="18.95" customHeight="1">
      <c r="Q53" s="917"/>
      <c r="R53" s="598"/>
      <c r="T53" s="572"/>
      <c r="U53" s="556"/>
      <c r="AI53" s="214"/>
      <c r="AJ53" s="214"/>
      <c r="AK53" s="214"/>
      <c r="AL53" s="214"/>
      <c r="AM53" s="214"/>
      <c r="AN53" s="214"/>
      <c r="AO53" s="214"/>
      <c r="AP53" s="214"/>
      <c r="AQ53" s="214"/>
      <c r="AR53" s="216" t="s">
        <v>735</v>
      </c>
      <c r="AS53" s="217"/>
      <c r="AT53" s="218">
        <v>30</v>
      </c>
      <c r="AU53" s="219"/>
      <c r="AV53" s="217"/>
      <c r="AW53" s="220">
        <v>184.6</v>
      </c>
      <c r="AX53" s="221"/>
      <c r="AY53" s="222"/>
    </row>
    <row r="54" spans="15:51" ht="18.95" customHeight="1">
      <c r="P54" s="556"/>
      <c r="T54" s="918"/>
      <c r="AI54" s="214"/>
      <c r="AJ54" s="214"/>
      <c r="AK54" s="214"/>
      <c r="AL54" s="214"/>
      <c r="AM54" s="214"/>
      <c r="AN54" s="214"/>
      <c r="AO54" s="214"/>
      <c r="AP54" s="214"/>
      <c r="AQ54" s="214"/>
      <c r="AR54" s="216" t="s">
        <v>350</v>
      </c>
      <c r="AS54" s="217"/>
      <c r="AT54" s="218">
        <v>50</v>
      </c>
      <c r="AU54" s="219"/>
      <c r="AV54" s="217"/>
      <c r="AW54" s="220">
        <v>198.3</v>
      </c>
      <c r="AX54" s="221"/>
      <c r="AY54" s="222"/>
    </row>
    <row r="55" spans="15:51" ht="18.95" customHeight="1">
      <c r="P55" s="556"/>
      <c r="T55" s="918"/>
      <c r="AI55" s="214"/>
      <c r="AJ55" s="214"/>
      <c r="AK55" s="214"/>
      <c r="AL55" s="214"/>
      <c r="AM55" s="214"/>
      <c r="AN55" s="214"/>
      <c r="AO55" s="214"/>
      <c r="AP55" s="214"/>
      <c r="AQ55" s="214"/>
      <c r="AR55" s="216" t="s">
        <v>350</v>
      </c>
      <c r="AS55" s="217"/>
      <c r="AT55" s="218">
        <v>70</v>
      </c>
      <c r="AU55" s="219"/>
      <c r="AV55" s="217"/>
      <c r="AW55" s="220">
        <v>207.3</v>
      </c>
      <c r="AX55" s="221"/>
      <c r="AY55" s="222"/>
    </row>
    <row r="56" spans="15:51" ht="18.95" customHeight="1">
      <c r="T56" s="918"/>
      <c r="AI56" s="214"/>
      <c r="AJ56" s="214"/>
      <c r="AK56" s="214"/>
      <c r="AL56" s="214"/>
      <c r="AM56" s="214"/>
      <c r="AN56" s="214"/>
      <c r="AO56" s="214"/>
      <c r="AP56" s="214"/>
      <c r="AQ56" s="214"/>
      <c r="AR56" s="216" t="s">
        <v>650</v>
      </c>
      <c r="AS56" s="217"/>
      <c r="AT56" s="218">
        <v>80</v>
      </c>
      <c r="AU56" s="219"/>
      <c r="AV56" s="217"/>
      <c r="AW56" s="220">
        <v>210.9</v>
      </c>
      <c r="AX56" s="221"/>
      <c r="AY56" s="222"/>
    </row>
    <row r="57" spans="15:51" ht="18.95" customHeight="1">
      <c r="P57" s="556"/>
      <c r="T57" s="918"/>
      <c r="AI57" s="214"/>
      <c r="AJ57" s="214"/>
      <c r="AK57" s="214"/>
      <c r="AL57" s="214"/>
      <c r="AM57" s="214"/>
      <c r="AN57" s="214"/>
      <c r="AO57" s="214"/>
      <c r="AP57" s="214"/>
      <c r="AQ57" s="214"/>
      <c r="AR57" s="216" t="s">
        <v>350</v>
      </c>
      <c r="AS57" s="217"/>
      <c r="AT57" s="218">
        <v>100</v>
      </c>
      <c r="AU57" s="219"/>
      <c r="AV57" s="217"/>
      <c r="AW57" s="220">
        <v>237.6</v>
      </c>
      <c r="AX57" s="221"/>
      <c r="AY57" s="222"/>
    </row>
    <row r="58" spans="15:51" ht="18.95" customHeight="1">
      <c r="P58" s="556"/>
      <c r="T58" s="918"/>
      <c r="AI58" s="214"/>
      <c r="AJ58" s="214"/>
      <c r="AK58" s="214"/>
      <c r="AL58" s="214"/>
      <c r="AM58" s="214"/>
      <c r="AN58" s="214"/>
      <c r="AO58" s="214"/>
      <c r="AP58" s="214"/>
      <c r="AQ58" s="214"/>
      <c r="AR58" s="216" t="s">
        <v>653</v>
      </c>
      <c r="AS58" s="217"/>
      <c r="AT58" s="218">
        <v>10</v>
      </c>
      <c r="AU58" s="219"/>
      <c r="AV58" s="217"/>
      <c r="AW58" s="220">
        <v>172.2</v>
      </c>
      <c r="AX58" s="221"/>
      <c r="AY58" s="222"/>
    </row>
    <row r="59" spans="15:51" ht="18.95" customHeight="1">
      <c r="T59" s="918"/>
      <c r="AR59" s="216" t="s">
        <v>736</v>
      </c>
      <c r="AS59" s="217"/>
      <c r="AT59" s="218">
        <v>20</v>
      </c>
      <c r="AU59" s="219"/>
      <c r="AV59" s="217"/>
      <c r="AW59" s="220">
        <v>197.2</v>
      </c>
      <c r="AX59" s="221"/>
      <c r="AY59" s="222"/>
    </row>
    <row r="60" spans="15:51" ht="18.95" customHeight="1">
      <c r="P60" s="556"/>
      <c r="T60" s="918"/>
      <c r="AR60" s="216" t="s">
        <v>652</v>
      </c>
      <c r="AS60" s="217"/>
      <c r="AT60" s="218">
        <v>30</v>
      </c>
      <c r="AU60" s="219"/>
      <c r="AV60" s="217"/>
      <c r="AW60" s="220">
        <v>211.6</v>
      </c>
      <c r="AX60" s="221"/>
      <c r="AY60" s="222"/>
    </row>
    <row r="61" spans="15:51" ht="18.95" customHeight="1">
      <c r="P61" s="556"/>
      <c r="T61" s="918"/>
      <c r="AR61" s="216" t="s">
        <v>737</v>
      </c>
      <c r="AS61" s="217"/>
      <c r="AT61" s="218">
        <v>50</v>
      </c>
      <c r="AU61" s="219"/>
      <c r="AV61" s="217"/>
      <c r="AW61" s="220">
        <v>229.6</v>
      </c>
      <c r="AX61" s="221"/>
      <c r="AY61" s="222"/>
    </row>
    <row r="62" spans="15:51" ht="18.95" customHeight="1">
      <c r="T62" s="918"/>
      <c r="AR62" s="216" t="s">
        <v>351</v>
      </c>
      <c r="AS62" s="217"/>
      <c r="AT62" s="218">
        <v>70</v>
      </c>
      <c r="AU62" s="219"/>
      <c r="AV62" s="217"/>
      <c r="AW62" s="220">
        <v>241.4</v>
      </c>
      <c r="AX62" s="221"/>
      <c r="AY62" s="222"/>
    </row>
    <row r="63" spans="15:51" ht="18.95" customHeight="1">
      <c r="P63" s="556"/>
      <c r="T63" s="918"/>
      <c r="AR63" s="216" t="s">
        <v>737</v>
      </c>
      <c r="AS63" s="217"/>
      <c r="AT63" s="218">
        <v>80</v>
      </c>
      <c r="AU63" s="219"/>
      <c r="AV63" s="217"/>
      <c r="AW63" s="220">
        <v>246.1</v>
      </c>
      <c r="AX63" s="221"/>
      <c r="AY63" s="222"/>
    </row>
    <row r="64" spans="15:51" ht="18.95" customHeight="1">
      <c r="P64" s="556"/>
      <c r="T64" s="918"/>
      <c r="AR64" s="216" t="s">
        <v>351</v>
      </c>
      <c r="AS64" s="217"/>
      <c r="AT64" s="218">
        <v>100</v>
      </c>
      <c r="AU64" s="219"/>
      <c r="AV64" s="217"/>
      <c r="AW64" s="220">
        <v>253.9</v>
      </c>
      <c r="AX64" s="221"/>
      <c r="AY64" s="222"/>
    </row>
    <row r="65" spans="16:51" ht="18.95" customHeight="1">
      <c r="P65" s="556"/>
      <c r="T65" s="918"/>
      <c r="AR65" s="216" t="s">
        <v>352</v>
      </c>
      <c r="AS65" s="217"/>
      <c r="AT65" s="218">
        <v>10</v>
      </c>
      <c r="AU65" s="219"/>
      <c r="AV65" s="217"/>
      <c r="AW65" s="220">
        <v>149.19999999999999</v>
      </c>
      <c r="AX65" s="221"/>
      <c r="AY65" s="222"/>
    </row>
    <row r="66" spans="16:51" ht="18.95" customHeight="1">
      <c r="P66" s="556"/>
      <c r="T66" s="918"/>
      <c r="AR66" s="216" t="s">
        <v>656</v>
      </c>
      <c r="AS66" s="217"/>
      <c r="AT66" s="218">
        <v>20</v>
      </c>
      <c r="AU66" s="219"/>
      <c r="AV66" s="217"/>
      <c r="AW66" s="220">
        <v>168.1</v>
      </c>
      <c r="AX66" s="221"/>
      <c r="AY66" s="222"/>
    </row>
    <row r="67" spans="16:51" ht="18.95" customHeight="1">
      <c r="AR67" s="216" t="s">
        <v>656</v>
      </c>
      <c r="AS67" s="217"/>
      <c r="AT67" s="218">
        <v>30</v>
      </c>
      <c r="AU67" s="219"/>
      <c r="AV67" s="217"/>
      <c r="AW67" s="220">
        <v>179.1</v>
      </c>
      <c r="AX67" s="221"/>
      <c r="AY67" s="222"/>
    </row>
    <row r="68" spans="16:51" ht="18.95" customHeight="1">
      <c r="P68" s="556"/>
      <c r="S68" s="919"/>
      <c r="T68" s="909"/>
      <c r="U68" s="909"/>
      <c r="AR68" s="216" t="s">
        <v>654</v>
      </c>
      <c r="AS68" s="217"/>
      <c r="AT68" s="218">
        <v>50</v>
      </c>
      <c r="AU68" s="219"/>
      <c r="AV68" s="217"/>
      <c r="AW68" s="220">
        <v>192.7</v>
      </c>
      <c r="AX68" s="221"/>
      <c r="AY68" s="222"/>
    </row>
    <row r="69" spans="16:51" ht="18.95" customHeight="1">
      <c r="P69" s="572"/>
      <c r="S69" s="905"/>
      <c r="AR69" s="216" t="s">
        <v>656</v>
      </c>
      <c r="AS69" s="217"/>
      <c r="AT69" s="218">
        <v>70</v>
      </c>
      <c r="AU69" s="219"/>
      <c r="AV69" s="217"/>
      <c r="AW69" s="220">
        <v>201.6</v>
      </c>
      <c r="AX69" s="221"/>
      <c r="AY69" s="222"/>
    </row>
    <row r="70" spans="16:51" ht="18.95" customHeight="1">
      <c r="AR70" s="216" t="s">
        <v>655</v>
      </c>
      <c r="AS70" s="217"/>
      <c r="AT70" s="218">
        <v>80</v>
      </c>
      <c r="AU70" s="219"/>
      <c r="AV70" s="217"/>
      <c r="AW70" s="220">
        <v>205.2</v>
      </c>
      <c r="AX70" s="221"/>
      <c r="AY70" s="222"/>
    </row>
    <row r="71" spans="16:51" ht="18.95" customHeight="1">
      <c r="T71" s="808"/>
      <c r="U71" s="909"/>
      <c r="V71" s="909"/>
      <c r="AR71" s="216" t="s">
        <v>738</v>
      </c>
      <c r="AS71" s="217"/>
      <c r="AT71" s="218">
        <v>100</v>
      </c>
      <c r="AU71" s="219"/>
      <c r="AV71" s="217"/>
      <c r="AW71" s="220">
        <v>211.1</v>
      </c>
      <c r="AX71" s="221"/>
      <c r="AY71" s="222"/>
    </row>
    <row r="72" spans="16:51" ht="18.95" customHeight="1">
      <c r="T72" s="808"/>
      <c r="U72" s="909"/>
      <c r="V72" s="909"/>
      <c r="AR72" s="216" t="s">
        <v>739</v>
      </c>
      <c r="AS72" s="217"/>
      <c r="AT72" s="218">
        <v>10</v>
      </c>
      <c r="AU72" s="219"/>
      <c r="AV72" s="217"/>
      <c r="AW72" s="220">
        <v>147.4</v>
      </c>
      <c r="AX72" s="221"/>
      <c r="AY72" s="222"/>
    </row>
    <row r="73" spans="16:51" ht="18.95" customHeight="1">
      <c r="AR73" s="216" t="s">
        <v>740</v>
      </c>
      <c r="AS73" s="217"/>
      <c r="AT73" s="218">
        <v>20</v>
      </c>
      <c r="AU73" s="219"/>
      <c r="AV73" s="217"/>
      <c r="AW73" s="220">
        <v>164.7</v>
      </c>
      <c r="AX73" s="221"/>
      <c r="AY73" s="222"/>
    </row>
    <row r="74" spans="16:51" ht="18.95" customHeight="1">
      <c r="AR74" s="216" t="s">
        <v>739</v>
      </c>
      <c r="AS74" s="217"/>
      <c r="AT74" s="218">
        <v>30</v>
      </c>
      <c r="AU74" s="219"/>
      <c r="AV74" s="217"/>
      <c r="AW74" s="220">
        <v>174.6</v>
      </c>
      <c r="AX74" s="221"/>
      <c r="AY74" s="222"/>
    </row>
    <row r="75" spans="16:51" ht="18.95" customHeight="1">
      <c r="AR75" s="216" t="s">
        <v>741</v>
      </c>
      <c r="AS75" s="217"/>
      <c r="AT75" s="218">
        <v>50</v>
      </c>
      <c r="AU75" s="219"/>
      <c r="AV75" s="217"/>
      <c r="AW75" s="220">
        <v>187</v>
      </c>
      <c r="AX75" s="221"/>
      <c r="AY75" s="222"/>
    </row>
    <row r="76" spans="16:51" ht="18.95" customHeight="1">
      <c r="AR76" s="216" t="s">
        <v>657</v>
      </c>
      <c r="AS76" s="217"/>
      <c r="AT76" s="218">
        <v>70</v>
      </c>
      <c r="AU76" s="219"/>
      <c r="AV76" s="217"/>
      <c r="AW76" s="220">
        <v>195.2</v>
      </c>
      <c r="AX76" s="221"/>
      <c r="AY76" s="222"/>
    </row>
    <row r="77" spans="16:51" ht="18.95" customHeight="1">
      <c r="AR77" s="216" t="s">
        <v>353</v>
      </c>
      <c r="AS77" s="217"/>
      <c r="AT77" s="218">
        <v>80</v>
      </c>
      <c r="AU77" s="219"/>
      <c r="AV77" s="217"/>
      <c r="AW77" s="220">
        <v>198.4</v>
      </c>
      <c r="AX77" s="221"/>
      <c r="AY77" s="222"/>
    </row>
    <row r="78" spans="16:51" ht="18.95" customHeight="1">
      <c r="AR78" s="216" t="s">
        <v>740</v>
      </c>
      <c r="AS78" s="217"/>
      <c r="AT78" s="218">
        <v>100</v>
      </c>
      <c r="AU78" s="219"/>
      <c r="AV78" s="217"/>
      <c r="AW78" s="220">
        <v>203.8</v>
      </c>
      <c r="AX78" s="221"/>
      <c r="AY78" s="222"/>
    </row>
    <row r="79" spans="16:51" ht="18.95" customHeight="1">
      <c r="AR79" s="216" t="s">
        <v>742</v>
      </c>
      <c r="AS79" s="217"/>
      <c r="AT79" s="218">
        <v>10</v>
      </c>
      <c r="AU79" s="219"/>
      <c r="AV79" s="217"/>
      <c r="AW79" s="220">
        <v>168.1</v>
      </c>
      <c r="AX79" s="221"/>
      <c r="AY79" s="222"/>
    </row>
    <row r="80" spans="16:51" ht="18.95" customHeight="1">
      <c r="AR80" s="216" t="s">
        <v>354</v>
      </c>
      <c r="AS80" s="217"/>
      <c r="AT80" s="218">
        <v>20</v>
      </c>
      <c r="AU80" s="219"/>
      <c r="AV80" s="217"/>
      <c r="AW80" s="220">
        <v>188.2</v>
      </c>
      <c r="AX80" s="221"/>
      <c r="AY80" s="222"/>
    </row>
    <row r="81" spans="44:51" ht="18.95" customHeight="1">
      <c r="AR81" s="216" t="s">
        <v>354</v>
      </c>
      <c r="AS81" s="217"/>
      <c r="AT81" s="218">
        <v>30</v>
      </c>
      <c r="AU81" s="219"/>
      <c r="AV81" s="217"/>
      <c r="AW81" s="220">
        <v>199.7</v>
      </c>
      <c r="AX81" s="221"/>
      <c r="AY81" s="222"/>
    </row>
    <row r="82" spans="44:51" ht="18.95" customHeight="1">
      <c r="AR82" s="216" t="s">
        <v>742</v>
      </c>
      <c r="AS82" s="217"/>
      <c r="AT82" s="218">
        <v>50</v>
      </c>
      <c r="AU82" s="219"/>
      <c r="AV82" s="217"/>
      <c r="AW82" s="220">
        <v>214.2</v>
      </c>
      <c r="AX82" s="221"/>
      <c r="AY82" s="222"/>
    </row>
    <row r="83" spans="44:51" ht="18.95" customHeight="1">
      <c r="AR83" s="216" t="s">
        <v>354</v>
      </c>
      <c r="AS83" s="217"/>
      <c r="AT83" s="218">
        <v>70</v>
      </c>
      <c r="AU83" s="219"/>
      <c r="AV83" s="217"/>
      <c r="AW83" s="220">
        <v>223.6</v>
      </c>
      <c r="AX83" s="221"/>
      <c r="AY83" s="222"/>
    </row>
    <row r="84" spans="44:51" ht="18.95" customHeight="1">
      <c r="AR84" s="216" t="s">
        <v>354</v>
      </c>
      <c r="AS84" s="217"/>
      <c r="AT84" s="218">
        <v>80</v>
      </c>
      <c r="AU84" s="219"/>
      <c r="AV84" s="217"/>
      <c r="AW84" s="220">
        <v>227.4</v>
      </c>
      <c r="AX84" s="221"/>
      <c r="AY84" s="222"/>
    </row>
    <row r="85" spans="44:51" ht="18.95" customHeight="1">
      <c r="AR85" s="216" t="s">
        <v>354</v>
      </c>
      <c r="AS85" s="217"/>
      <c r="AT85" s="218">
        <v>100</v>
      </c>
      <c r="AU85" s="219"/>
      <c r="AV85" s="217"/>
      <c r="AW85" s="220">
        <v>233.6</v>
      </c>
      <c r="AX85" s="221"/>
      <c r="AY85" s="222"/>
    </row>
    <row r="86" spans="44:51" ht="18.95" customHeight="1"/>
    <row r="87" spans="44:51" ht="18.95" customHeight="1"/>
    <row r="88" spans="44:51" ht="18.95" customHeight="1"/>
    <row r="89" spans="44:51" ht="18.95" customHeight="1"/>
    <row r="90" spans="44:51" ht="18.95" customHeight="1"/>
    <row r="91" spans="44:51" ht="18.95" customHeight="1"/>
    <row r="92" spans="44:51" ht="18.95" customHeight="1"/>
    <row r="93" spans="44:51" ht="18.95" customHeight="1"/>
    <row r="94" spans="44:51" ht="18.95" customHeight="1"/>
    <row r="95" spans="44:51" ht="18.95" customHeight="1"/>
    <row r="96" spans="44:51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  <row r="111" ht="18.95" customHeight="1"/>
    <row r="112" ht="18.95" customHeight="1"/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489" spans="15:34">
      <c r="O489" s="214"/>
      <c r="P489" s="214"/>
    </row>
    <row r="490" spans="15:34">
      <c r="O490" s="214"/>
      <c r="P490" s="214"/>
      <c r="Y490" s="562"/>
      <c r="Z490" s="562"/>
      <c r="AG490" s="215"/>
      <c r="AH490" s="215"/>
    </row>
    <row r="491" spans="15:34">
      <c r="O491" s="214"/>
      <c r="P491" s="214"/>
      <c r="Y491" s="562"/>
      <c r="Z491" s="562"/>
      <c r="AG491" s="215"/>
      <c r="AH491" s="215"/>
    </row>
    <row r="492" spans="15:34">
      <c r="O492" s="214"/>
      <c r="P492" s="214"/>
      <c r="Y492" s="562"/>
      <c r="Z492" s="562"/>
      <c r="AG492" s="215"/>
      <c r="AH492" s="215"/>
    </row>
    <row r="493" spans="15:34">
      <c r="O493" s="214"/>
      <c r="P493" s="214"/>
      <c r="Y493" s="562"/>
      <c r="Z493" s="562"/>
      <c r="AG493" s="215"/>
      <c r="AH493" s="215"/>
    </row>
    <row r="494" spans="15:34">
      <c r="O494" s="214"/>
      <c r="P494" s="214"/>
      <c r="Y494" s="562"/>
      <c r="Z494" s="562"/>
      <c r="AG494" s="215"/>
      <c r="AH494" s="215"/>
    </row>
    <row r="495" spans="15:34">
      <c r="O495" s="214"/>
      <c r="P495" s="214"/>
      <c r="Y495" s="562"/>
      <c r="Z495" s="562"/>
      <c r="AG495" s="215"/>
      <c r="AH495" s="215"/>
    </row>
    <row r="496" spans="15:34">
      <c r="O496" s="214"/>
      <c r="P496" s="214"/>
      <c r="Y496" s="562"/>
      <c r="Z496" s="562"/>
      <c r="AG496" s="215"/>
      <c r="AH496" s="215"/>
    </row>
    <row r="497" spans="25:34">
      <c r="Y497" s="562"/>
      <c r="Z497" s="562"/>
      <c r="AG497" s="215"/>
      <c r="AH497" s="215"/>
    </row>
  </sheetData>
  <mergeCells count="14">
    <mergeCell ref="AT1:AV1"/>
    <mergeCell ref="AW1:AY1"/>
    <mergeCell ref="AI3:AJ3"/>
    <mergeCell ref="R5:R7"/>
    <mergeCell ref="AB5:AB7"/>
    <mergeCell ref="S6:S7"/>
    <mergeCell ref="AC6:AC7"/>
    <mergeCell ref="O51:P51"/>
    <mergeCell ref="H7:I7"/>
    <mergeCell ref="AK23:AO23"/>
    <mergeCell ref="H25:I25"/>
    <mergeCell ref="P36:Q36"/>
    <mergeCell ref="R41:R43"/>
    <mergeCell ref="S42:S43"/>
  </mergeCells>
  <phoneticPr fontId="4" type="noConversion"/>
  <dataValidations count="2">
    <dataValidation type="list" allowBlank="1" showInputMessage="1" showErrorMessage="1" sqref="L26:L27">
      <formula1>"울진,추풍령,안동,포항,대구,춘양,영주,문경,영덕,의성,구미,영천, "</formula1>
    </dataValidation>
    <dataValidation type="list" allowBlank="1" showInputMessage="1" showErrorMessage="1" sqref="M26:M27">
      <formula1>"10,20,30,50,70,80,100"</formula1>
    </dataValidation>
  </dataValidations>
  <pageMargins left="0.31496062992125984" right="0.15748031496062992" top="0.78740157480314965" bottom="0.59055118110236227" header="0.51181102362204722" footer="0.51181102362204722"/>
  <pageSetup paperSize="9" scale="88" orientation="landscape" r:id="rId1"/>
  <headerFooter alignWithMargins="0"/>
  <rowBreaks count="1" manualBreakCount="1">
    <brk id="28" max="42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239"/>
  <sheetViews>
    <sheetView showGridLines="0" view="pageBreakPreview" zoomScaleNormal="100" zoomScaleSheetLayoutView="100" workbookViewId="0">
      <selection activeCell="AL18" sqref="AL18"/>
    </sheetView>
  </sheetViews>
  <sheetFormatPr defaultRowHeight="13.5"/>
  <cols>
    <col min="1" max="2" width="3.25" style="930" customWidth="1"/>
    <col min="3" max="3" width="3.5" style="930" customWidth="1"/>
    <col min="4" max="4" width="3.25" style="930" customWidth="1"/>
    <col min="5" max="5" width="5.875" style="930" bestFit="1" customWidth="1"/>
    <col min="6" max="6" width="6" style="930" customWidth="1"/>
    <col min="7" max="11" width="3.25" style="930" customWidth="1"/>
    <col min="12" max="12" width="9.375" style="930" customWidth="1"/>
    <col min="13" max="13" width="8.5" style="930" bestFit="1" customWidth="1"/>
    <col min="14" max="14" width="2.625" style="930" customWidth="1"/>
    <col min="15" max="17" width="11.375" style="1028" customWidth="1"/>
    <col min="18" max="18" width="7.625" style="1028" customWidth="1"/>
    <col min="19" max="19" width="11.375" style="1028" customWidth="1"/>
    <col min="20" max="20" width="4.5" style="1028" bestFit="1" customWidth="1"/>
    <col min="21" max="21" width="4.25" style="1028" customWidth="1"/>
    <col min="22" max="22" width="9" style="930"/>
    <col min="23" max="31" width="9.75" style="1031" hidden="1" customWidth="1"/>
    <col min="32" max="32" width="0" style="930" hidden="1" customWidth="1"/>
    <col min="33" max="41" width="9.75" style="1032" hidden="1" customWidth="1"/>
    <col min="42" max="55" width="0" style="930" hidden="1" customWidth="1"/>
    <col min="56" max="56" width="4.875" style="930" customWidth="1"/>
    <col min="57" max="16384" width="9" style="930"/>
  </cols>
  <sheetData>
    <row r="1" spans="1:64" ht="18.95" customHeight="1">
      <c r="A1" s="920" t="s">
        <v>659</v>
      </c>
      <c r="B1" s="921"/>
      <c r="C1" s="921"/>
      <c r="D1" s="921"/>
      <c r="E1" s="921"/>
      <c r="F1" s="810" t="s">
        <v>743</v>
      </c>
      <c r="G1" s="921"/>
      <c r="H1" s="921"/>
      <c r="I1" s="921"/>
      <c r="J1" s="921"/>
      <c r="K1" s="921"/>
      <c r="L1" s="921"/>
      <c r="M1" s="921"/>
      <c r="N1" s="921"/>
      <c r="O1" s="922" t="s">
        <v>744</v>
      </c>
      <c r="P1" s="923"/>
      <c r="Q1" s="923"/>
      <c r="R1" s="924"/>
      <c r="S1" s="923"/>
      <c r="T1" s="923"/>
      <c r="U1" s="923"/>
      <c r="V1" s="923"/>
      <c r="W1" s="925"/>
      <c r="X1" s="925"/>
      <c r="Y1" s="925"/>
      <c r="Z1" s="925"/>
      <c r="AA1" s="925"/>
      <c r="AB1" s="925"/>
      <c r="AC1" s="925"/>
      <c r="AD1" s="925"/>
      <c r="AE1" s="925"/>
      <c r="AF1" s="926"/>
      <c r="AG1" s="925"/>
      <c r="AH1" s="925"/>
      <c r="AI1" s="925"/>
      <c r="AJ1" s="925"/>
      <c r="AK1" s="925"/>
      <c r="AL1" s="925"/>
      <c r="AM1" s="925"/>
      <c r="AN1" s="925"/>
      <c r="AO1" s="925"/>
      <c r="AP1" s="926"/>
      <c r="AQ1" s="926"/>
      <c r="AR1" s="926"/>
      <c r="AS1" s="926"/>
      <c r="AT1" s="926"/>
      <c r="AU1" s="926"/>
      <c r="AV1" s="926"/>
      <c r="AW1" s="926"/>
      <c r="AX1" s="926"/>
      <c r="AY1" s="926"/>
      <c r="AZ1" s="926"/>
      <c r="BA1" s="926"/>
      <c r="BB1" s="926"/>
      <c r="BC1" s="926"/>
      <c r="BD1" s="927"/>
      <c r="BE1" s="928" t="s">
        <v>341</v>
      </c>
      <c r="BF1" s="929"/>
      <c r="BG1" s="1273" t="s">
        <v>418</v>
      </c>
      <c r="BH1" s="1274"/>
      <c r="BI1" s="1275"/>
      <c r="BJ1" s="1276" t="s">
        <v>342</v>
      </c>
      <c r="BK1" s="1277"/>
      <c r="BL1" s="1278"/>
    </row>
    <row r="2" spans="1:64" ht="18.95" customHeight="1">
      <c r="A2" s="920"/>
      <c r="B2" s="921"/>
      <c r="C2" s="921"/>
      <c r="D2" s="921"/>
      <c r="E2" s="921"/>
      <c r="F2" s="931"/>
      <c r="G2" s="921"/>
      <c r="H2" s="921"/>
      <c r="I2" s="921"/>
      <c r="J2" s="921"/>
      <c r="K2" s="921"/>
      <c r="L2" s="921"/>
      <c r="M2" s="921"/>
      <c r="N2" s="921"/>
      <c r="O2" s="922"/>
      <c r="P2" s="923"/>
      <c r="Q2" s="923"/>
      <c r="R2" s="924"/>
      <c r="S2" s="923"/>
      <c r="T2" s="923"/>
      <c r="U2" s="923"/>
      <c r="V2" s="923"/>
      <c r="W2" s="925"/>
      <c r="X2" s="925"/>
      <c r="Y2" s="925"/>
      <c r="Z2" s="925"/>
      <c r="AA2" s="925"/>
      <c r="AB2" s="925"/>
      <c r="AC2" s="925"/>
      <c r="AD2" s="925"/>
      <c r="AE2" s="925"/>
      <c r="AF2" s="926"/>
      <c r="AG2" s="925"/>
      <c r="AH2" s="925"/>
      <c r="AI2" s="925"/>
      <c r="AJ2" s="925"/>
      <c r="AK2" s="925"/>
      <c r="AL2" s="925"/>
      <c r="AM2" s="925"/>
      <c r="AN2" s="925"/>
      <c r="AO2" s="925"/>
      <c r="AP2" s="926"/>
      <c r="AQ2" s="926"/>
      <c r="AR2" s="926"/>
      <c r="AS2" s="926"/>
      <c r="AT2" s="926"/>
      <c r="AU2" s="926"/>
      <c r="AV2" s="926"/>
      <c r="AW2" s="926"/>
      <c r="AX2" s="926"/>
      <c r="AY2" s="926"/>
      <c r="AZ2" s="926"/>
      <c r="BA2" s="926"/>
      <c r="BB2" s="926"/>
      <c r="BC2" s="926"/>
      <c r="BD2" s="927"/>
      <c r="BE2" s="216" t="s">
        <v>745</v>
      </c>
      <c r="BF2" s="217"/>
      <c r="BG2" s="218">
        <v>10</v>
      </c>
      <c r="BH2" s="219"/>
      <c r="BI2" s="217"/>
      <c r="BJ2" s="220">
        <v>199.6</v>
      </c>
      <c r="BK2" s="221"/>
      <c r="BL2" s="222"/>
    </row>
    <row r="3" spans="1:64" ht="18.95" customHeight="1">
      <c r="A3" s="921"/>
      <c r="B3" s="932" t="s">
        <v>746</v>
      </c>
      <c r="C3" s="921"/>
      <c r="D3" s="921"/>
      <c r="E3" s="921"/>
      <c r="F3" s="921"/>
      <c r="G3" s="921"/>
      <c r="H3" s="921"/>
      <c r="I3" s="921"/>
      <c r="J3" s="921"/>
      <c r="K3" s="921"/>
      <c r="L3" s="921"/>
      <c r="M3" s="921"/>
      <c r="N3" s="921"/>
      <c r="O3" s="1279" t="s">
        <v>747</v>
      </c>
      <c r="P3" s="1280"/>
      <c r="Q3" s="933"/>
      <c r="R3" s="933"/>
      <c r="S3" s="933"/>
      <c r="T3" s="933"/>
      <c r="U3" s="933"/>
      <c r="V3" s="933"/>
      <c r="W3" s="1280" t="s">
        <v>748</v>
      </c>
      <c r="X3" s="1280"/>
      <c r="Y3" s="934"/>
      <c r="Z3" s="934"/>
      <c r="AA3" s="934"/>
      <c r="AB3" s="934"/>
      <c r="AC3" s="934"/>
      <c r="AD3" s="934"/>
      <c r="AE3" s="934"/>
      <c r="AF3" s="935"/>
      <c r="AG3" s="1280" t="s">
        <v>749</v>
      </c>
      <c r="AH3" s="1280"/>
      <c r="AI3" s="934"/>
      <c r="AJ3" s="934"/>
      <c r="AK3" s="934"/>
      <c r="AL3" s="934"/>
      <c r="AM3" s="934"/>
      <c r="AN3" s="934"/>
      <c r="AO3" s="934"/>
      <c r="AP3" s="935"/>
      <c r="AQ3" s="935"/>
      <c r="AR3" s="935"/>
      <c r="AS3" s="935"/>
      <c r="AT3" s="935"/>
      <c r="AU3" s="935"/>
      <c r="AV3" s="935"/>
      <c r="AW3" s="935"/>
      <c r="AX3" s="935"/>
      <c r="AY3" s="935"/>
      <c r="AZ3" s="935"/>
      <c r="BA3" s="935"/>
      <c r="BB3" s="935"/>
      <c r="BC3" s="935"/>
      <c r="BD3" s="936"/>
      <c r="BE3" s="216" t="s">
        <v>343</v>
      </c>
      <c r="BF3" s="217"/>
      <c r="BG3" s="218">
        <v>20</v>
      </c>
      <c r="BH3" s="219"/>
      <c r="BI3" s="217"/>
      <c r="BJ3" s="220">
        <v>233.2</v>
      </c>
      <c r="BK3" s="221"/>
      <c r="BL3" s="222"/>
    </row>
    <row r="4" spans="1:64" ht="18.95" customHeight="1">
      <c r="A4" s="921"/>
      <c r="B4" s="932"/>
      <c r="C4" s="921"/>
      <c r="D4" s="92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37"/>
      <c r="P4" s="938"/>
      <c r="Q4" s="933"/>
      <c r="R4" s="933"/>
      <c r="S4" s="933"/>
      <c r="T4" s="933"/>
      <c r="U4" s="933"/>
      <c r="V4" s="933"/>
      <c r="W4" s="938"/>
      <c r="X4" s="938"/>
      <c r="Y4" s="934"/>
      <c r="Z4" s="934"/>
      <c r="AA4" s="934"/>
      <c r="AB4" s="934"/>
      <c r="AC4" s="934"/>
      <c r="AD4" s="934"/>
      <c r="AE4" s="934"/>
      <c r="AF4" s="935"/>
      <c r="AG4" s="938"/>
      <c r="AH4" s="938"/>
      <c r="AI4" s="934"/>
      <c r="AJ4" s="934"/>
      <c r="AK4" s="934"/>
      <c r="AL4" s="934"/>
      <c r="AM4" s="934"/>
      <c r="AN4" s="934"/>
      <c r="AO4" s="934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6"/>
      <c r="BE4" s="216" t="s">
        <v>343</v>
      </c>
      <c r="BF4" s="217"/>
      <c r="BG4" s="218">
        <v>30</v>
      </c>
      <c r="BH4" s="219"/>
      <c r="BI4" s="217"/>
      <c r="BJ4" s="220">
        <v>252.6</v>
      </c>
      <c r="BK4" s="221"/>
      <c r="BL4" s="222"/>
    </row>
    <row r="5" spans="1:64" ht="18.95" customHeight="1">
      <c r="A5" s="921"/>
      <c r="B5" s="921"/>
      <c r="C5" s="921"/>
      <c r="D5" s="921" t="s">
        <v>750</v>
      </c>
      <c r="E5" s="921" t="s">
        <v>751</v>
      </c>
      <c r="F5" s="921"/>
      <c r="G5" s="921"/>
      <c r="H5" s="921"/>
      <c r="I5" s="921"/>
      <c r="J5" s="921"/>
      <c r="K5" s="921"/>
      <c r="L5" s="939">
        <f>ROUND(L6*1.2,2)</f>
        <v>4.28</v>
      </c>
      <c r="M5" s="940"/>
      <c r="N5" s="940"/>
      <c r="O5" s="941"/>
      <c r="P5" s="942"/>
      <c r="Q5" s="933"/>
      <c r="R5" s="943">
        <v>10</v>
      </c>
      <c r="S5" s="933"/>
      <c r="T5" s="942"/>
      <c r="U5" s="944"/>
      <c r="V5" s="933"/>
      <c r="W5" s="945"/>
      <c r="X5" s="945"/>
      <c r="Y5" s="946"/>
      <c r="Z5" s="947"/>
      <c r="AA5" s="948"/>
      <c r="AB5" s="938"/>
      <c r="AC5" s="948"/>
      <c r="AD5" s="949"/>
      <c r="AE5" s="949"/>
      <c r="AF5" s="935"/>
      <c r="AG5" s="945"/>
      <c r="AH5" s="945"/>
      <c r="AI5" s="946"/>
      <c r="AJ5" s="947"/>
      <c r="AK5" s="948"/>
      <c r="AL5" s="938"/>
      <c r="AM5" s="948"/>
      <c r="AN5" s="949"/>
      <c r="AO5" s="949"/>
      <c r="AP5" s="935"/>
      <c r="AQ5" s="935"/>
      <c r="AR5" s="935"/>
      <c r="AS5" s="935"/>
      <c r="AT5" s="935"/>
      <c r="AU5" s="935"/>
      <c r="AV5" s="935"/>
      <c r="AW5" s="935"/>
      <c r="AX5" s="935"/>
      <c r="AY5" s="935"/>
      <c r="AZ5" s="935"/>
      <c r="BA5" s="935"/>
      <c r="BB5" s="935"/>
      <c r="BC5" s="935"/>
      <c r="BD5" s="936"/>
      <c r="BE5" s="216" t="s">
        <v>343</v>
      </c>
      <c r="BF5" s="217"/>
      <c r="BG5" s="218">
        <v>50</v>
      </c>
      <c r="BH5" s="219"/>
      <c r="BI5" s="217"/>
      <c r="BJ5" s="220">
        <v>276.8</v>
      </c>
      <c r="BK5" s="221"/>
      <c r="BL5" s="222"/>
    </row>
    <row r="6" spans="1:64" ht="18.95" customHeight="1">
      <c r="A6" s="921"/>
      <c r="B6" s="921"/>
      <c r="C6" s="921" t="s">
        <v>752</v>
      </c>
      <c r="D6" s="921" t="s">
        <v>753</v>
      </c>
      <c r="E6" s="921"/>
      <c r="F6" s="921"/>
      <c r="G6" s="921"/>
      <c r="H6" s="921"/>
      <c r="I6" s="921"/>
      <c r="J6" s="921"/>
      <c r="K6" s="921"/>
      <c r="L6" s="950">
        <f>ROUND(0.2778*L7*L8*L9,2)</f>
        <v>3.57</v>
      </c>
      <c r="M6" s="921"/>
      <c r="N6" s="921"/>
      <c r="O6" s="941"/>
      <c r="P6" s="951"/>
      <c r="Q6" s="951"/>
      <c r="R6" s="952"/>
      <c r="S6" s="953"/>
      <c r="T6" s="953"/>
      <c r="U6" s="952"/>
      <c r="V6" s="933"/>
      <c r="W6" s="954" t="s">
        <v>754</v>
      </c>
      <c r="X6" s="938"/>
      <c r="Y6" s="955">
        <f>+L5</f>
        <v>4.28</v>
      </c>
      <c r="Z6" s="938" t="s">
        <v>394</v>
      </c>
      <c r="AA6" s="938"/>
      <c r="AB6" s="949"/>
      <c r="AC6" s="949"/>
      <c r="AD6" s="949"/>
      <c r="AE6" s="949"/>
      <c r="AF6" s="935"/>
      <c r="AG6" s="954" t="s">
        <v>669</v>
      </c>
      <c r="AH6" s="938"/>
      <c r="AI6" s="955">
        <f>+L5</f>
        <v>4.28</v>
      </c>
      <c r="AJ6" s="938" t="s">
        <v>394</v>
      </c>
      <c r="AK6" s="938"/>
      <c r="AL6" s="949"/>
      <c r="AM6" s="949"/>
      <c r="AN6" s="949"/>
      <c r="AO6" s="949"/>
      <c r="AP6" s="935"/>
      <c r="AQ6" s="935"/>
      <c r="AR6" s="935"/>
      <c r="AS6" s="935"/>
      <c r="AT6" s="935"/>
      <c r="AU6" s="935"/>
      <c r="AV6" s="935"/>
      <c r="AW6" s="935"/>
      <c r="AX6" s="935"/>
      <c r="AY6" s="935"/>
      <c r="AZ6" s="935"/>
      <c r="BA6" s="935"/>
      <c r="BB6" s="935"/>
      <c r="BC6" s="935"/>
      <c r="BD6" s="936"/>
      <c r="BE6" s="218" t="s">
        <v>745</v>
      </c>
      <c r="BF6" s="217"/>
      <c r="BG6" s="218">
        <v>100</v>
      </c>
      <c r="BH6" s="219"/>
      <c r="BI6" s="217"/>
      <c r="BJ6" s="220">
        <v>309.5</v>
      </c>
      <c r="BK6" s="221"/>
      <c r="BL6" s="222"/>
    </row>
    <row r="7" spans="1:64" ht="18.95" customHeight="1">
      <c r="A7" s="921"/>
      <c r="B7" s="921"/>
      <c r="C7" s="921"/>
      <c r="D7" s="921" t="s">
        <v>755</v>
      </c>
      <c r="E7" s="921"/>
      <c r="F7" s="921"/>
      <c r="G7" s="921"/>
      <c r="H7" s="1272"/>
      <c r="I7" s="1272"/>
      <c r="J7" s="921"/>
      <c r="K7" s="921"/>
      <c r="L7" s="956">
        <v>0.8</v>
      </c>
      <c r="M7" s="921"/>
      <c r="N7" s="921"/>
      <c r="O7" s="941"/>
      <c r="P7" s="957"/>
      <c r="Q7" s="1281">
        <v>0.3</v>
      </c>
      <c r="R7" s="942">
        <f>Q7*0.1</f>
        <v>0.03</v>
      </c>
      <c r="S7" s="952" t="s">
        <v>667</v>
      </c>
      <c r="T7" s="952"/>
      <c r="U7" s="933"/>
      <c r="V7" s="933"/>
      <c r="W7" s="933"/>
      <c r="X7" s="949"/>
      <c r="Y7" s="958"/>
      <c r="Z7" s="933"/>
      <c r="AA7" s="948"/>
      <c r="AB7" s="948"/>
      <c r="AC7" s="949"/>
      <c r="AD7" s="948"/>
      <c r="AE7" s="948"/>
      <c r="AF7" s="935"/>
      <c r="AG7" s="933"/>
      <c r="AH7" s="949"/>
      <c r="AI7" s="958"/>
      <c r="AJ7" s="933"/>
      <c r="AK7" s="948"/>
      <c r="AL7" s="948"/>
      <c r="AM7" s="949"/>
      <c r="AN7" s="948"/>
      <c r="AO7" s="948"/>
      <c r="AP7" s="935"/>
      <c r="AQ7" s="935"/>
      <c r="AR7" s="935"/>
      <c r="AS7" s="935"/>
      <c r="AT7" s="935"/>
      <c r="AU7" s="935"/>
      <c r="AV7" s="935"/>
      <c r="AW7" s="935"/>
      <c r="AX7" s="935"/>
      <c r="AY7" s="935"/>
      <c r="AZ7" s="935"/>
      <c r="BA7" s="935"/>
      <c r="BB7" s="935"/>
      <c r="BC7" s="935"/>
      <c r="BD7" s="936"/>
      <c r="BE7" s="216"/>
      <c r="BF7" s="217"/>
      <c r="BG7" s="218"/>
      <c r="BH7" s="219"/>
      <c r="BI7" s="217"/>
      <c r="BJ7" s="220"/>
      <c r="BK7" s="221"/>
      <c r="BL7" s="222"/>
    </row>
    <row r="8" spans="1:64" ht="18.95" customHeight="1">
      <c r="A8" s="921"/>
      <c r="B8" s="921"/>
      <c r="C8" s="921"/>
      <c r="D8" s="921" t="s">
        <v>756</v>
      </c>
      <c r="E8" s="921"/>
      <c r="F8" s="921"/>
      <c r="G8" s="921"/>
      <c r="H8" s="921"/>
      <c r="I8" s="921"/>
      <c r="J8" s="921"/>
      <c r="K8" s="921"/>
      <c r="L8" s="950">
        <f>L23</f>
        <v>124.42</v>
      </c>
      <c r="M8" s="921"/>
      <c r="N8" s="921"/>
      <c r="O8" s="941"/>
      <c r="P8" s="952"/>
      <c r="Q8" s="1281"/>
      <c r="R8" s="1282">
        <f>Q7*0.9</f>
        <v>0.27</v>
      </c>
      <c r="S8" s="952"/>
      <c r="T8" s="933"/>
      <c r="U8" s="933"/>
      <c r="V8" s="933"/>
      <c r="W8" s="933"/>
      <c r="X8" s="949"/>
      <c r="Y8" s="958"/>
      <c r="Z8" s="933"/>
      <c r="AA8" s="948"/>
      <c r="AB8" s="948"/>
      <c r="AC8" s="949"/>
      <c r="AD8" s="948"/>
      <c r="AE8" s="948"/>
      <c r="AF8" s="935"/>
      <c r="AG8" s="933"/>
      <c r="AH8" s="949"/>
      <c r="AI8" s="958"/>
      <c r="AJ8" s="933"/>
      <c r="AK8" s="948"/>
      <c r="AL8" s="948"/>
      <c r="AM8" s="949"/>
      <c r="AN8" s="948"/>
      <c r="AO8" s="948"/>
      <c r="AP8" s="935"/>
      <c r="AQ8" s="935"/>
      <c r="AR8" s="935"/>
      <c r="AS8" s="935"/>
      <c r="AT8" s="935"/>
      <c r="AU8" s="935"/>
      <c r="AV8" s="935"/>
      <c r="AW8" s="935"/>
      <c r="AX8" s="935"/>
      <c r="AY8" s="935"/>
      <c r="AZ8" s="935"/>
      <c r="BA8" s="935"/>
      <c r="BB8" s="935"/>
      <c r="BC8" s="935"/>
      <c r="BD8" s="936"/>
      <c r="BE8" s="216"/>
      <c r="BF8" s="217"/>
      <c r="BG8" s="218"/>
      <c r="BH8" s="219"/>
      <c r="BI8" s="217"/>
      <c r="BJ8" s="220"/>
      <c r="BK8" s="221"/>
      <c r="BL8" s="222"/>
    </row>
    <row r="9" spans="1:64" ht="18.95" customHeight="1">
      <c r="A9" s="921"/>
      <c r="B9" s="921"/>
      <c r="C9" s="921"/>
      <c r="D9" s="921" t="s">
        <v>401</v>
      </c>
      <c r="E9" s="921"/>
      <c r="F9" s="921"/>
      <c r="G9" s="921"/>
      <c r="H9" s="921"/>
      <c r="I9" s="921"/>
      <c r="J9" s="921"/>
      <c r="K9" s="921"/>
      <c r="L9" s="883">
        <f>M9/100</f>
        <v>0.129</v>
      </c>
      <c r="M9" s="959">
        <v>12.9</v>
      </c>
      <c r="N9" s="959"/>
      <c r="O9" s="941"/>
      <c r="P9" s="952"/>
      <c r="Q9" s="1281"/>
      <c r="R9" s="1282"/>
      <c r="S9" s="952"/>
      <c r="T9" s="957"/>
      <c r="U9" s="933"/>
      <c r="V9" s="933"/>
      <c r="W9" s="954" t="s">
        <v>397</v>
      </c>
      <c r="X9" s="938"/>
      <c r="Y9" s="938"/>
      <c r="Z9" s="938"/>
      <c r="AA9" s="938"/>
      <c r="AB9" s="948"/>
      <c r="AC9" s="948"/>
      <c r="AD9" s="949"/>
      <c r="AE9" s="949"/>
      <c r="AF9" s="935"/>
      <c r="AG9" s="954" t="s">
        <v>757</v>
      </c>
      <c r="AH9" s="938"/>
      <c r="AI9" s="938"/>
      <c r="AJ9" s="938"/>
      <c r="AK9" s="938"/>
      <c r="AL9" s="949"/>
      <c r="AM9" s="949"/>
      <c r="AN9" s="949"/>
      <c r="AO9" s="949"/>
      <c r="AP9" s="935"/>
      <c r="AQ9" s="935"/>
      <c r="AR9" s="935"/>
      <c r="AS9" s="935"/>
      <c r="AT9" s="935"/>
      <c r="AU9" s="935"/>
      <c r="AV9" s="935"/>
      <c r="AW9" s="935"/>
      <c r="AX9" s="935"/>
      <c r="AY9" s="935"/>
      <c r="AZ9" s="935"/>
      <c r="BA9" s="935"/>
      <c r="BB9" s="935"/>
      <c r="BC9" s="935"/>
      <c r="BD9" s="936"/>
      <c r="BE9" s="216"/>
      <c r="BF9" s="217"/>
      <c r="BG9" s="218"/>
      <c r="BH9" s="219"/>
      <c r="BI9" s="217"/>
      <c r="BJ9" s="220"/>
      <c r="BK9" s="221"/>
      <c r="BL9" s="222"/>
    </row>
    <row r="10" spans="1:64" ht="18.95" customHeight="1">
      <c r="A10" s="921"/>
      <c r="B10" s="921"/>
      <c r="C10" s="921"/>
      <c r="D10" s="921"/>
      <c r="E10" s="921"/>
      <c r="F10" s="921"/>
      <c r="G10" s="921"/>
      <c r="H10" s="921"/>
      <c r="I10" s="921"/>
      <c r="J10" s="921"/>
      <c r="K10" s="921"/>
      <c r="L10" s="921"/>
      <c r="M10" s="921"/>
      <c r="N10" s="921"/>
      <c r="O10" s="941"/>
      <c r="P10" s="952"/>
      <c r="Q10" s="952"/>
      <c r="R10" s="942"/>
      <c r="S10" s="952"/>
      <c r="T10" s="952"/>
      <c r="U10" s="952"/>
      <c r="V10" s="933"/>
      <c r="W10" s="949"/>
      <c r="X10" s="949"/>
      <c r="Y10" s="960">
        <v>1.5</v>
      </c>
      <c r="Z10" s="961" t="s">
        <v>758</v>
      </c>
      <c r="AA10" s="949" t="s">
        <v>759</v>
      </c>
      <c r="AB10" s="962" t="e">
        <f>Y10*#REF!%*2</f>
        <v>#REF!</v>
      </c>
      <c r="AC10" s="963" t="e">
        <f>#REF!</f>
        <v>#REF!</v>
      </c>
      <c r="AD10" s="964" t="e">
        <f>ROUND(IF(#REF!=1,AB10+AC10,IF(#REF!=2,AB10+AC10*#REF!,"")),3)</f>
        <v>#REF!</v>
      </c>
      <c r="AE10" s="933" t="s">
        <v>34</v>
      </c>
      <c r="AF10" s="935"/>
      <c r="AG10" s="949"/>
      <c r="AH10" s="949"/>
      <c r="AI10" s="949"/>
      <c r="AJ10" s="933" t="s">
        <v>209</v>
      </c>
      <c r="AK10" s="949"/>
      <c r="AL10" s="949"/>
      <c r="AM10" s="933"/>
      <c r="AN10" s="933"/>
      <c r="AO10" s="933"/>
      <c r="AP10" s="935"/>
      <c r="AQ10" s="935"/>
      <c r="AR10" s="935"/>
      <c r="AS10" s="935"/>
      <c r="AT10" s="935"/>
      <c r="AU10" s="935"/>
      <c r="AV10" s="935"/>
      <c r="AW10" s="935"/>
      <c r="AX10" s="935"/>
      <c r="AY10" s="935"/>
      <c r="AZ10" s="935"/>
      <c r="BA10" s="935"/>
      <c r="BB10" s="935"/>
      <c r="BC10" s="935"/>
      <c r="BD10" s="936"/>
      <c r="BE10" s="216"/>
      <c r="BF10" s="217"/>
      <c r="BG10" s="218"/>
      <c r="BH10" s="219"/>
      <c r="BI10" s="217"/>
      <c r="BJ10" s="220"/>
      <c r="BK10" s="221"/>
      <c r="BL10" s="222"/>
    </row>
    <row r="11" spans="1:64" ht="18.95" customHeight="1">
      <c r="A11" s="921"/>
      <c r="B11" s="932" t="s">
        <v>404</v>
      </c>
      <c r="C11" s="921"/>
      <c r="D11" s="921"/>
      <c r="E11" s="921"/>
      <c r="F11" s="921"/>
      <c r="G11" s="921"/>
      <c r="H11" s="921"/>
      <c r="I11" s="921"/>
      <c r="J11" s="921"/>
      <c r="K11" s="921"/>
      <c r="L11" s="921"/>
      <c r="M11" s="921"/>
      <c r="N11" s="921"/>
      <c r="O11" s="965"/>
      <c r="P11" s="933"/>
      <c r="Q11" s="933"/>
      <c r="R11" s="933"/>
      <c r="S11" s="933"/>
      <c r="T11" s="933"/>
      <c r="U11" s="933"/>
      <c r="V11" s="935"/>
      <c r="W11" s="949"/>
      <c r="X11" s="949"/>
      <c r="Y11" s="948"/>
      <c r="Z11" s="961" t="s">
        <v>405</v>
      </c>
      <c r="AA11" s="949" t="s">
        <v>406</v>
      </c>
      <c r="AB11" s="949" t="s">
        <v>760</v>
      </c>
      <c r="AC11" s="942" t="e">
        <f>ROUND(#REF!/AD10,2)</f>
        <v>#REF!</v>
      </c>
      <c r="AD11" s="933" t="s">
        <v>34</v>
      </c>
      <c r="AE11" s="948"/>
      <c r="AF11" s="935"/>
      <c r="AG11" s="949"/>
      <c r="AH11" s="949"/>
      <c r="AI11" s="949"/>
      <c r="AJ11" s="933"/>
      <c r="AK11" s="933" t="s">
        <v>761</v>
      </c>
      <c r="AL11" s="949"/>
      <c r="AM11" s="949" t="s">
        <v>207</v>
      </c>
      <c r="AN11" s="964" t="e">
        <f>ROUND(2.0944*(#REF!/1000),3)</f>
        <v>#REF!</v>
      </c>
      <c r="AO11" s="966" t="s">
        <v>34</v>
      </c>
      <c r="AP11" s="935"/>
      <c r="AQ11" s="935"/>
      <c r="AR11" s="935"/>
      <c r="AS11" s="935"/>
      <c r="AT11" s="935"/>
      <c r="AU11" s="935"/>
      <c r="AV11" s="935"/>
      <c r="AW11" s="935"/>
      <c r="AX11" s="935"/>
      <c r="AY11" s="935"/>
      <c r="AZ11" s="935"/>
      <c r="BA11" s="935"/>
      <c r="BB11" s="935"/>
      <c r="BC11" s="935"/>
      <c r="BD11" s="936"/>
      <c r="BE11" s="216" t="s">
        <v>344</v>
      </c>
      <c r="BF11" s="217"/>
      <c r="BG11" s="218">
        <v>30</v>
      </c>
      <c r="BH11" s="219"/>
      <c r="BI11" s="217"/>
      <c r="BJ11" s="220">
        <v>200.9</v>
      </c>
      <c r="BK11" s="221"/>
      <c r="BL11" s="222"/>
    </row>
    <row r="12" spans="1:64" ht="18.95" customHeight="1">
      <c r="A12" s="921"/>
      <c r="B12" s="932"/>
      <c r="C12" s="921"/>
      <c r="D12" s="921"/>
      <c r="E12" s="921"/>
      <c r="F12" s="921"/>
      <c r="G12" s="921"/>
      <c r="H12" s="921"/>
      <c r="I12" s="921"/>
      <c r="J12" s="921"/>
      <c r="K12" s="921"/>
      <c r="L12" s="921"/>
      <c r="M12" s="921"/>
      <c r="N12" s="921"/>
      <c r="O12" s="965"/>
      <c r="P12" s="933"/>
      <c r="Q12" s="933"/>
      <c r="R12" s="933"/>
      <c r="S12" s="933"/>
      <c r="T12" s="933"/>
      <c r="U12" s="933"/>
      <c r="V12" s="935"/>
      <c r="W12" s="949"/>
      <c r="X12" s="949"/>
      <c r="Y12" s="948"/>
      <c r="Z12" s="961"/>
      <c r="AA12" s="949"/>
      <c r="AB12" s="949"/>
      <c r="AC12" s="942"/>
      <c r="AD12" s="933"/>
      <c r="AE12" s="948"/>
      <c r="AF12" s="935"/>
      <c r="AG12" s="949"/>
      <c r="AH12" s="949"/>
      <c r="AI12" s="949"/>
      <c r="AJ12" s="933"/>
      <c r="AK12" s="933"/>
      <c r="AL12" s="949"/>
      <c r="AM12" s="949"/>
      <c r="AN12" s="964"/>
      <c r="AO12" s="966"/>
      <c r="AP12" s="935"/>
      <c r="AQ12" s="935"/>
      <c r="AR12" s="935"/>
      <c r="AS12" s="935"/>
      <c r="AT12" s="935"/>
      <c r="AU12" s="935"/>
      <c r="AV12" s="935"/>
      <c r="AW12" s="935"/>
      <c r="AX12" s="935"/>
      <c r="AY12" s="935"/>
      <c r="AZ12" s="935"/>
      <c r="BA12" s="935"/>
      <c r="BB12" s="935"/>
      <c r="BC12" s="935"/>
      <c r="BD12" s="936"/>
      <c r="BE12" s="216" t="s">
        <v>344</v>
      </c>
      <c r="BF12" s="217"/>
      <c r="BG12" s="218">
        <v>50</v>
      </c>
      <c r="BH12" s="219"/>
      <c r="BI12" s="217"/>
      <c r="BJ12" s="220">
        <v>216.5</v>
      </c>
      <c r="BK12" s="221"/>
      <c r="BL12" s="222"/>
    </row>
    <row r="13" spans="1:64" ht="18.95" customHeight="1">
      <c r="A13" s="921"/>
      <c r="B13" s="921"/>
      <c r="C13" s="967" t="s">
        <v>762</v>
      </c>
      <c r="D13" s="967"/>
      <c r="E13" s="967"/>
      <c r="F13" s="967"/>
      <c r="G13" s="921"/>
      <c r="H13" s="921"/>
      <c r="I13" s="921"/>
      <c r="J13" s="921"/>
      <c r="K13" s="921"/>
      <c r="L13" s="921"/>
      <c r="M13" s="921"/>
      <c r="N13" s="921"/>
      <c r="O13" s="965"/>
      <c r="P13" s="968" t="s">
        <v>763</v>
      </c>
      <c r="Q13" s="969" t="str">
        <f>FIXED(R8,2)&amp;" × 2 + "&amp;FIXED(R5,2)&amp;" ="</f>
        <v>0.27 × 2 + 10.00 =</v>
      </c>
      <c r="R13" s="970"/>
      <c r="S13" s="971">
        <f>ROUND(R8*2+R5,2)</f>
        <v>10.54</v>
      </c>
      <c r="T13" s="933"/>
      <c r="U13" s="933"/>
      <c r="V13" s="935"/>
      <c r="W13" s="949"/>
      <c r="X13" s="949"/>
      <c r="Y13" s="949"/>
      <c r="Z13" s="949"/>
      <c r="AA13" s="949" t="s">
        <v>764</v>
      </c>
      <c r="AB13" s="964">
        <v>1.2999999999999999E-2</v>
      </c>
      <c r="AC13" s="949" t="s">
        <v>765</v>
      </c>
      <c r="AD13" s="949">
        <f>IF(AB13=0.013,75,IF(AB13=0.022,45,IF(AB13=0.025,40,IF(AB13=0.03,35,IF(AB13=0.035,30,IF(AB13=0.04,25,))))))</f>
        <v>75</v>
      </c>
      <c r="AE13" s="933" t="s">
        <v>766</v>
      </c>
      <c r="AF13" s="935"/>
      <c r="AG13" s="949"/>
      <c r="AH13" s="949"/>
      <c r="AI13" s="949"/>
      <c r="AJ13" s="933" t="s">
        <v>693</v>
      </c>
      <c r="AK13" s="949"/>
      <c r="AL13" s="972">
        <v>150</v>
      </c>
      <c r="AM13" s="949" t="s">
        <v>767</v>
      </c>
      <c r="AN13" s="942">
        <f>ROUND(1/AL13*100,2)</f>
        <v>0.67</v>
      </c>
      <c r="AO13" s="933" t="s">
        <v>768</v>
      </c>
      <c r="AP13" s="935"/>
      <c r="AQ13" s="935"/>
      <c r="AR13" s="935"/>
      <c r="AS13" s="935"/>
      <c r="AT13" s="935"/>
      <c r="AU13" s="935"/>
      <c r="AV13" s="935"/>
      <c r="AW13" s="935"/>
      <c r="AX13" s="935"/>
      <c r="AY13" s="935"/>
      <c r="AZ13" s="935"/>
      <c r="BA13" s="935"/>
      <c r="BB13" s="935"/>
      <c r="BC13" s="935"/>
      <c r="BD13" s="936"/>
      <c r="BE13" s="216" t="s">
        <v>344</v>
      </c>
      <c r="BF13" s="217"/>
      <c r="BG13" s="218">
        <v>70</v>
      </c>
      <c r="BH13" s="219"/>
      <c r="BI13" s="217"/>
      <c r="BJ13" s="220">
        <v>226.7</v>
      </c>
      <c r="BK13" s="221"/>
      <c r="BL13" s="222"/>
    </row>
    <row r="14" spans="1:64" ht="18.95" customHeight="1">
      <c r="A14" s="921"/>
      <c r="B14" s="921"/>
      <c r="C14" s="973" t="s">
        <v>769</v>
      </c>
      <c r="D14" s="974"/>
      <c r="E14" s="975"/>
      <c r="F14" s="975"/>
      <c r="G14" s="921"/>
      <c r="H14" s="921"/>
      <c r="I14" s="921"/>
      <c r="J14" s="921"/>
      <c r="K14" s="921"/>
      <c r="L14" s="921"/>
      <c r="M14" s="921"/>
      <c r="N14" s="921"/>
      <c r="O14" s="965"/>
      <c r="P14" s="968" t="s">
        <v>770</v>
      </c>
      <c r="Q14" s="976" t="str">
        <f>"1 / "&amp;ROUND(1/R14,2)&amp;" ="</f>
        <v>1 / 10 =</v>
      </c>
      <c r="R14" s="977">
        <v>0.1</v>
      </c>
      <c r="S14" s="978">
        <f>R14</f>
        <v>0.1</v>
      </c>
      <c r="T14" s="933"/>
      <c r="U14" s="933"/>
      <c r="V14" s="935"/>
      <c r="W14" s="948"/>
      <c r="X14" s="948"/>
      <c r="Y14" s="948"/>
      <c r="Z14" s="948"/>
      <c r="AA14" s="948"/>
      <c r="AB14" s="948"/>
      <c r="AC14" s="948"/>
      <c r="AD14" s="948"/>
      <c r="AE14" s="948"/>
      <c r="AF14" s="935"/>
      <c r="AG14" s="933"/>
      <c r="AH14" s="933"/>
      <c r="AI14" s="933"/>
      <c r="AJ14" s="933"/>
      <c r="AK14" s="933"/>
      <c r="AL14" s="933"/>
      <c r="AM14" s="933"/>
      <c r="AN14" s="933"/>
      <c r="AO14" s="933"/>
      <c r="AP14" s="935"/>
      <c r="AQ14" s="935"/>
      <c r="AR14" s="935"/>
      <c r="AS14" s="935"/>
      <c r="AT14" s="935"/>
      <c r="AU14" s="935"/>
      <c r="AV14" s="935"/>
      <c r="AW14" s="935"/>
      <c r="AX14" s="935"/>
      <c r="AY14" s="935"/>
      <c r="AZ14" s="935"/>
      <c r="BA14" s="935"/>
      <c r="BB14" s="935"/>
      <c r="BC14" s="935"/>
      <c r="BD14" s="936"/>
      <c r="BE14" s="216" t="s">
        <v>344</v>
      </c>
      <c r="BF14" s="217"/>
      <c r="BG14" s="218">
        <v>80</v>
      </c>
      <c r="BH14" s="219"/>
      <c r="BI14" s="217"/>
      <c r="BJ14" s="220">
        <v>230.8</v>
      </c>
      <c r="BK14" s="221"/>
      <c r="BL14" s="222"/>
    </row>
    <row r="15" spans="1:64" ht="18.95" customHeight="1">
      <c r="A15" s="921"/>
      <c r="B15" s="921"/>
      <c r="C15" s="967"/>
      <c r="D15" s="975" t="s">
        <v>771</v>
      </c>
      <c r="E15" s="975"/>
      <c r="F15" s="975"/>
      <c r="G15" s="921"/>
      <c r="H15" s="921"/>
      <c r="I15" s="921"/>
      <c r="J15" s="921"/>
      <c r="K15" s="921"/>
      <c r="L15" s="979">
        <f>ROUND(((2/3*3.28*L16*(L18/L17^0.5))^0.467/60),2)</f>
        <v>0.41</v>
      </c>
      <c r="M15" s="921"/>
      <c r="N15" s="921"/>
      <c r="O15" s="941"/>
      <c r="P15" s="968" t="s">
        <v>772</v>
      </c>
      <c r="Q15" s="980">
        <v>1.2999999999999999E-2</v>
      </c>
      <c r="R15" s="981"/>
      <c r="S15" s="982"/>
      <c r="T15" s="952"/>
      <c r="U15" s="952"/>
      <c r="V15" s="933"/>
      <c r="W15" s="983"/>
      <c r="X15" s="983"/>
      <c r="Y15" s="983"/>
      <c r="Z15" s="983"/>
      <c r="AA15" s="948"/>
      <c r="AB15" s="948"/>
      <c r="AC15" s="949" t="e">
        <f>ROUND(AD13*AC11^(2/3)*(#REF!/100)^(1/2),3)</f>
        <v>#REF!</v>
      </c>
      <c r="AD15" s="966" t="s">
        <v>727</v>
      </c>
      <c r="AE15" s="983"/>
      <c r="AF15" s="935"/>
      <c r="AG15" s="933"/>
      <c r="AH15" s="984"/>
      <c r="AI15" s="933"/>
      <c r="AJ15" s="938"/>
      <c r="AK15" s="966"/>
      <c r="AL15" s="933"/>
      <c r="AM15" s="964" t="e">
        <f>ROUND(75*#REF!^(2/3)*(1/AL13)^(1/2),3)</f>
        <v>#REF!</v>
      </c>
      <c r="AN15" s="985" t="s">
        <v>773</v>
      </c>
      <c r="AO15" s="933"/>
      <c r="AP15" s="935"/>
      <c r="AQ15" s="935"/>
      <c r="AR15" s="935"/>
      <c r="AS15" s="935"/>
      <c r="AT15" s="935"/>
      <c r="AU15" s="935"/>
      <c r="AV15" s="935"/>
      <c r="AW15" s="935"/>
      <c r="AX15" s="935"/>
      <c r="AY15" s="935"/>
      <c r="AZ15" s="935"/>
      <c r="BA15" s="935"/>
      <c r="BB15" s="935"/>
      <c r="BC15" s="935"/>
      <c r="BD15" s="936"/>
      <c r="BE15" s="216" t="s">
        <v>774</v>
      </c>
      <c r="BF15" s="217"/>
      <c r="BG15" s="218">
        <v>100</v>
      </c>
      <c r="BH15" s="219"/>
      <c r="BI15" s="217"/>
      <c r="BJ15" s="220">
        <v>237.5</v>
      </c>
      <c r="BK15" s="221"/>
      <c r="BL15" s="222"/>
    </row>
    <row r="16" spans="1:64" ht="18.95" customHeight="1">
      <c r="A16" s="921"/>
      <c r="B16" s="921"/>
      <c r="C16" s="967"/>
      <c r="D16" s="975" t="s">
        <v>775</v>
      </c>
      <c r="E16" s="975"/>
      <c r="F16" s="975"/>
      <c r="G16" s="921"/>
      <c r="H16" s="921"/>
      <c r="I16" s="921"/>
      <c r="J16" s="921"/>
      <c r="K16" s="921"/>
      <c r="L16" s="956">
        <v>460</v>
      </c>
      <c r="M16" s="921"/>
      <c r="N16" s="921"/>
      <c r="O16" s="986"/>
      <c r="P16" s="987"/>
      <c r="Q16" s="988"/>
      <c r="R16" s="989"/>
      <c r="S16" s="989"/>
      <c r="T16" s="988"/>
      <c r="U16" s="988"/>
      <c r="V16" s="990"/>
      <c r="W16" s="991"/>
      <c r="X16" s="991"/>
      <c r="Y16" s="991"/>
      <c r="Z16" s="991"/>
      <c r="AA16" s="992"/>
      <c r="AB16" s="991"/>
      <c r="AC16" s="991"/>
      <c r="AD16" s="991"/>
      <c r="AE16" s="991"/>
      <c r="AF16" s="993"/>
      <c r="AG16" s="990"/>
      <c r="AH16" s="994"/>
      <c r="AI16" s="990"/>
      <c r="AJ16" s="995"/>
      <c r="AK16" s="996"/>
      <c r="AL16" s="990"/>
      <c r="AM16" s="997"/>
      <c r="AN16" s="998"/>
      <c r="AO16" s="990"/>
      <c r="AP16" s="993"/>
      <c r="AQ16" s="993"/>
      <c r="AR16" s="993"/>
      <c r="AS16" s="993"/>
      <c r="AT16" s="993"/>
      <c r="AU16" s="993"/>
      <c r="AV16" s="993"/>
      <c r="AW16" s="993"/>
      <c r="AX16" s="993"/>
      <c r="AY16" s="993"/>
      <c r="AZ16" s="993"/>
      <c r="BA16" s="993"/>
      <c r="BB16" s="993"/>
      <c r="BC16" s="993"/>
      <c r="BD16" s="999"/>
      <c r="BE16" s="216" t="s">
        <v>714</v>
      </c>
      <c r="BF16" s="217"/>
      <c r="BG16" s="218">
        <v>10</v>
      </c>
      <c r="BH16" s="219"/>
      <c r="BI16" s="217"/>
      <c r="BJ16" s="220">
        <v>122.2</v>
      </c>
      <c r="BK16" s="221"/>
      <c r="BL16" s="222"/>
    </row>
    <row r="17" spans="1:64" ht="18.95" customHeight="1">
      <c r="A17" s="921"/>
      <c r="B17" s="921"/>
      <c r="C17" s="967"/>
      <c r="D17" s="975" t="s">
        <v>776</v>
      </c>
      <c r="E17" s="975"/>
      <c r="F17" s="975"/>
      <c r="G17" s="921"/>
      <c r="H17" s="921"/>
      <c r="I17" s="921"/>
      <c r="J17" s="921"/>
      <c r="K17" s="921"/>
      <c r="L17" s="950">
        <f>L19/L16</f>
        <v>0.57608695652173914</v>
      </c>
      <c r="M17" s="921"/>
      <c r="N17" s="921"/>
      <c r="O17" s="965" t="s">
        <v>777</v>
      </c>
      <c r="P17" s="933"/>
      <c r="Q17" s="933"/>
      <c r="R17" s="933"/>
      <c r="S17" s="933"/>
      <c r="T17" s="933"/>
      <c r="U17" s="933"/>
      <c r="V17" s="933"/>
      <c r="W17" s="948"/>
      <c r="X17" s="938" t="s">
        <v>778</v>
      </c>
      <c r="Y17" s="933" t="e">
        <f>"Q  =  A × V  =  "&amp;FIXED(#REF!,3)&amp;" × "&amp;FIXED(AC15,3)&amp;"  ="</f>
        <v>#REF!</v>
      </c>
      <c r="Z17" s="938"/>
      <c r="AA17" s="1000"/>
      <c r="AB17" s="933"/>
      <c r="AC17" s="938" t="e">
        <f>ROUND(#REF!*AC15,3)</f>
        <v>#REF!</v>
      </c>
      <c r="AD17" s="1001" t="s">
        <v>779</v>
      </c>
      <c r="AE17" s="948"/>
      <c r="AF17" s="935"/>
      <c r="AG17" s="933"/>
      <c r="AH17" s="984" t="s">
        <v>780</v>
      </c>
      <c r="AI17" s="933" t="e">
        <f>"Q = A × V   = "&amp;FIXED(#REF!,3)&amp;" × "&amp;FIXED(AM15,3)&amp;"  ="</f>
        <v>#REF!</v>
      </c>
      <c r="AJ17" s="933"/>
      <c r="AK17" s="1002"/>
      <c r="AL17" s="966"/>
      <c r="AM17" s="964" t="e">
        <f>ROUND(#REF!*AM15,3)</f>
        <v>#REF!</v>
      </c>
      <c r="AN17" s="933" t="s">
        <v>781</v>
      </c>
      <c r="AO17" s="933"/>
      <c r="AP17" s="935"/>
      <c r="AQ17" s="935"/>
      <c r="AR17" s="935"/>
      <c r="AS17" s="935"/>
      <c r="AT17" s="935"/>
      <c r="AU17" s="935"/>
      <c r="AV17" s="935"/>
      <c r="AW17" s="935"/>
      <c r="AX17" s="935"/>
      <c r="AY17" s="935"/>
      <c r="AZ17" s="935"/>
      <c r="BA17" s="935"/>
      <c r="BB17" s="935"/>
      <c r="BC17" s="935"/>
      <c r="BD17" s="936"/>
      <c r="BE17" s="216" t="s">
        <v>345</v>
      </c>
      <c r="BF17" s="217"/>
      <c r="BG17" s="218">
        <v>20</v>
      </c>
      <c r="BH17" s="219"/>
      <c r="BI17" s="217"/>
      <c r="BJ17" s="220">
        <v>135.30000000000001</v>
      </c>
      <c r="BK17" s="221"/>
      <c r="BL17" s="222"/>
    </row>
    <row r="18" spans="1:64" ht="18.95" customHeight="1" thickBot="1">
      <c r="A18" s="921"/>
      <c r="B18" s="921"/>
      <c r="C18" s="921"/>
      <c r="D18" s="975" t="s">
        <v>410</v>
      </c>
      <c r="E18" s="921"/>
      <c r="F18" s="921"/>
      <c r="G18" s="921"/>
      <c r="H18" s="921"/>
      <c r="I18" s="921"/>
      <c r="J18" s="921"/>
      <c r="K18" s="921"/>
      <c r="L18" s="956">
        <v>0.7</v>
      </c>
      <c r="M18" s="921"/>
      <c r="N18" s="921"/>
      <c r="O18" s="1003" t="s">
        <v>782</v>
      </c>
      <c r="P18" s="933" t="str">
        <f>" ( "&amp;FIXED(R8,2)&amp;" × 2 EA ) + "&amp;FIXED(R5,2)&amp;"  ="</f>
        <v xml:space="preserve"> ( 0.27 × 2 EA ) + 10.00  =</v>
      </c>
      <c r="Q18" s="933"/>
      <c r="R18" s="933"/>
      <c r="S18" s="1004">
        <f>ROUND(R8*2+R5,3)</f>
        <v>10.54</v>
      </c>
      <c r="T18" s="933"/>
      <c r="U18" s="933"/>
      <c r="V18" s="933"/>
      <c r="W18" s="938"/>
      <c r="X18" s="938"/>
      <c r="Y18" s="938"/>
      <c r="Z18" s="949"/>
      <c r="AA18" s="949"/>
      <c r="AB18" s="949"/>
      <c r="AC18" s="949"/>
      <c r="AD18" s="949"/>
      <c r="AE18" s="949"/>
      <c r="AF18" s="935"/>
      <c r="AG18" s="933"/>
      <c r="AH18" s="961"/>
      <c r="AI18" s="949"/>
      <c r="AJ18" s="949"/>
      <c r="AK18" s="949"/>
      <c r="AL18" s="949"/>
      <c r="AM18" s="949"/>
      <c r="AN18" s="949"/>
      <c r="AO18" s="933"/>
      <c r="AP18" s="935"/>
      <c r="AQ18" s="935"/>
      <c r="AR18" s="935"/>
      <c r="AS18" s="935"/>
      <c r="AT18" s="935"/>
      <c r="AU18" s="935"/>
      <c r="AV18" s="935"/>
      <c r="AW18" s="935"/>
      <c r="AX18" s="935"/>
      <c r="AY18" s="935"/>
      <c r="AZ18" s="935"/>
      <c r="BA18" s="935"/>
      <c r="BB18" s="935"/>
      <c r="BC18" s="935"/>
      <c r="BD18" s="936"/>
      <c r="BE18" s="216" t="s">
        <v>345</v>
      </c>
      <c r="BF18" s="217"/>
      <c r="BG18" s="218">
        <v>30</v>
      </c>
      <c r="BH18" s="219"/>
      <c r="BI18" s="217"/>
      <c r="BJ18" s="220">
        <v>142.9</v>
      </c>
      <c r="BK18" s="221"/>
      <c r="BL18" s="222"/>
    </row>
    <row r="19" spans="1:64" ht="18.95" customHeight="1" thickBot="1">
      <c r="A19" s="921"/>
      <c r="B19" s="921"/>
      <c r="C19" s="921"/>
      <c r="D19" s="975" t="s">
        <v>411</v>
      </c>
      <c r="E19" s="921"/>
      <c r="F19" s="921"/>
      <c r="G19" s="921"/>
      <c r="H19" s="921"/>
      <c r="I19" s="921"/>
      <c r="J19" s="921"/>
      <c r="K19" s="921"/>
      <c r="L19" s="1005">
        <v>265</v>
      </c>
      <c r="M19" s="921"/>
      <c r="N19" s="921"/>
      <c r="O19" s="965" t="s">
        <v>783</v>
      </c>
      <c r="P19" s="933"/>
      <c r="Q19" s="933"/>
      <c r="R19" s="933"/>
      <c r="S19" s="1004"/>
      <c r="T19" s="933"/>
      <c r="U19" s="933"/>
      <c r="V19" s="935"/>
      <c r="W19" s="949"/>
      <c r="X19" s="948"/>
      <c r="Y19" s="1271" t="e">
        <f>AC17&amp;"㎥/s &gt; Qd = "&amp;Y6&amp;"㎥/s "&amp;IF(AC17&gt;Y6," -  O K  - "," -  N O  - ")</f>
        <v>#REF!</v>
      </c>
      <c r="Z19" s="1271"/>
      <c r="AA19" s="1271"/>
      <c r="AB19" s="1271"/>
      <c r="AC19" s="1271"/>
      <c r="AD19" s="949"/>
      <c r="AE19" s="949"/>
      <c r="AF19" s="935"/>
      <c r="AG19" s="933"/>
      <c r="AH19" s="961"/>
      <c r="AI19" s="1271" t="e">
        <f>AM17&amp;"㎥/s &gt; Qd = "&amp;AI6&amp;"㎥/s "&amp;IF(AM17&gt;AI6," -  O K  - "," -  N O  - ")</f>
        <v>#REF!</v>
      </c>
      <c r="AJ19" s="1271"/>
      <c r="AK19" s="1271"/>
      <c r="AL19" s="1271"/>
      <c r="AM19" s="1271"/>
      <c r="AN19" s="933"/>
      <c r="AO19" s="949"/>
      <c r="AP19" s="935"/>
      <c r="AQ19" s="935"/>
      <c r="AR19" s="935"/>
      <c r="AS19" s="935"/>
      <c r="AT19" s="935"/>
      <c r="AU19" s="935"/>
      <c r="AV19" s="935"/>
      <c r="AW19" s="935"/>
      <c r="AX19" s="935"/>
      <c r="AY19" s="935"/>
      <c r="AZ19" s="935"/>
      <c r="BA19" s="935"/>
      <c r="BB19" s="935"/>
      <c r="BC19" s="935"/>
      <c r="BD19" s="936"/>
      <c r="BE19" s="216" t="s">
        <v>714</v>
      </c>
      <c r="BF19" s="217"/>
      <c r="BG19" s="218">
        <v>50</v>
      </c>
      <c r="BH19" s="219"/>
      <c r="BI19" s="217"/>
      <c r="BJ19" s="220">
        <v>152.30000000000001</v>
      </c>
      <c r="BK19" s="221"/>
      <c r="BL19" s="222"/>
    </row>
    <row r="20" spans="1:64" ht="18.95" customHeight="1">
      <c r="A20" s="921"/>
      <c r="B20" s="921"/>
      <c r="C20" s="921"/>
      <c r="D20" s="921"/>
      <c r="E20" s="921"/>
      <c r="F20" s="921"/>
      <c r="G20" s="921"/>
      <c r="H20" s="921"/>
      <c r="I20" s="921"/>
      <c r="J20" s="921"/>
      <c r="K20" s="921"/>
      <c r="L20" s="921"/>
      <c r="M20" s="921"/>
      <c r="N20" s="921"/>
      <c r="O20" s="1003" t="s">
        <v>712</v>
      </c>
      <c r="P20" s="933" t="str">
        <f>FIXED(R5,2)&amp;" × "&amp;FIXED(R8,2)&amp;"  ="</f>
        <v>10.00 × 0.27  =</v>
      </c>
      <c r="Q20" s="933"/>
      <c r="R20" s="933"/>
      <c r="S20" s="1004">
        <f>ROUND(R5*R8,3)</f>
        <v>2.7</v>
      </c>
      <c r="T20" s="933"/>
      <c r="U20" s="933"/>
      <c r="V20" s="935"/>
      <c r="W20" s="948"/>
      <c r="X20" s="948"/>
      <c r="Y20" s="933"/>
      <c r="Z20" s="948"/>
      <c r="AA20" s="983"/>
      <c r="AB20" s="949"/>
      <c r="AC20" s="983"/>
      <c r="AD20" s="949"/>
      <c r="AE20" s="949"/>
      <c r="AF20" s="935"/>
      <c r="AG20" s="933"/>
      <c r="AH20" s="961"/>
      <c r="AI20" s="933"/>
      <c r="AJ20" s="1006"/>
      <c r="AK20" s="949"/>
      <c r="AL20" s="1007"/>
      <c r="AM20" s="949"/>
      <c r="AN20" s="933"/>
      <c r="AO20" s="949"/>
      <c r="AP20" s="935"/>
      <c r="AQ20" s="935"/>
      <c r="AR20" s="935"/>
      <c r="AS20" s="935"/>
      <c r="AT20" s="935"/>
      <c r="AU20" s="935"/>
      <c r="AV20" s="935"/>
      <c r="AW20" s="935"/>
      <c r="AX20" s="935"/>
      <c r="AY20" s="935"/>
      <c r="AZ20" s="935"/>
      <c r="BA20" s="935"/>
      <c r="BB20" s="935"/>
      <c r="BC20" s="935"/>
      <c r="BD20" s="936"/>
      <c r="BE20" s="216" t="s">
        <v>714</v>
      </c>
      <c r="BF20" s="217"/>
      <c r="BG20" s="218">
        <v>70</v>
      </c>
      <c r="BH20" s="219"/>
      <c r="BI20" s="217"/>
      <c r="BJ20" s="220">
        <v>158.5</v>
      </c>
      <c r="BK20" s="221"/>
      <c r="BL20" s="222"/>
    </row>
    <row r="21" spans="1:64" ht="18.95" customHeight="1">
      <c r="A21" s="921"/>
      <c r="B21" s="932" t="s">
        <v>412</v>
      </c>
      <c r="C21" s="921"/>
      <c r="D21" s="921"/>
      <c r="E21" s="921"/>
      <c r="F21" s="921"/>
      <c r="G21" s="921"/>
      <c r="H21" s="921"/>
      <c r="I21" s="921"/>
      <c r="J21" s="921"/>
      <c r="K21" s="921"/>
      <c r="L21" s="921"/>
      <c r="M21" s="921"/>
      <c r="N21" s="921"/>
      <c r="O21" s="965" t="s">
        <v>784</v>
      </c>
      <c r="P21" s="933"/>
      <c r="Q21" s="933"/>
      <c r="R21" s="933"/>
      <c r="S21" s="1004"/>
      <c r="T21" s="933"/>
      <c r="U21" s="933"/>
      <c r="V21" s="933"/>
      <c r="W21" s="949"/>
      <c r="X21" s="938" t="s">
        <v>785</v>
      </c>
      <c r="Y21" s="949" t="e">
        <f>ROUND(AC17/Y6*100,)&amp;" % "</f>
        <v>#REF!</v>
      </c>
      <c r="Z21" s="948"/>
      <c r="AA21" s="983"/>
      <c r="AB21" s="949"/>
      <c r="AC21" s="983"/>
      <c r="AD21" s="949"/>
      <c r="AE21" s="949"/>
      <c r="AF21" s="935"/>
      <c r="AG21" s="933"/>
      <c r="AH21" s="984" t="s">
        <v>786</v>
      </c>
      <c r="AI21" s="949" t="e">
        <f>ROUND(AM17/AI6*100,)</f>
        <v>#REF!</v>
      </c>
      <c r="AJ21" s="933" t="s">
        <v>768</v>
      </c>
      <c r="AK21" s="949"/>
      <c r="AL21" s="1007"/>
      <c r="AM21" s="949"/>
      <c r="AN21" s="933"/>
      <c r="AO21" s="949"/>
      <c r="AP21" s="935"/>
      <c r="AQ21" s="935"/>
      <c r="AR21" s="935"/>
      <c r="AS21" s="935"/>
      <c r="AT21" s="935"/>
      <c r="AU21" s="935"/>
      <c r="AV21" s="935"/>
      <c r="AW21" s="935"/>
      <c r="AX21" s="935"/>
      <c r="AY21" s="935"/>
      <c r="AZ21" s="935"/>
      <c r="BA21" s="935"/>
      <c r="BB21" s="935"/>
      <c r="BC21" s="935"/>
      <c r="BD21" s="936"/>
      <c r="BE21" s="216" t="s">
        <v>345</v>
      </c>
      <c r="BF21" s="217"/>
      <c r="BG21" s="218">
        <v>80</v>
      </c>
      <c r="BH21" s="219"/>
      <c r="BI21" s="217"/>
      <c r="BJ21" s="220">
        <v>160.9</v>
      </c>
      <c r="BK21" s="221"/>
      <c r="BL21" s="222"/>
    </row>
    <row r="22" spans="1:64" ht="18.95" customHeight="1">
      <c r="A22" s="921"/>
      <c r="B22" s="932"/>
      <c r="C22" s="921"/>
      <c r="D22" s="921"/>
      <c r="E22" s="921"/>
      <c r="F22" s="921"/>
      <c r="G22" s="921"/>
      <c r="H22" s="921"/>
      <c r="I22" s="921"/>
      <c r="J22" s="921"/>
      <c r="K22" s="921"/>
      <c r="L22" s="921"/>
      <c r="M22" s="921"/>
      <c r="N22" s="921"/>
      <c r="O22" s="965"/>
      <c r="P22" s="933"/>
      <c r="Q22" s="933"/>
      <c r="R22" s="933"/>
      <c r="S22" s="1004"/>
      <c r="T22" s="933"/>
      <c r="U22" s="933"/>
      <c r="V22" s="933"/>
      <c r="W22" s="949"/>
      <c r="X22" s="938"/>
      <c r="Y22" s="949"/>
      <c r="Z22" s="948"/>
      <c r="AA22" s="983"/>
      <c r="AB22" s="949"/>
      <c r="AC22" s="983"/>
      <c r="AD22" s="949"/>
      <c r="AE22" s="949"/>
      <c r="AF22" s="935"/>
      <c r="AG22" s="933"/>
      <c r="AH22" s="984"/>
      <c r="AI22" s="949"/>
      <c r="AJ22" s="933"/>
      <c r="AK22" s="949"/>
      <c r="AL22" s="1007"/>
      <c r="AM22" s="949"/>
      <c r="AN22" s="933"/>
      <c r="AO22" s="949"/>
      <c r="AP22" s="935"/>
      <c r="AQ22" s="935"/>
      <c r="AR22" s="935"/>
      <c r="AS22" s="935"/>
      <c r="AT22" s="935"/>
      <c r="AU22" s="935"/>
      <c r="AV22" s="935"/>
      <c r="AW22" s="935"/>
      <c r="AX22" s="935"/>
      <c r="AY22" s="935"/>
      <c r="AZ22" s="935"/>
      <c r="BA22" s="935"/>
      <c r="BB22" s="935"/>
      <c r="BC22" s="935"/>
      <c r="BD22" s="936"/>
      <c r="BE22" s="216" t="s">
        <v>345</v>
      </c>
      <c r="BF22" s="217"/>
      <c r="BG22" s="218">
        <v>100</v>
      </c>
      <c r="BH22" s="219"/>
      <c r="BI22" s="217"/>
      <c r="BJ22" s="220">
        <v>165</v>
      </c>
      <c r="BK22" s="221"/>
      <c r="BL22" s="222"/>
    </row>
    <row r="23" spans="1:64" ht="18.95" customHeight="1">
      <c r="A23" s="921"/>
      <c r="B23" s="921"/>
      <c r="C23" s="921" t="s">
        <v>629</v>
      </c>
      <c r="D23" s="921"/>
      <c r="E23" s="921"/>
      <c r="F23" s="921"/>
      <c r="G23" s="921"/>
      <c r="H23" s="921"/>
      <c r="I23" s="921"/>
      <c r="J23" s="921"/>
      <c r="K23" s="921"/>
      <c r="L23" s="1008">
        <f>ROUND((F25/24)*(24/L15)^0.557,2)</f>
        <v>124.42</v>
      </c>
      <c r="M23" s="921"/>
      <c r="N23" s="921"/>
      <c r="O23" s="1003" t="s">
        <v>787</v>
      </c>
      <c r="P23" s="933" t="str">
        <f>" ( "&amp;FIXED(S20,3)&amp;" / "&amp;FIXED(S18,3)&amp;" )  ="</f>
        <v xml:space="preserve"> ( 2.700 / 10.540 )  =</v>
      </c>
      <c r="Q23" s="933"/>
      <c r="R23" s="933"/>
      <c r="S23" s="1004">
        <f>ROUND(S20/S18,3)</f>
        <v>0.25600000000000001</v>
      </c>
      <c r="T23" s="949"/>
      <c r="U23" s="933"/>
      <c r="V23" s="933"/>
      <c r="W23" s="948"/>
      <c r="X23" s="948"/>
      <c r="Y23" s="948"/>
      <c r="Z23" s="948"/>
      <c r="AA23" s="948"/>
      <c r="AB23" s="948"/>
      <c r="AC23" s="948"/>
      <c r="AD23" s="948"/>
      <c r="AE23" s="948"/>
      <c r="AF23" s="935"/>
      <c r="AG23" s="933"/>
      <c r="AH23" s="933"/>
      <c r="AI23" s="933"/>
      <c r="AJ23" s="933"/>
      <c r="AK23" s="933"/>
      <c r="AL23" s="933"/>
      <c r="AM23" s="933"/>
      <c r="AN23" s="933"/>
      <c r="AO23" s="933"/>
      <c r="AP23" s="935"/>
      <c r="AQ23" s="935"/>
      <c r="AR23" s="935"/>
      <c r="AS23" s="935"/>
      <c r="AT23" s="935"/>
      <c r="AU23" s="935"/>
      <c r="AV23" s="935"/>
      <c r="AW23" s="935"/>
      <c r="AX23" s="935"/>
      <c r="AY23" s="935"/>
      <c r="AZ23" s="935"/>
      <c r="BA23" s="935"/>
      <c r="BB23" s="935"/>
      <c r="BC23" s="935"/>
      <c r="BD23" s="936"/>
      <c r="BE23" s="216" t="s">
        <v>346</v>
      </c>
      <c r="BF23" s="217"/>
      <c r="BG23" s="218">
        <v>10</v>
      </c>
      <c r="BH23" s="219"/>
      <c r="BI23" s="217"/>
      <c r="BJ23" s="220">
        <v>217.1</v>
      </c>
      <c r="BK23" s="221"/>
      <c r="BL23" s="222"/>
    </row>
    <row r="24" spans="1:64" ht="18.95" customHeight="1">
      <c r="A24" s="921"/>
      <c r="B24" s="921"/>
      <c r="C24" s="921"/>
      <c r="D24" s="921"/>
      <c r="E24" s="921"/>
      <c r="F24" s="921"/>
      <c r="G24" s="921"/>
      <c r="H24" s="921"/>
      <c r="I24" s="921"/>
      <c r="J24" s="921"/>
      <c r="K24" s="921"/>
      <c r="L24" s="921"/>
      <c r="M24" s="921"/>
      <c r="N24" s="921"/>
      <c r="O24" s="965" t="s">
        <v>788</v>
      </c>
      <c r="P24" s="933"/>
      <c r="Q24" s="933"/>
      <c r="R24" s="933"/>
      <c r="S24" s="1004"/>
      <c r="T24" s="933"/>
      <c r="U24" s="933"/>
      <c r="V24" s="935"/>
      <c r="W24" s="948"/>
      <c r="X24" s="948"/>
      <c r="Y24" s="948"/>
      <c r="Z24" s="948"/>
      <c r="AA24" s="948"/>
      <c r="AB24" s="948"/>
      <c r="AC24" s="948"/>
      <c r="AD24" s="948"/>
      <c r="AE24" s="948"/>
      <c r="AF24" s="935"/>
      <c r="AG24" s="933"/>
      <c r="AH24" s="933"/>
      <c r="AI24" s="933"/>
      <c r="AJ24" s="933"/>
      <c r="AK24" s="933"/>
      <c r="AL24" s="933"/>
      <c r="AM24" s="933"/>
      <c r="AN24" s="933"/>
      <c r="AO24" s="933"/>
      <c r="AP24" s="935"/>
      <c r="AQ24" s="935"/>
      <c r="AR24" s="935"/>
      <c r="AS24" s="935"/>
      <c r="AT24" s="935"/>
      <c r="AU24" s="935"/>
      <c r="AV24" s="935"/>
      <c r="AW24" s="935"/>
      <c r="AX24" s="935"/>
      <c r="AY24" s="935"/>
      <c r="AZ24" s="935"/>
      <c r="BA24" s="935"/>
      <c r="BB24" s="935"/>
      <c r="BC24" s="935"/>
      <c r="BD24" s="936"/>
      <c r="BE24" s="216" t="s">
        <v>346</v>
      </c>
      <c r="BF24" s="217"/>
      <c r="BG24" s="218">
        <v>20</v>
      </c>
      <c r="BH24" s="219"/>
      <c r="BI24" s="217"/>
      <c r="BJ24" s="220">
        <v>254</v>
      </c>
      <c r="BK24" s="221"/>
      <c r="BL24" s="222"/>
    </row>
    <row r="25" spans="1:64" ht="18.95" customHeight="1">
      <c r="A25" s="921"/>
      <c r="B25" s="921"/>
      <c r="C25" s="921"/>
      <c r="D25" s="921" t="s">
        <v>789</v>
      </c>
      <c r="E25" s="921"/>
      <c r="F25" s="1009">
        <f t="array" ref="F25">MAX(IF(($BE$2:$BE$85=L26)*($BG$2:$BG$85=M26),$BJ$2:$BJ$85,""))</f>
        <v>309.5</v>
      </c>
      <c r="G25" s="1010"/>
      <c r="H25" s="1272" t="s">
        <v>719</v>
      </c>
      <c r="I25" s="1272"/>
      <c r="J25" s="921"/>
      <c r="K25" s="921"/>
      <c r="L25" s="1011" t="s">
        <v>417</v>
      </c>
      <c r="M25" s="1012" t="s">
        <v>418</v>
      </c>
      <c r="N25" s="1013"/>
      <c r="O25" s="1003" t="s">
        <v>338</v>
      </c>
      <c r="P25" s="933" t="str">
        <f>" 1/"&amp;Q15&amp;"×"&amp;S23&amp;"^ ⅔×"&amp;S14&amp;" ^½ ="</f>
        <v xml:space="preserve"> 1/0.013×0.256^ ⅔×0.1 ^½ =</v>
      </c>
      <c r="Q25" s="933"/>
      <c r="R25" s="933"/>
      <c r="S25" s="1004">
        <f>ROUND(1/Q15*S23^(2/3)*S14^(1/2),3)</f>
        <v>9.8070000000000004</v>
      </c>
      <c r="T25" s="933" t="s">
        <v>727</v>
      </c>
      <c r="U25" s="933"/>
      <c r="V25" s="935"/>
      <c r="W25" s="948"/>
      <c r="X25" s="948"/>
      <c r="Y25" s="948"/>
      <c r="Z25" s="948"/>
      <c r="AA25" s="948"/>
      <c r="AB25" s="948"/>
      <c r="AC25" s="948"/>
      <c r="AD25" s="948"/>
      <c r="AE25" s="948"/>
      <c r="AF25" s="935"/>
      <c r="AG25" s="933"/>
      <c r="AH25" s="933"/>
      <c r="AI25" s="933"/>
      <c r="AJ25" s="933"/>
      <c r="AK25" s="933"/>
      <c r="AL25" s="933"/>
      <c r="AM25" s="933"/>
      <c r="AN25" s="933"/>
      <c r="AO25" s="933"/>
      <c r="AP25" s="935"/>
      <c r="AQ25" s="935"/>
      <c r="AR25" s="935"/>
      <c r="AS25" s="935"/>
      <c r="AT25" s="935"/>
      <c r="AU25" s="935"/>
      <c r="AV25" s="935"/>
      <c r="AW25" s="935"/>
      <c r="AX25" s="935"/>
      <c r="AY25" s="935"/>
      <c r="AZ25" s="935"/>
      <c r="BA25" s="935"/>
      <c r="BB25" s="935"/>
      <c r="BC25" s="935"/>
      <c r="BD25" s="936"/>
      <c r="BE25" s="216" t="s">
        <v>346</v>
      </c>
      <c r="BF25" s="217"/>
      <c r="BG25" s="218">
        <v>30</v>
      </c>
      <c r="BH25" s="219"/>
      <c r="BI25" s="217"/>
      <c r="BJ25" s="220">
        <v>275.2</v>
      </c>
      <c r="BK25" s="221"/>
      <c r="BL25" s="222"/>
    </row>
    <row r="26" spans="1:64" ht="18.95" customHeight="1">
      <c r="A26" s="921"/>
      <c r="B26" s="921"/>
      <c r="C26" s="921"/>
      <c r="D26" s="921"/>
      <c r="E26" s="921"/>
      <c r="F26" s="1010"/>
      <c r="G26" s="1010"/>
      <c r="H26" s="1014"/>
      <c r="I26" s="1014"/>
      <c r="J26" s="921"/>
      <c r="K26" s="921"/>
      <c r="L26" s="1015" t="s">
        <v>503</v>
      </c>
      <c r="M26" s="1016">
        <v>100</v>
      </c>
      <c r="N26" s="1017"/>
      <c r="O26" s="965" t="s">
        <v>790</v>
      </c>
      <c r="P26" s="933"/>
      <c r="Q26" s="933"/>
      <c r="R26" s="933"/>
      <c r="S26" s="933"/>
      <c r="T26" s="933"/>
      <c r="U26" s="933"/>
      <c r="V26" s="935"/>
      <c r="W26" s="948"/>
      <c r="X26" s="948"/>
      <c r="Y26" s="948"/>
      <c r="Z26" s="948"/>
      <c r="AA26" s="948"/>
      <c r="AB26" s="948"/>
      <c r="AC26" s="948"/>
      <c r="AD26" s="948"/>
      <c r="AE26" s="948"/>
      <c r="AF26" s="935"/>
      <c r="AG26" s="933"/>
      <c r="AH26" s="933"/>
      <c r="AI26" s="933"/>
      <c r="AJ26" s="933"/>
      <c r="AK26" s="933"/>
      <c r="AL26" s="933"/>
      <c r="AM26" s="933"/>
      <c r="AN26" s="933"/>
      <c r="AO26" s="933"/>
      <c r="AP26" s="935"/>
      <c r="AQ26" s="935"/>
      <c r="AR26" s="935"/>
      <c r="AS26" s="935"/>
      <c r="AT26" s="935"/>
      <c r="AU26" s="935"/>
      <c r="AV26" s="935"/>
      <c r="AW26" s="935"/>
      <c r="AX26" s="935"/>
      <c r="AY26" s="935"/>
      <c r="AZ26" s="935"/>
      <c r="BA26" s="935"/>
      <c r="BB26" s="935"/>
      <c r="BC26" s="935"/>
      <c r="BD26" s="936"/>
      <c r="BE26" s="216" t="s">
        <v>791</v>
      </c>
      <c r="BF26" s="217"/>
      <c r="BG26" s="218">
        <v>50</v>
      </c>
      <c r="BH26" s="219"/>
      <c r="BI26" s="217"/>
      <c r="BJ26" s="220">
        <v>301.7</v>
      </c>
      <c r="BK26" s="221"/>
      <c r="BL26" s="222"/>
    </row>
    <row r="27" spans="1:64" ht="18.95" customHeight="1">
      <c r="A27" s="921"/>
      <c r="B27" s="921"/>
      <c r="C27" s="921"/>
      <c r="D27" s="921"/>
      <c r="E27" s="921"/>
      <c r="F27" s="1010"/>
      <c r="G27" s="1010"/>
      <c r="H27" s="1014"/>
      <c r="I27" s="1014"/>
      <c r="J27" s="921"/>
      <c r="K27" s="921"/>
      <c r="L27" s="1018"/>
      <c r="M27" s="1018"/>
      <c r="N27" s="1018"/>
      <c r="O27" s="1019" t="str">
        <f>"  Q  =  A × V  =  "&amp;FIXED(S20,3)&amp;" × "&amp;FIXED(S25,3)&amp;"  ="</f>
        <v xml:space="preserve">  Q  =  A × V  =  2.700 × 9.807  =</v>
      </c>
      <c r="P27" s="933"/>
      <c r="Q27" s="933"/>
      <c r="R27" s="1020">
        <f>ROUND(S20*S25,2)</f>
        <v>26.48</v>
      </c>
      <c r="S27" s="954" t="str">
        <f>"㎥/s &gt; Qd = "&amp;L5&amp;" ㎥/s "</f>
        <v xml:space="preserve">㎥/s &gt; Qd = 4.28 ㎥/s </v>
      </c>
      <c r="T27" s="955"/>
      <c r="U27" s="933"/>
      <c r="V27" s="933"/>
      <c r="W27" s="948"/>
      <c r="X27" s="948"/>
      <c r="Y27" s="948"/>
      <c r="Z27" s="948"/>
      <c r="AA27" s="948"/>
      <c r="AB27" s="948"/>
      <c r="AC27" s="948"/>
      <c r="AD27" s="948"/>
      <c r="AE27" s="948"/>
      <c r="AF27" s="935"/>
      <c r="AG27" s="933"/>
      <c r="AH27" s="933"/>
      <c r="AI27" s="933"/>
      <c r="AJ27" s="933"/>
      <c r="AK27" s="933"/>
      <c r="AL27" s="933"/>
      <c r="AM27" s="933"/>
      <c r="AN27" s="933"/>
      <c r="AO27" s="933"/>
      <c r="AP27" s="935"/>
      <c r="AQ27" s="935"/>
      <c r="AR27" s="935"/>
      <c r="AS27" s="935"/>
      <c r="AT27" s="935"/>
      <c r="AU27" s="935"/>
      <c r="AV27" s="935"/>
      <c r="AW27" s="935"/>
      <c r="AX27" s="935"/>
      <c r="AY27" s="935"/>
      <c r="AZ27" s="935"/>
      <c r="BA27" s="935"/>
      <c r="BB27" s="935"/>
      <c r="BC27" s="935"/>
      <c r="BD27" s="936"/>
      <c r="BE27" s="216" t="s">
        <v>346</v>
      </c>
      <c r="BF27" s="217"/>
      <c r="BG27" s="218">
        <v>70</v>
      </c>
      <c r="BH27" s="219"/>
      <c r="BI27" s="217"/>
      <c r="BJ27" s="220">
        <v>319.10000000000002</v>
      </c>
      <c r="BK27" s="221"/>
      <c r="BL27" s="222"/>
    </row>
    <row r="28" spans="1:64" ht="18.95" customHeight="1">
      <c r="A28" s="921"/>
      <c r="B28" s="921"/>
      <c r="C28" s="921"/>
      <c r="D28" s="893"/>
      <c r="E28" s="921"/>
      <c r="F28" s="921"/>
      <c r="G28" s="921"/>
      <c r="H28" s="921"/>
      <c r="I28" s="921"/>
      <c r="J28" s="921"/>
      <c r="K28" s="921"/>
      <c r="L28" s="921"/>
      <c r="M28" s="921"/>
      <c r="N28" s="921"/>
      <c r="O28" s="1021"/>
      <c r="P28" s="990"/>
      <c r="Q28" s="990"/>
      <c r="R28" s="1022"/>
      <c r="S28" s="1023" t="str">
        <f>"( "&amp;ROUND(R27/L5*100,)&amp;" "</f>
        <v xml:space="preserve">( 619 </v>
      </c>
      <c r="T28" s="1024" t="s">
        <v>340</v>
      </c>
      <c r="U28" s="990"/>
      <c r="V28" s="990"/>
      <c r="W28" s="992"/>
      <c r="X28" s="992"/>
      <c r="Y28" s="992"/>
      <c r="Z28" s="992"/>
      <c r="AA28" s="992"/>
      <c r="AB28" s="992"/>
      <c r="AC28" s="992"/>
      <c r="AD28" s="992"/>
      <c r="AE28" s="992"/>
      <c r="AF28" s="993"/>
      <c r="AG28" s="990"/>
      <c r="AH28" s="990"/>
      <c r="AI28" s="990"/>
      <c r="AJ28" s="990"/>
      <c r="AK28" s="990"/>
      <c r="AL28" s="990"/>
      <c r="AM28" s="990"/>
      <c r="AN28" s="990"/>
      <c r="AO28" s="990"/>
      <c r="AP28" s="993"/>
      <c r="AQ28" s="993"/>
      <c r="AR28" s="993"/>
      <c r="AS28" s="993"/>
      <c r="AT28" s="993"/>
      <c r="AU28" s="993"/>
      <c r="AV28" s="993"/>
      <c r="AW28" s="993"/>
      <c r="AX28" s="993"/>
      <c r="AY28" s="993"/>
      <c r="AZ28" s="993"/>
      <c r="BA28" s="993"/>
      <c r="BB28" s="993"/>
      <c r="BC28" s="993"/>
      <c r="BD28" s="999"/>
      <c r="BE28" s="216" t="s">
        <v>346</v>
      </c>
      <c r="BF28" s="217"/>
      <c r="BG28" s="218">
        <v>80</v>
      </c>
      <c r="BH28" s="219"/>
      <c r="BI28" s="217"/>
      <c r="BJ28" s="220">
        <v>326</v>
      </c>
      <c r="BK28" s="221"/>
      <c r="BL28" s="222"/>
    </row>
    <row r="29" spans="1:64" ht="18.95" customHeight="1">
      <c r="O29" s="1025"/>
      <c r="P29" s="1025"/>
      <c r="Q29" s="1025"/>
      <c r="R29" s="1025"/>
      <c r="S29" s="1025"/>
      <c r="T29" s="1025"/>
      <c r="U29" s="1025"/>
      <c r="V29" s="1025"/>
      <c r="W29" s="1026"/>
      <c r="X29" s="1026"/>
      <c r="Y29" s="1026"/>
      <c r="Z29" s="1026"/>
      <c r="AA29" s="1026"/>
      <c r="AB29" s="1026"/>
      <c r="AC29" s="1026"/>
      <c r="AD29" s="1026"/>
      <c r="AE29" s="1026"/>
      <c r="AF29" s="1027"/>
      <c r="AG29" s="1025"/>
      <c r="AH29" s="1025"/>
      <c r="AI29" s="1025"/>
      <c r="AJ29" s="1025"/>
      <c r="AK29" s="1025"/>
      <c r="AL29" s="1025"/>
      <c r="AM29" s="1025"/>
      <c r="AN29" s="1025"/>
      <c r="AO29" s="1025"/>
      <c r="AP29" s="1027"/>
      <c r="AQ29" s="1027"/>
      <c r="AR29" s="1027"/>
      <c r="AS29" s="1027"/>
      <c r="AT29" s="1027"/>
      <c r="AU29" s="1027"/>
      <c r="AV29" s="1027"/>
      <c r="AW29" s="1027"/>
      <c r="AX29" s="1027"/>
      <c r="AY29" s="1027"/>
      <c r="AZ29" s="1027"/>
      <c r="BA29" s="1027"/>
      <c r="BB29" s="1027"/>
      <c r="BC29" s="1027"/>
      <c r="BD29" s="1027"/>
      <c r="BE29" s="216" t="s">
        <v>715</v>
      </c>
      <c r="BF29" s="217"/>
      <c r="BG29" s="218">
        <v>100</v>
      </c>
      <c r="BH29" s="219"/>
      <c r="BI29" s="217"/>
      <c r="BJ29" s="220">
        <v>337.5</v>
      </c>
      <c r="BK29" s="221"/>
      <c r="BL29" s="222"/>
    </row>
    <row r="30" spans="1:64" ht="18.95" customHeight="1">
      <c r="V30" s="1029"/>
      <c r="W30" s="1030"/>
      <c r="X30" s="1030"/>
      <c r="Y30" s="1030"/>
      <c r="Z30" s="1030"/>
      <c r="AA30" s="1030"/>
      <c r="AB30" s="1030"/>
      <c r="AC30" s="1030"/>
      <c r="AD30" s="1030"/>
      <c r="AE30" s="1030"/>
      <c r="AF30" s="1029"/>
      <c r="AG30" s="1028"/>
      <c r="AH30" s="1028"/>
      <c r="AI30" s="1028"/>
      <c r="AJ30" s="1028"/>
      <c r="AK30" s="1028"/>
      <c r="AL30" s="1028"/>
      <c r="AM30" s="1028"/>
      <c r="AN30" s="1028"/>
      <c r="AO30" s="1028"/>
      <c r="AP30" s="1029"/>
      <c r="AQ30" s="1029"/>
      <c r="AR30" s="1029"/>
      <c r="AS30" s="1029"/>
      <c r="AT30" s="1029"/>
      <c r="AU30" s="1029"/>
      <c r="AV30" s="1029"/>
      <c r="AW30" s="1029"/>
      <c r="AX30" s="1029"/>
      <c r="AY30" s="1029"/>
      <c r="AZ30" s="1029"/>
      <c r="BA30" s="1029"/>
      <c r="BB30" s="1029"/>
      <c r="BC30" s="1029"/>
      <c r="BD30" s="1029"/>
      <c r="BE30" s="216" t="s">
        <v>647</v>
      </c>
      <c r="BF30" s="217"/>
      <c r="BG30" s="218">
        <v>10</v>
      </c>
      <c r="BH30" s="219"/>
      <c r="BI30" s="217"/>
      <c r="BJ30" s="220">
        <v>170.4</v>
      </c>
      <c r="BK30" s="221"/>
      <c r="BL30" s="222"/>
    </row>
    <row r="31" spans="1:64" ht="18.95" customHeight="1">
      <c r="BE31" s="216" t="s">
        <v>347</v>
      </c>
      <c r="BF31" s="217"/>
      <c r="BG31" s="218">
        <v>20</v>
      </c>
      <c r="BH31" s="219"/>
      <c r="BI31" s="217"/>
      <c r="BJ31" s="220">
        <v>196.8</v>
      </c>
      <c r="BK31" s="221"/>
      <c r="BL31" s="222"/>
    </row>
    <row r="32" spans="1:64" ht="18.95" customHeight="1">
      <c r="BE32" s="216" t="s">
        <v>347</v>
      </c>
      <c r="BF32" s="217"/>
      <c r="BG32" s="218">
        <v>30</v>
      </c>
      <c r="BH32" s="219"/>
      <c r="BI32" s="217"/>
      <c r="BJ32" s="220">
        <v>211.2</v>
      </c>
      <c r="BK32" s="221"/>
      <c r="BL32" s="222"/>
    </row>
    <row r="33" spans="57:64" ht="18.95" customHeight="1">
      <c r="BE33" s="216" t="s">
        <v>347</v>
      </c>
      <c r="BF33" s="217"/>
      <c r="BG33" s="218">
        <v>50</v>
      </c>
      <c r="BH33" s="219"/>
      <c r="BI33" s="217"/>
      <c r="BJ33" s="220">
        <v>228</v>
      </c>
      <c r="BK33" s="221"/>
      <c r="BL33" s="222"/>
    </row>
    <row r="34" spans="57:64" ht="18.95" customHeight="1">
      <c r="BE34" s="216" t="s">
        <v>647</v>
      </c>
      <c r="BF34" s="217"/>
      <c r="BG34" s="218">
        <v>70</v>
      </c>
      <c r="BH34" s="219"/>
      <c r="BI34" s="217"/>
      <c r="BJ34" s="220">
        <v>240</v>
      </c>
      <c r="BK34" s="221"/>
      <c r="BL34" s="222"/>
    </row>
    <row r="35" spans="57:64" ht="18.95" customHeight="1">
      <c r="BE35" s="216" t="s">
        <v>347</v>
      </c>
      <c r="BF35" s="217"/>
      <c r="BG35" s="218">
        <v>80</v>
      </c>
      <c r="BH35" s="219"/>
      <c r="BI35" s="217"/>
      <c r="BJ35" s="220">
        <v>244.8</v>
      </c>
      <c r="BK35" s="221"/>
      <c r="BL35" s="222"/>
    </row>
    <row r="36" spans="57:64" ht="18.95" customHeight="1">
      <c r="BE36" s="216" t="s">
        <v>347</v>
      </c>
      <c r="BF36" s="217"/>
      <c r="BG36" s="218">
        <v>100</v>
      </c>
      <c r="BH36" s="219"/>
      <c r="BI36" s="217"/>
      <c r="BJ36" s="220">
        <v>252</v>
      </c>
      <c r="BK36" s="221"/>
      <c r="BL36" s="222"/>
    </row>
    <row r="37" spans="57:64" ht="18.95" customHeight="1">
      <c r="BE37" s="216" t="s">
        <v>348</v>
      </c>
      <c r="BF37" s="217"/>
      <c r="BG37" s="218">
        <v>10</v>
      </c>
      <c r="BH37" s="219"/>
      <c r="BI37" s="217"/>
      <c r="BJ37" s="220">
        <v>233.5</v>
      </c>
      <c r="BK37" s="221"/>
      <c r="BL37" s="222"/>
    </row>
    <row r="38" spans="57:64" ht="18.95" customHeight="1">
      <c r="BE38" s="216" t="s">
        <v>792</v>
      </c>
      <c r="BF38" s="217"/>
      <c r="BG38" s="218">
        <v>20</v>
      </c>
      <c r="BH38" s="219"/>
      <c r="BI38" s="217"/>
      <c r="BJ38" s="220">
        <v>273.89999999999998</v>
      </c>
      <c r="BK38" s="221"/>
      <c r="BL38" s="222"/>
    </row>
    <row r="39" spans="57:64" ht="18.95" customHeight="1">
      <c r="BE39" s="216" t="s">
        <v>793</v>
      </c>
      <c r="BF39" s="217"/>
      <c r="BG39" s="218">
        <v>30</v>
      </c>
      <c r="BH39" s="219"/>
      <c r="BI39" s="217"/>
      <c r="BJ39" s="220">
        <v>297.2</v>
      </c>
      <c r="BK39" s="221"/>
      <c r="BL39" s="222"/>
    </row>
    <row r="40" spans="57:64" ht="18.95" customHeight="1">
      <c r="BE40" s="216" t="s">
        <v>348</v>
      </c>
      <c r="BF40" s="217"/>
      <c r="BG40" s="218">
        <v>50</v>
      </c>
      <c r="BH40" s="219"/>
      <c r="BI40" s="217"/>
      <c r="BJ40" s="220">
        <v>326.3</v>
      </c>
      <c r="BK40" s="221"/>
      <c r="BL40" s="222"/>
    </row>
    <row r="41" spans="57:64" ht="18.95" customHeight="1">
      <c r="BE41" s="216" t="s">
        <v>793</v>
      </c>
      <c r="BF41" s="217"/>
      <c r="BG41" s="218">
        <v>70</v>
      </c>
      <c r="BH41" s="219"/>
      <c r="BI41" s="217"/>
      <c r="BJ41" s="220">
        <v>345.3</v>
      </c>
      <c r="BK41" s="221"/>
      <c r="BL41" s="222"/>
    </row>
    <row r="42" spans="57:64" ht="18.95" customHeight="1">
      <c r="BE42" s="216" t="s">
        <v>348</v>
      </c>
      <c r="BF42" s="217"/>
      <c r="BG42" s="218">
        <v>80</v>
      </c>
      <c r="BH42" s="219"/>
      <c r="BI42" s="217"/>
      <c r="BJ42" s="220">
        <v>352.9</v>
      </c>
      <c r="BK42" s="221"/>
      <c r="BL42" s="222"/>
    </row>
    <row r="43" spans="57:64" ht="18.95" customHeight="1">
      <c r="BE43" s="216" t="s">
        <v>348</v>
      </c>
      <c r="BF43" s="217"/>
      <c r="BG43" s="218">
        <v>100</v>
      </c>
      <c r="BH43" s="219"/>
      <c r="BI43" s="217"/>
      <c r="BJ43" s="220">
        <v>414.2</v>
      </c>
      <c r="BK43" s="221"/>
      <c r="BL43" s="222"/>
    </row>
    <row r="44" spans="57:64" ht="18.95" customHeight="1">
      <c r="BE44" s="216" t="s">
        <v>349</v>
      </c>
      <c r="BF44" s="217"/>
      <c r="BG44" s="218">
        <v>10</v>
      </c>
      <c r="BH44" s="219"/>
      <c r="BI44" s="217"/>
      <c r="BJ44" s="220">
        <v>213.4</v>
      </c>
      <c r="BK44" s="221"/>
      <c r="BL44" s="222"/>
    </row>
    <row r="45" spans="57:64" ht="18.95" customHeight="1">
      <c r="BE45" s="216" t="s">
        <v>734</v>
      </c>
      <c r="BF45" s="217"/>
      <c r="BG45" s="218">
        <v>20</v>
      </c>
      <c r="BH45" s="219"/>
      <c r="BI45" s="217"/>
      <c r="BJ45" s="220">
        <v>245.8</v>
      </c>
      <c r="BK45" s="221"/>
      <c r="BL45" s="222"/>
    </row>
    <row r="46" spans="57:64" ht="18.95" customHeight="1">
      <c r="BE46" s="216" t="s">
        <v>349</v>
      </c>
      <c r="BF46" s="217"/>
      <c r="BG46" s="218">
        <v>30</v>
      </c>
      <c r="BH46" s="219"/>
      <c r="BI46" s="217"/>
      <c r="BJ46" s="220">
        <v>264.39999999999998</v>
      </c>
      <c r="BK46" s="221"/>
      <c r="BL46" s="222"/>
    </row>
    <row r="47" spans="57:64" ht="18.95" customHeight="1">
      <c r="BE47" s="216" t="s">
        <v>349</v>
      </c>
      <c r="BF47" s="217"/>
      <c r="BG47" s="218">
        <v>50</v>
      </c>
      <c r="BH47" s="219"/>
      <c r="BI47" s="217"/>
      <c r="BJ47" s="220">
        <v>287.7</v>
      </c>
      <c r="BK47" s="221"/>
      <c r="BL47" s="222"/>
    </row>
    <row r="48" spans="57:64" ht="18.95" customHeight="1">
      <c r="BE48" s="216" t="s">
        <v>349</v>
      </c>
      <c r="BF48" s="217"/>
      <c r="BG48" s="218">
        <v>70</v>
      </c>
      <c r="BH48" s="219"/>
      <c r="BI48" s="217"/>
      <c r="BJ48" s="220">
        <v>302.89999999999998</v>
      </c>
      <c r="BK48" s="221"/>
      <c r="BL48" s="222"/>
    </row>
    <row r="49" spans="57:64" ht="18.95" customHeight="1">
      <c r="BE49" s="216" t="s">
        <v>349</v>
      </c>
      <c r="BF49" s="217"/>
      <c r="BG49" s="218">
        <v>80</v>
      </c>
      <c r="BH49" s="219"/>
      <c r="BI49" s="217"/>
      <c r="BJ49" s="220">
        <v>309</v>
      </c>
      <c r="BK49" s="221"/>
      <c r="BL49" s="222"/>
    </row>
    <row r="50" spans="57:64" ht="18.95" customHeight="1">
      <c r="BE50" s="216" t="s">
        <v>349</v>
      </c>
      <c r="BF50" s="217"/>
      <c r="BG50" s="218">
        <v>100</v>
      </c>
      <c r="BH50" s="219"/>
      <c r="BI50" s="217"/>
      <c r="BJ50" s="220">
        <v>319.10000000000002</v>
      </c>
      <c r="BK50" s="221"/>
      <c r="BL50" s="222"/>
    </row>
    <row r="51" spans="57:64" ht="18.95" customHeight="1">
      <c r="BE51" s="216" t="s">
        <v>794</v>
      </c>
      <c r="BF51" s="217"/>
      <c r="BG51" s="218">
        <v>10</v>
      </c>
      <c r="BH51" s="219"/>
      <c r="BI51" s="217"/>
      <c r="BJ51" s="220">
        <v>154.5</v>
      </c>
      <c r="BK51" s="221"/>
      <c r="BL51" s="222"/>
    </row>
    <row r="52" spans="57:64" ht="18.95" customHeight="1">
      <c r="BE52" s="216" t="s">
        <v>651</v>
      </c>
      <c r="BF52" s="217"/>
      <c r="BG52" s="218">
        <v>20</v>
      </c>
      <c r="BH52" s="219"/>
      <c r="BI52" s="217"/>
      <c r="BJ52" s="220">
        <v>173.6</v>
      </c>
      <c r="BK52" s="221"/>
      <c r="BL52" s="222"/>
    </row>
    <row r="53" spans="57:64" ht="18.95" customHeight="1">
      <c r="BE53" s="216" t="s">
        <v>350</v>
      </c>
      <c r="BF53" s="217"/>
      <c r="BG53" s="218">
        <v>30</v>
      </c>
      <c r="BH53" s="219"/>
      <c r="BI53" s="217"/>
      <c r="BJ53" s="220">
        <v>184.6</v>
      </c>
      <c r="BK53" s="221"/>
      <c r="BL53" s="222"/>
    </row>
    <row r="54" spans="57:64" ht="18.95" customHeight="1">
      <c r="BE54" s="216" t="s">
        <v>350</v>
      </c>
      <c r="BF54" s="217"/>
      <c r="BG54" s="218">
        <v>50</v>
      </c>
      <c r="BH54" s="219"/>
      <c r="BI54" s="217"/>
      <c r="BJ54" s="220">
        <v>198.3</v>
      </c>
      <c r="BK54" s="221"/>
      <c r="BL54" s="222"/>
    </row>
    <row r="55" spans="57:64" ht="18.95" customHeight="1">
      <c r="BE55" s="216" t="s">
        <v>651</v>
      </c>
      <c r="BF55" s="217"/>
      <c r="BG55" s="218">
        <v>70</v>
      </c>
      <c r="BH55" s="219"/>
      <c r="BI55" s="217"/>
      <c r="BJ55" s="220">
        <v>207.3</v>
      </c>
      <c r="BK55" s="221"/>
      <c r="BL55" s="222"/>
    </row>
    <row r="56" spans="57:64" ht="18.95" customHeight="1">
      <c r="BE56" s="216" t="s">
        <v>794</v>
      </c>
      <c r="BF56" s="217"/>
      <c r="BG56" s="218">
        <v>80</v>
      </c>
      <c r="BH56" s="219"/>
      <c r="BI56" s="217"/>
      <c r="BJ56" s="220">
        <v>210.9</v>
      </c>
      <c r="BK56" s="221"/>
      <c r="BL56" s="222"/>
    </row>
    <row r="57" spans="57:64" ht="18.95" customHeight="1">
      <c r="BE57" s="216" t="s">
        <v>794</v>
      </c>
      <c r="BF57" s="217"/>
      <c r="BG57" s="218">
        <v>100</v>
      </c>
      <c r="BH57" s="219"/>
      <c r="BI57" s="217"/>
      <c r="BJ57" s="220">
        <v>237.6</v>
      </c>
      <c r="BK57" s="221"/>
      <c r="BL57" s="222"/>
    </row>
    <row r="58" spans="57:64" ht="18.95" customHeight="1">
      <c r="BE58" s="216" t="s">
        <v>737</v>
      </c>
      <c r="BF58" s="217"/>
      <c r="BG58" s="218">
        <v>10</v>
      </c>
      <c r="BH58" s="219"/>
      <c r="BI58" s="217"/>
      <c r="BJ58" s="220">
        <v>172.2</v>
      </c>
      <c r="BK58" s="221"/>
      <c r="BL58" s="222"/>
    </row>
    <row r="59" spans="57:64" ht="18.95" customHeight="1">
      <c r="BE59" s="216" t="s">
        <v>737</v>
      </c>
      <c r="BF59" s="217"/>
      <c r="BG59" s="218">
        <v>20</v>
      </c>
      <c r="BH59" s="219"/>
      <c r="BI59" s="217"/>
      <c r="BJ59" s="220">
        <v>197.2</v>
      </c>
      <c r="BK59" s="221"/>
      <c r="BL59" s="222"/>
    </row>
    <row r="60" spans="57:64" ht="18.95" customHeight="1">
      <c r="BE60" s="216" t="s">
        <v>795</v>
      </c>
      <c r="BF60" s="217"/>
      <c r="BG60" s="218">
        <v>30</v>
      </c>
      <c r="BH60" s="219"/>
      <c r="BI60" s="217"/>
      <c r="BJ60" s="220">
        <v>211.6</v>
      </c>
      <c r="BK60" s="221"/>
      <c r="BL60" s="222"/>
    </row>
    <row r="61" spans="57:64" ht="18.95" customHeight="1">
      <c r="BE61" s="216" t="s">
        <v>796</v>
      </c>
      <c r="BF61" s="217"/>
      <c r="BG61" s="218">
        <v>50</v>
      </c>
      <c r="BH61" s="219"/>
      <c r="BI61" s="217"/>
      <c r="BJ61" s="220">
        <v>229.6</v>
      </c>
      <c r="BK61" s="221"/>
      <c r="BL61" s="222"/>
    </row>
    <row r="62" spans="57:64" ht="18.95" customHeight="1">
      <c r="BE62" s="216" t="s">
        <v>351</v>
      </c>
      <c r="BF62" s="217"/>
      <c r="BG62" s="218">
        <v>70</v>
      </c>
      <c r="BH62" s="219"/>
      <c r="BI62" s="217"/>
      <c r="BJ62" s="220">
        <v>241.4</v>
      </c>
      <c r="BK62" s="221"/>
      <c r="BL62" s="222"/>
    </row>
    <row r="63" spans="57:64" ht="18.95" customHeight="1">
      <c r="BE63" s="216" t="s">
        <v>351</v>
      </c>
      <c r="BF63" s="217"/>
      <c r="BG63" s="218">
        <v>80</v>
      </c>
      <c r="BH63" s="219"/>
      <c r="BI63" s="217"/>
      <c r="BJ63" s="220">
        <v>246.1</v>
      </c>
      <c r="BK63" s="221"/>
      <c r="BL63" s="222"/>
    </row>
    <row r="64" spans="57:64" ht="18.95" customHeight="1">
      <c r="BE64" s="216" t="s">
        <v>737</v>
      </c>
      <c r="BF64" s="217"/>
      <c r="BG64" s="218">
        <v>100</v>
      </c>
      <c r="BH64" s="219"/>
      <c r="BI64" s="217"/>
      <c r="BJ64" s="220">
        <v>253.9</v>
      </c>
      <c r="BK64" s="221"/>
      <c r="BL64" s="222"/>
    </row>
    <row r="65" spans="57:64" ht="18.95" customHeight="1">
      <c r="BE65" s="216" t="s">
        <v>352</v>
      </c>
      <c r="BF65" s="217"/>
      <c r="BG65" s="218">
        <v>10</v>
      </c>
      <c r="BH65" s="219"/>
      <c r="BI65" s="217"/>
      <c r="BJ65" s="220">
        <v>149.19999999999999</v>
      </c>
      <c r="BK65" s="221"/>
      <c r="BL65" s="222"/>
    </row>
    <row r="66" spans="57:64" ht="18.95" customHeight="1">
      <c r="BE66" s="216" t="s">
        <v>656</v>
      </c>
      <c r="BF66" s="217"/>
      <c r="BG66" s="218">
        <v>20</v>
      </c>
      <c r="BH66" s="219"/>
      <c r="BI66" s="217"/>
      <c r="BJ66" s="220">
        <v>168.1</v>
      </c>
      <c r="BK66" s="221"/>
      <c r="BL66" s="222"/>
    </row>
    <row r="67" spans="57:64" ht="18.95" customHeight="1">
      <c r="BE67" s="216" t="s">
        <v>797</v>
      </c>
      <c r="BF67" s="217"/>
      <c r="BG67" s="218">
        <v>30</v>
      </c>
      <c r="BH67" s="219"/>
      <c r="BI67" s="217"/>
      <c r="BJ67" s="220">
        <v>179.1</v>
      </c>
      <c r="BK67" s="221"/>
      <c r="BL67" s="222"/>
    </row>
    <row r="68" spans="57:64" ht="18.95" customHeight="1">
      <c r="BE68" s="216" t="s">
        <v>352</v>
      </c>
      <c r="BF68" s="217"/>
      <c r="BG68" s="218">
        <v>50</v>
      </c>
      <c r="BH68" s="219"/>
      <c r="BI68" s="217"/>
      <c r="BJ68" s="220">
        <v>192.7</v>
      </c>
      <c r="BK68" s="221"/>
      <c r="BL68" s="222"/>
    </row>
    <row r="69" spans="57:64" ht="18.95" customHeight="1">
      <c r="BE69" s="216" t="s">
        <v>352</v>
      </c>
      <c r="BF69" s="217"/>
      <c r="BG69" s="218">
        <v>70</v>
      </c>
      <c r="BH69" s="219"/>
      <c r="BI69" s="217"/>
      <c r="BJ69" s="220">
        <v>201.6</v>
      </c>
      <c r="BK69" s="221"/>
      <c r="BL69" s="222"/>
    </row>
    <row r="70" spans="57:64" ht="18.95" customHeight="1">
      <c r="BE70" s="216" t="s">
        <v>352</v>
      </c>
      <c r="BF70" s="217"/>
      <c r="BG70" s="218">
        <v>80</v>
      </c>
      <c r="BH70" s="219"/>
      <c r="BI70" s="217"/>
      <c r="BJ70" s="220">
        <v>205.2</v>
      </c>
      <c r="BK70" s="221"/>
      <c r="BL70" s="222"/>
    </row>
    <row r="71" spans="57:64" ht="18.95" customHeight="1">
      <c r="BE71" s="216" t="s">
        <v>798</v>
      </c>
      <c r="BF71" s="217"/>
      <c r="BG71" s="218">
        <v>100</v>
      </c>
      <c r="BH71" s="219"/>
      <c r="BI71" s="217"/>
      <c r="BJ71" s="220">
        <v>211.1</v>
      </c>
      <c r="BK71" s="221"/>
      <c r="BL71" s="222"/>
    </row>
    <row r="72" spans="57:64" ht="18.95" customHeight="1">
      <c r="BE72" s="216" t="s">
        <v>353</v>
      </c>
      <c r="BF72" s="217"/>
      <c r="BG72" s="218">
        <v>10</v>
      </c>
      <c r="BH72" s="219"/>
      <c r="BI72" s="217"/>
      <c r="BJ72" s="220">
        <v>147.4</v>
      </c>
      <c r="BK72" s="221"/>
      <c r="BL72" s="222"/>
    </row>
    <row r="73" spans="57:64" ht="18.95" customHeight="1">
      <c r="BE73" s="216" t="s">
        <v>353</v>
      </c>
      <c r="BF73" s="217"/>
      <c r="BG73" s="218">
        <v>20</v>
      </c>
      <c r="BH73" s="219"/>
      <c r="BI73" s="217"/>
      <c r="BJ73" s="220">
        <v>164.7</v>
      </c>
      <c r="BK73" s="221"/>
      <c r="BL73" s="222"/>
    </row>
    <row r="74" spans="57:64" ht="18.95" customHeight="1">
      <c r="BE74" s="216" t="s">
        <v>353</v>
      </c>
      <c r="BF74" s="217"/>
      <c r="BG74" s="218">
        <v>30</v>
      </c>
      <c r="BH74" s="219"/>
      <c r="BI74" s="217"/>
      <c r="BJ74" s="220">
        <v>174.6</v>
      </c>
      <c r="BK74" s="221"/>
      <c r="BL74" s="222"/>
    </row>
    <row r="75" spans="57:64" ht="18.95" customHeight="1">
      <c r="BE75" s="216" t="s">
        <v>353</v>
      </c>
      <c r="BF75" s="217"/>
      <c r="BG75" s="218">
        <v>50</v>
      </c>
      <c r="BH75" s="219"/>
      <c r="BI75" s="217"/>
      <c r="BJ75" s="220">
        <v>187</v>
      </c>
      <c r="BK75" s="221"/>
      <c r="BL75" s="222"/>
    </row>
    <row r="76" spans="57:64" ht="18.95" customHeight="1">
      <c r="BE76" s="216" t="s">
        <v>353</v>
      </c>
      <c r="BF76" s="217"/>
      <c r="BG76" s="218">
        <v>70</v>
      </c>
      <c r="BH76" s="219"/>
      <c r="BI76" s="217"/>
      <c r="BJ76" s="220">
        <v>195.2</v>
      </c>
      <c r="BK76" s="221"/>
      <c r="BL76" s="222"/>
    </row>
    <row r="77" spans="57:64" ht="18.95" customHeight="1">
      <c r="BE77" s="216" t="s">
        <v>739</v>
      </c>
      <c r="BF77" s="217"/>
      <c r="BG77" s="218">
        <v>80</v>
      </c>
      <c r="BH77" s="219"/>
      <c r="BI77" s="217"/>
      <c r="BJ77" s="220">
        <v>198.4</v>
      </c>
      <c r="BK77" s="221"/>
      <c r="BL77" s="222"/>
    </row>
    <row r="78" spans="57:64" ht="18.95" customHeight="1">
      <c r="BE78" s="216" t="s">
        <v>353</v>
      </c>
      <c r="BF78" s="217"/>
      <c r="BG78" s="218">
        <v>100</v>
      </c>
      <c r="BH78" s="219"/>
      <c r="BI78" s="217"/>
      <c r="BJ78" s="220">
        <v>203.8</v>
      </c>
      <c r="BK78" s="221"/>
      <c r="BL78" s="222"/>
    </row>
    <row r="79" spans="57:64" ht="18.95" customHeight="1">
      <c r="BE79" s="216" t="s">
        <v>799</v>
      </c>
      <c r="BF79" s="217"/>
      <c r="BG79" s="218">
        <v>10</v>
      </c>
      <c r="BH79" s="219"/>
      <c r="BI79" s="217"/>
      <c r="BJ79" s="220">
        <v>168.1</v>
      </c>
      <c r="BK79" s="221"/>
      <c r="BL79" s="222"/>
    </row>
    <row r="80" spans="57:64" ht="18.95" customHeight="1">
      <c r="BE80" s="216" t="s">
        <v>354</v>
      </c>
      <c r="BF80" s="217"/>
      <c r="BG80" s="218">
        <v>20</v>
      </c>
      <c r="BH80" s="219"/>
      <c r="BI80" s="217"/>
      <c r="BJ80" s="220">
        <v>188.2</v>
      </c>
      <c r="BK80" s="221"/>
      <c r="BL80" s="222"/>
    </row>
    <row r="81" spans="57:64" ht="18.95" customHeight="1">
      <c r="BE81" s="216" t="s">
        <v>799</v>
      </c>
      <c r="BF81" s="217"/>
      <c r="BG81" s="218">
        <v>30</v>
      </c>
      <c r="BH81" s="219"/>
      <c r="BI81" s="217"/>
      <c r="BJ81" s="220">
        <v>199.7</v>
      </c>
      <c r="BK81" s="221"/>
      <c r="BL81" s="222"/>
    </row>
    <row r="82" spans="57:64" ht="18.95" customHeight="1">
      <c r="BE82" s="216" t="s">
        <v>799</v>
      </c>
      <c r="BF82" s="217"/>
      <c r="BG82" s="218">
        <v>50</v>
      </c>
      <c r="BH82" s="219"/>
      <c r="BI82" s="217"/>
      <c r="BJ82" s="220">
        <v>214.2</v>
      </c>
      <c r="BK82" s="221"/>
      <c r="BL82" s="222"/>
    </row>
    <row r="83" spans="57:64" ht="18.95" customHeight="1">
      <c r="BE83" s="216" t="s">
        <v>354</v>
      </c>
      <c r="BF83" s="217"/>
      <c r="BG83" s="218">
        <v>70</v>
      </c>
      <c r="BH83" s="219"/>
      <c r="BI83" s="217"/>
      <c r="BJ83" s="220">
        <v>223.6</v>
      </c>
      <c r="BK83" s="221"/>
      <c r="BL83" s="222"/>
    </row>
    <row r="84" spans="57:64" ht="18.95" customHeight="1">
      <c r="BE84" s="216" t="s">
        <v>354</v>
      </c>
      <c r="BF84" s="217"/>
      <c r="BG84" s="218">
        <v>80</v>
      </c>
      <c r="BH84" s="219"/>
      <c r="BI84" s="217"/>
      <c r="BJ84" s="220">
        <v>227.4</v>
      </c>
      <c r="BK84" s="221"/>
      <c r="BL84" s="222"/>
    </row>
    <row r="85" spans="57:64" ht="18.95" customHeight="1">
      <c r="BE85" s="216" t="s">
        <v>354</v>
      </c>
      <c r="BF85" s="217"/>
      <c r="BG85" s="218">
        <v>100</v>
      </c>
      <c r="BH85" s="219"/>
      <c r="BI85" s="217"/>
      <c r="BJ85" s="220">
        <v>233.6</v>
      </c>
      <c r="BK85" s="221"/>
      <c r="BL85" s="222"/>
    </row>
    <row r="86" spans="57:64" ht="18.95" customHeight="1">
      <c r="BE86" s="214"/>
      <c r="BF86" s="214"/>
      <c r="BG86" s="214"/>
      <c r="BH86" s="214"/>
      <c r="BI86" s="214"/>
      <c r="BJ86" s="214"/>
      <c r="BK86" s="214"/>
      <c r="BL86" s="214"/>
    </row>
    <row r="87" spans="57:64" ht="18.95" customHeight="1">
      <c r="BE87" s="214"/>
      <c r="BF87" s="214"/>
      <c r="BG87" s="214"/>
      <c r="BH87" s="214"/>
      <c r="BI87" s="214"/>
      <c r="BJ87" s="214"/>
      <c r="BK87" s="214"/>
      <c r="BL87" s="214"/>
    </row>
    <row r="88" spans="57:64" ht="18.95" customHeight="1">
      <c r="BE88" s="214"/>
      <c r="BF88" s="214"/>
      <c r="BG88" s="214"/>
      <c r="BH88" s="214"/>
      <c r="BI88" s="214"/>
      <c r="BJ88" s="214"/>
      <c r="BK88" s="214"/>
      <c r="BL88" s="214"/>
    </row>
    <row r="89" spans="57:64" ht="18.95" customHeight="1">
      <c r="BE89" s="214"/>
      <c r="BF89" s="214"/>
      <c r="BG89" s="214"/>
      <c r="BH89" s="214"/>
      <c r="BI89" s="214"/>
      <c r="BJ89" s="214"/>
      <c r="BK89" s="214"/>
      <c r="BL89" s="214"/>
    </row>
    <row r="90" spans="57:64" ht="18.95" customHeight="1">
      <c r="BE90" s="214"/>
      <c r="BF90" s="214"/>
      <c r="BG90" s="214"/>
      <c r="BH90" s="214"/>
      <c r="BI90" s="214"/>
      <c r="BJ90" s="214"/>
      <c r="BK90" s="214"/>
      <c r="BL90" s="214"/>
    </row>
    <row r="91" spans="57:64" ht="18.95" customHeight="1">
      <c r="BE91" s="214"/>
      <c r="BF91" s="214"/>
      <c r="BG91" s="214"/>
      <c r="BH91" s="214"/>
      <c r="BI91" s="214"/>
      <c r="BJ91" s="214"/>
      <c r="BK91" s="214"/>
      <c r="BL91" s="214"/>
    </row>
    <row r="92" spans="57:64" ht="18.95" customHeight="1">
      <c r="BE92" s="214"/>
      <c r="BF92" s="214"/>
      <c r="BG92" s="214"/>
      <c r="BH92" s="214"/>
      <c r="BI92" s="214"/>
      <c r="BJ92" s="214"/>
      <c r="BK92" s="214"/>
      <c r="BL92" s="214"/>
    </row>
    <row r="93" spans="57:64" ht="18.95" customHeight="1">
      <c r="BE93" s="214"/>
      <c r="BF93" s="214"/>
      <c r="BG93" s="214"/>
      <c r="BH93" s="214"/>
      <c r="BI93" s="214"/>
      <c r="BJ93" s="214"/>
      <c r="BK93" s="214"/>
      <c r="BL93" s="214"/>
    </row>
    <row r="94" spans="57:64" ht="18.95" customHeight="1">
      <c r="BE94" s="214"/>
      <c r="BF94" s="214"/>
      <c r="BG94" s="214"/>
      <c r="BH94" s="214"/>
      <c r="BI94" s="214"/>
      <c r="BJ94" s="214"/>
      <c r="BK94" s="214"/>
      <c r="BL94" s="214"/>
    </row>
    <row r="95" spans="57:64" ht="18.95" customHeight="1">
      <c r="BE95" s="214"/>
      <c r="BF95" s="214"/>
      <c r="BG95" s="214"/>
      <c r="BH95" s="214"/>
      <c r="BI95" s="214"/>
      <c r="BJ95" s="214"/>
      <c r="BK95" s="214"/>
      <c r="BL95" s="214"/>
    </row>
    <row r="96" spans="57:64" ht="18.95" customHeight="1">
      <c r="BE96" s="214"/>
      <c r="BF96" s="214"/>
      <c r="BG96" s="214"/>
      <c r="BH96" s="214"/>
      <c r="BI96" s="214"/>
      <c r="BJ96" s="214"/>
      <c r="BK96" s="214"/>
      <c r="BL96" s="214"/>
    </row>
    <row r="97" spans="57:64" ht="18.95" customHeight="1">
      <c r="BE97" s="214"/>
      <c r="BF97" s="214"/>
      <c r="BG97" s="214"/>
      <c r="BH97" s="214"/>
      <c r="BI97" s="214"/>
      <c r="BJ97" s="214"/>
      <c r="BK97" s="214"/>
      <c r="BL97" s="214"/>
    </row>
    <row r="98" spans="57:64" ht="18.95" customHeight="1">
      <c r="BE98" s="214"/>
      <c r="BF98" s="214"/>
      <c r="BG98" s="214"/>
      <c r="BH98" s="214"/>
      <c r="BI98" s="214"/>
      <c r="BJ98" s="214"/>
      <c r="BK98" s="214"/>
      <c r="BL98" s="214"/>
    </row>
    <row r="99" spans="57:64" ht="18.95" customHeight="1">
      <c r="BE99" s="214"/>
      <c r="BF99" s="214"/>
      <c r="BG99" s="214"/>
      <c r="BH99" s="214"/>
      <c r="BI99" s="214"/>
      <c r="BJ99" s="214"/>
      <c r="BK99" s="214"/>
      <c r="BL99" s="214"/>
    </row>
    <row r="100" spans="57:64" ht="18.95" customHeight="1">
      <c r="BE100" s="214"/>
      <c r="BF100" s="214"/>
      <c r="BG100" s="214"/>
      <c r="BH100" s="214"/>
      <c r="BI100" s="214"/>
      <c r="BJ100" s="214"/>
      <c r="BK100" s="214"/>
      <c r="BL100" s="214"/>
    </row>
    <row r="101" spans="57:64" ht="18.95" customHeight="1">
      <c r="BE101" s="214"/>
      <c r="BF101" s="214"/>
      <c r="BG101" s="214"/>
      <c r="BH101" s="214"/>
      <c r="BI101" s="214"/>
      <c r="BJ101" s="214"/>
      <c r="BK101" s="214"/>
      <c r="BL101" s="214"/>
    </row>
    <row r="102" spans="57:64" ht="18.95" customHeight="1">
      <c r="BE102" s="214"/>
      <c r="BF102" s="214"/>
      <c r="BG102" s="214"/>
      <c r="BH102" s="214"/>
      <c r="BI102" s="214"/>
      <c r="BJ102" s="214"/>
      <c r="BK102" s="214"/>
      <c r="BL102" s="214"/>
    </row>
    <row r="103" spans="57:64" ht="18.95" customHeight="1">
      <c r="BE103" s="214"/>
      <c r="BF103" s="214"/>
      <c r="BG103" s="214"/>
      <c r="BH103" s="214"/>
      <c r="BI103" s="214"/>
      <c r="BJ103" s="214"/>
      <c r="BK103" s="214"/>
      <c r="BL103" s="214"/>
    </row>
    <row r="104" spans="57:64" ht="18.95" customHeight="1">
      <c r="BE104" s="214"/>
      <c r="BF104" s="214"/>
      <c r="BG104" s="214"/>
      <c r="BH104" s="214"/>
      <c r="BI104" s="214"/>
      <c r="BJ104" s="214"/>
      <c r="BK104" s="214"/>
      <c r="BL104" s="214"/>
    </row>
    <row r="105" spans="57:64" ht="18.95" customHeight="1">
      <c r="BE105" s="214"/>
      <c r="BF105" s="214"/>
      <c r="BG105" s="214"/>
      <c r="BH105" s="214"/>
      <c r="BI105" s="214"/>
      <c r="BJ105" s="214"/>
      <c r="BK105" s="214"/>
      <c r="BL105" s="214"/>
    </row>
    <row r="106" spans="57:64" ht="18.95" customHeight="1">
      <c r="BE106" s="214"/>
      <c r="BF106" s="214"/>
      <c r="BG106" s="214"/>
      <c r="BH106" s="214"/>
      <c r="BI106" s="214"/>
      <c r="BJ106" s="214"/>
      <c r="BK106" s="214"/>
      <c r="BL106" s="214"/>
    </row>
    <row r="107" spans="57:64" ht="18.95" customHeight="1">
      <c r="BE107" s="214"/>
      <c r="BF107" s="214"/>
      <c r="BG107" s="214"/>
      <c r="BH107" s="214"/>
      <c r="BI107" s="214"/>
      <c r="BJ107" s="214"/>
      <c r="BK107" s="214"/>
      <c r="BL107" s="214"/>
    </row>
    <row r="108" spans="57:64" ht="18.95" customHeight="1">
      <c r="BE108" s="214"/>
      <c r="BF108" s="214"/>
      <c r="BG108" s="214"/>
      <c r="BH108" s="214"/>
      <c r="BI108" s="214"/>
      <c r="BJ108" s="214"/>
      <c r="BK108" s="214"/>
      <c r="BL108" s="214"/>
    </row>
    <row r="109" spans="57:64" ht="18.95" customHeight="1">
      <c r="BE109" s="214"/>
      <c r="BF109" s="214"/>
      <c r="BG109" s="214"/>
      <c r="BH109" s="214"/>
      <c r="BI109" s="214"/>
      <c r="BJ109" s="214"/>
      <c r="BK109" s="214"/>
      <c r="BL109" s="214"/>
    </row>
    <row r="110" spans="57:64" ht="18.95" customHeight="1">
      <c r="BE110" s="214"/>
      <c r="BF110" s="214"/>
      <c r="BG110" s="214"/>
      <c r="BH110" s="214"/>
      <c r="BI110" s="214"/>
      <c r="BJ110" s="214"/>
      <c r="BK110" s="214"/>
      <c r="BL110" s="214"/>
    </row>
    <row r="111" spans="57:64" ht="18.95" customHeight="1">
      <c r="BE111" s="214"/>
      <c r="BF111" s="214"/>
      <c r="BG111" s="214"/>
      <c r="BH111" s="214"/>
      <c r="BI111" s="214"/>
      <c r="BJ111" s="214"/>
      <c r="BK111" s="214"/>
      <c r="BL111" s="214"/>
    </row>
    <row r="112" spans="57:64" ht="18.95" customHeight="1">
      <c r="BE112" s="214"/>
      <c r="BF112" s="214"/>
      <c r="BG112" s="214"/>
      <c r="BH112" s="214"/>
      <c r="BI112" s="214"/>
      <c r="BJ112" s="214"/>
      <c r="BK112" s="214"/>
      <c r="BL112" s="214"/>
    </row>
    <row r="113" spans="57:64" ht="18.95" customHeight="1">
      <c r="BE113" s="214"/>
      <c r="BF113" s="214"/>
      <c r="BG113" s="214"/>
      <c r="BH113" s="214"/>
      <c r="BI113" s="214"/>
      <c r="BJ113" s="214"/>
      <c r="BK113" s="214"/>
      <c r="BL113" s="214"/>
    </row>
    <row r="114" spans="57:64" ht="18.95" customHeight="1">
      <c r="BE114" s="214"/>
      <c r="BF114" s="214"/>
      <c r="BG114" s="214"/>
      <c r="BH114" s="214"/>
      <c r="BI114" s="214"/>
      <c r="BJ114" s="214"/>
      <c r="BK114" s="214"/>
      <c r="BL114" s="214"/>
    </row>
    <row r="115" spans="57:64" ht="18.95" customHeight="1">
      <c r="BE115" s="214"/>
      <c r="BF115" s="214"/>
      <c r="BG115" s="214"/>
      <c r="BH115" s="214"/>
      <c r="BI115" s="214"/>
      <c r="BJ115" s="214"/>
      <c r="BK115" s="214"/>
      <c r="BL115" s="214"/>
    </row>
    <row r="116" spans="57:64" ht="18.95" customHeight="1">
      <c r="BE116" s="214"/>
      <c r="BF116" s="214"/>
      <c r="BG116" s="214"/>
      <c r="BH116" s="214"/>
      <c r="BI116" s="214"/>
      <c r="BJ116" s="214"/>
      <c r="BK116" s="214"/>
      <c r="BL116" s="214"/>
    </row>
    <row r="117" spans="57:64" ht="18.95" customHeight="1">
      <c r="BE117" s="214"/>
      <c r="BF117" s="214"/>
      <c r="BG117" s="214"/>
      <c r="BH117" s="214"/>
      <c r="BI117" s="214"/>
      <c r="BJ117" s="214"/>
      <c r="BK117" s="214"/>
      <c r="BL117" s="214"/>
    </row>
    <row r="118" spans="57:64" ht="18.95" customHeight="1">
      <c r="BE118" s="214"/>
      <c r="BF118" s="214"/>
      <c r="BG118" s="214"/>
      <c r="BH118" s="214"/>
      <c r="BI118" s="214"/>
      <c r="BJ118" s="214"/>
      <c r="BK118" s="214"/>
      <c r="BL118" s="214"/>
    </row>
    <row r="119" spans="57:64" ht="18.95" customHeight="1">
      <c r="BE119" s="214"/>
      <c r="BF119" s="214"/>
      <c r="BG119" s="214"/>
      <c r="BH119" s="214"/>
      <c r="BI119" s="214"/>
      <c r="BJ119" s="214"/>
      <c r="BK119" s="214"/>
      <c r="BL119" s="214"/>
    </row>
    <row r="120" spans="57:64" ht="18.95" customHeight="1">
      <c r="BE120" s="214"/>
      <c r="BF120" s="214"/>
      <c r="BG120" s="214"/>
      <c r="BH120" s="214"/>
      <c r="BI120" s="214"/>
      <c r="BJ120" s="214"/>
      <c r="BK120" s="214"/>
      <c r="BL120" s="214"/>
    </row>
    <row r="121" spans="57:64" ht="18.95" customHeight="1">
      <c r="BE121" s="214"/>
      <c r="BF121" s="214"/>
      <c r="BG121" s="214"/>
      <c r="BH121" s="214"/>
      <c r="BI121" s="214"/>
      <c r="BJ121" s="214"/>
      <c r="BK121" s="214"/>
      <c r="BL121" s="214"/>
    </row>
    <row r="122" spans="57:64" ht="18.95" customHeight="1">
      <c r="BE122" s="214"/>
      <c r="BF122" s="214"/>
      <c r="BG122" s="214"/>
      <c r="BH122" s="214"/>
      <c r="BI122" s="214"/>
      <c r="BJ122" s="214"/>
      <c r="BK122" s="214"/>
      <c r="BL122" s="214"/>
    </row>
    <row r="123" spans="57:64">
      <c r="BE123" s="214"/>
      <c r="BF123" s="214"/>
      <c r="BG123" s="214"/>
      <c r="BH123" s="214"/>
      <c r="BI123" s="214"/>
      <c r="BJ123" s="214"/>
      <c r="BK123" s="214"/>
      <c r="BL123" s="214"/>
    </row>
    <row r="124" spans="57:64">
      <c r="BE124" s="214"/>
      <c r="BF124" s="214"/>
      <c r="BG124" s="214"/>
      <c r="BH124" s="214"/>
      <c r="BI124" s="214"/>
      <c r="BJ124" s="214"/>
      <c r="BK124" s="214"/>
      <c r="BL124" s="214"/>
    </row>
    <row r="125" spans="57:64">
      <c r="BE125" s="214"/>
      <c r="BF125" s="214"/>
      <c r="BG125" s="214"/>
      <c r="BH125" s="214"/>
      <c r="BI125" s="214"/>
      <c r="BJ125" s="214"/>
      <c r="BK125" s="214"/>
      <c r="BL125" s="214"/>
    </row>
    <row r="126" spans="57:64">
      <c r="BE126" s="214"/>
      <c r="BF126" s="214"/>
      <c r="BG126" s="214"/>
      <c r="BH126" s="214"/>
      <c r="BI126" s="214"/>
      <c r="BJ126" s="214"/>
      <c r="BK126" s="214"/>
      <c r="BL126" s="214"/>
    </row>
    <row r="127" spans="57:64">
      <c r="BE127" s="214"/>
      <c r="BF127" s="214"/>
      <c r="BG127" s="214"/>
      <c r="BH127" s="214"/>
      <c r="BI127" s="214"/>
      <c r="BJ127" s="214"/>
      <c r="BK127" s="214"/>
      <c r="BL127" s="214"/>
    </row>
    <row r="128" spans="57:64">
      <c r="BE128" s="214"/>
      <c r="BF128" s="214"/>
      <c r="BG128" s="214"/>
      <c r="BH128" s="214"/>
      <c r="BI128" s="214"/>
      <c r="BJ128" s="214"/>
      <c r="BK128" s="214"/>
      <c r="BL128" s="214"/>
    </row>
    <row r="129" spans="57:64">
      <c r="BE129" s="214"/>
      <c r="BF129" s="214"/>
      <c r="BG129" s="214"/>
      <c r="BH129" s="214"/>
      <c r="BI129" s="214"/>
      <c r="BJ129" s="214"/>
      <c r="BK129" s="214"/>
      <c r="BL129" s="214"/>
    </row>
    <row r="130" spans="57:64">
      <c r="BE130" s="214"/>
      <c r="BF130" s="214"/>
      <c r="BG130" s="214"/>
      <c r="BH130" s="214"/>
      <c r="BI130" s="214"/>
      <c r="BJ130" s="214"/>
      <c r="BK130" s="214"/>
      <c r="BL130" s="214"/>
    </row>
    <row r="131" spans="57:64">
      <c r="BE131" s="214"/>
      <c r="BF131" s="214"/>
      <c r="BG131" s="214"/>
      <c r="BH131" s="214"/>
      <c r="BI131" s="214"/>
      <c r="BJ131" s="214"/>
      <c r="BK131" s="214"/>
      <c r="BL131" s="214"/>
    </row>
    <row r="132" spans="57:64">
      <c r="BE132" s="214"/>
      <c r="BF132" s="214"/>
      <c r="BG132" s="214"/>
      <c r="BH132" s="214"/>
      <c r="BI132" s="214"/>
      <c r="BJ132" s="214"/>
      <c r="BK132" s="214"/>
      <c r="BL132" s="214"/>
    </row>
    <row r="133" spans="57:64">
      <c r="BE133" s="214"/>
      <c r="BF133" s="214"/>
      <c r="BG133" s="214"/>
      <c r="BH133" s="214"/>
      <c r="BI133" s="214"/>
      <c r="BJ133" s="214"/>
      <c r="BK133" s="214"/>
      <c r="BL133" s="214"/>
    </row>
    <row r="134" spans="57:64">
      <c r="BE134" s="214"/>
      <c r="BF134" s="214"/>
      <c r="BG134" s="214"/>
      <c r="BH134" s="214"/>
      <c r="BI134" s="214"/>
      <c r="BJ134" s="214"/>
      <c r="BK134" s="214"/>
      <c r="BL134" s="214"/>
    </row>
    <row r="135" spans="57:64">
      <c r="BE135" s="214"/>
      <c r="BF135" s="214"/>
      <c r="BG135" s="214"/>
      <c r="BH135" s="214"/>
      <c r="BI135" s="214"/>
      <c r="BJ135" s="214"/>
      <c r="BK135" s="214"/>
      <c r="BL135" s="214"/>
    </row>
    <row r="136" spans="57:64">
      <c r="BE136" s="214"/>
      <c r="BF136" s="214"/>
      <c r="BG136" s="214"/>
      <c r="BH136" s="214"/>
      <c r="BI136" s="214"/>
      <c r="BJ136" s="214"/>
      <c r="BK136" s="214"/>
      <c r="BL136" s="214"/>
    </row>
    <row r="137" spans="57:64">
      <c r="BE137" s="214"/>
      <c r="BF137" s="214"/>
      <c r="BG137" s="214"/>
      <c r="BH137" s="214"/>
      <c r="BI137" s="214"/>
      <c r="BJ137" s="214"/>
      <c r="BK137" s="214"/>
      <c r="BL137" s="214"/>
    </row>
    <row r="138" spans="57:64">
      <c r="BE138" s="214"/>
      <c r="BF138" s="214"/>
      <c r="BG138" s="214"/>
      <c r="BH138" s="214"/>
      <c r="BI138" s="214"/>
      <c r="BJ138" s="214"/>
      <c r="BK138" s="214"/>
      <c r="BL138" s="214"/>
    </row>
    <row r="139" spans="57:64">
      <c r="BE139" s="214"/>
      <c r="BF139" s="214"/>
      <c r="BG139" s="214"/>
      <c r="BH139" s="214"/>
      <c r="BI139" s="214"/>
      <c r="BJ139" s="214"/>
      <c r="BK139" s="214"/>
      <c r="BL139" s="214"/>
    </row>
    <row r="140" spans="57:64">
      <c r="BE140" s="214"/>
      <c r="BF140" s="214"/>
      <c r="BG140" s="214"/>
      <c r="BH140" s="214"/>
      <c r="BI140" s="214"/>
      <c r="BJ140" s="214"/>
      <c r="BK140" s="214"/>
      <c r="BL140" s="214"/>
    </row>
    <row r="141" spans="57:64">
      <c r="BE141" s="214"/>
      <c r="BF141" s="214"/>
      <c r="BG141" s="214"/>
      <c r="BH141" s="214"/>
      <c r="BI141" s="214"/>
      <c r="BJ141" s="214"/>
      <c r="BK141" s="214"/>
      <c r="BL141" s="214"/>
    </row>
    <row r="142" spans="57:64">
      <c r="BE142" s="214"/>
      <c r="BF142" s="214"/>
      <c r="BG142" s="214"/>
      <c r="BH142" s="214"/>
      <c r="BI142" s="214"/>
      <c r="BJ142" s="214"/>
      <c r="BK142" s="214"/>
      <c r="BL142" s="214"/>
    </row>
    <row r="143" spans="57:64">
      <c r="BE143" s="214"/>
      <c r="BF143" s="214"/>
      <c r="BG143" s="214"/>
      <c r="BH143" s="214"/>
      <c r="BI143" s="214"/>
      <c r="BJ143" s="214"/>
      <c r="BK143" s="214"/>
      <c r="BL143" s="214"/>
    </row>
    <row r="144" spans="57:64">
      <c r="BE144" s="214"/>
      <c r="BF144" s="214"/>
      <c r="BG144" s="214"/>
      <c r="BH144" s="214"/>
      <c r="BI144" s="214"/>
      <c r="BJ144" s="214"/>
      <c r="BK144" s="214"/>
      <c r="BL144" s="214"/>
    </row>
    <row r="145" spans="57:64">
      <c r="BE145" s="214"/>
      <c r="BF145" s="214"/>
      <c r="BG145" s="214"/>
      <c r="BH145" s="214"/>
      <c r="BI145" s="214"/>
      <c r="BJ145" s="214"/>
      <c r="BK145" s="214"/>
      <c r="BL145" s="214"/>
    </row>
    <row r="146" spans="57:64">
      <c r="BE146" s="214"/>
      <c r="BF146" s="214"/>
      <c r="BG146" s="214"/>
      <c r="BH146" s="214"/>
      <c r="BI146" s="214"/>
      <c r="BJ146" s="214"/>
      <c r="BK146" s="214"/>
      <c r="BL146" s="214"/>
    </row>
    <row r="147" spans="57:64">
      <c r="BE147" s="214"/>
      <c r="BF147" s="214"/>
      <c r="BG147" s="214"/>
      <c r="BH147" s="214"/>
      <c r="BI147" s="214"/>
      <c r="BJ147" s="214"/>
      <c r="BK147" s="214"/>
      <c r="BL147" s="214"/>
    </row>
    <row r="148" spans="57:64">
      <c r="BE148" s="214"/>
      <c r="BF148" s="214"/>
      <c r="BG148" s="214"/>
      <c r="BH148" s="214"/>
      <c r="BI148" s="214"/>
      <c r="BJ148" s="214"/>
      <c r="BK148" s="214"/>
      <c r="BL148" s="214"/>
    </row>
    <row r="149" spans="57:64">
      <c r="BE149" s="214"/>
      <c r="BF149" s="214"/>
      <c r="BG149" s="214"/>
      <c r="BH149" s="214"/>
      <c r="BI149" s="214"/>
      <c r="BJ149" s="214"/>
      <c r="BK149" s="214"/>
      <c r="BL149" s="214"/>
    </row>
    <row r="150" spans="57:64">
      <c r="BE150" s="214"/>
      <c r="BF150" s="214"/>
      <c r="BG150" s="214"/>
      <c r="BH150" s="214"/>
      <c r="BI150" s="214"/>
      <c r="BJ150" s="214"/>
      <c r="BK150" s="214"/>
      <c r="BL150" s="214"/>
    </row>
    <row r="151" spans="57:64">
      <c r="BE151" s="214"/>
      <c r="BF151" s="214"/>
      <c r="BG151" s="214"/>
      <c r="BH151" s="214"/>
      <c r="BI151" s="214"/>
      <c r="BJ151" s="214"/>
      <c r="BK151" s="214"/>
      <c r="BL151" s="214"/>
    </row>
    <row r="152" spans="57:64">
      <c r="BE152" s="214"/>
      <c r="BF152" s="214"/>
      <c r="BG152" s="214"/>
      <c r="BH152" s="214"/>
      <c r="BI152" s="214"/>
      <c r="BJ152" s="214"/>
      <c r="BK152" s="214"/>
      <c r="BL152" s="214"/>
    </row>
    <row r="153" spans="57:64">
      <c r="BE153" s="214"/>
      <c r="BF153" s="214"/>
      <c r="BG153" s="214"/>
      <c r="BH153" s="214"/>
      <c r="BI153" s="214"/>
      <c r="BJ153" s="214"/>
      <c r="BK153" s="214"/>
      <c r="BL153" s="214"/>
    </row>
    <row r="154" spans="57:64">
      <c r="BE154" s="214"/>
      <c r="BF154" s="214"/>
      <c r="BG154" s="214"/>
      <c r="BH154" s="214"/>
      <c r="BI154" s="214"/>
      <c r="BJ154" s="214"/>
      <c r="BK154" s="214"/>
      <c r="BL154" s="214"/>
    </row>
    <row r="155" spans="57:64">
      <c r="BE155" s="214"/>
      <c r="BF155" s="214"/>
      <c r="BG155" s="214"/>
      <c r="BH155" s="214"/>
      <c r="BI155" s="214"/>
      <c r="BJ155" s="214"/>
      <c r="BK155" s="214"/>
      <c r="BL155" s="214"/>
    </row>
    <row r="156" spans="57:64">
      <c r="BE156" s="214"/>
      <c r="BF156" s="214"/>
      <c r="BG156" s="214"/>
      <c r="BH156" s="214"/>
      <c r="BI156" s="214"/>
      <c r="BJ156" s="214"/>
      <c r="BK156" s="214"/>
      <c r="BL156" s="214"/>
    </row>
    <row r="157" spans="57:64">
      <c r="BE157" s="214"/>
      <c r="BF157" s="214"/>
      <c r="BG157" s="214"/>
      <c r="BH157" s="214"/>
      <c r="BI157" s="214"/>
      <c r="BJ157" s="214"/>
      <c r="BK157" s="214"/>
      <c r="BL157" s="214"/>
    </row>
    <row r="158" spans="57:64">
      <c r="BE158" s="214"/>
      <c r="BF158" s="214"/>
      <c r="BG158" s="214"/>
      <c r="BH158" s="214"/>
      <c r="BI158" s="214"/>
      <c r="BJ158" s="214"/>
      <c r="BK158" s="214"/>
      <c r="BL158" s="214"/>
    </row>
    <row r="159" spans="57:64">
      <c r="BE159" s="214"/>
      <c r="BF159" s="214"/>
      <c r="BG159" s="214"/>
      <c r="BH159" s="214"/>
      <c r="BI159" s="214"/>
      <c r="BJ159" s="214"/>
      <c r="BK159" s="214"/>
      <c r="BL159" s="214"/>
    </row>
    <row r="160" spans="57:64">
      <c r="BE160" s="214"/>
      <c r="BF160" s="214"/>
      <c r="BG160" s="214"/>
      <c r="BH160" s="214"/>
      <c r="BI160" s="214"/>
      <c r="BJ160" s="214"/>
      <c r="BK160" s="214"/>
      <c r="BL160" s="214"/>
    </row>
    <row r="161" spans="57:64">
      <c r="BE161" s="214"/>
      <c r="BF161" s="214"/>
      <c r="BG161" s="214"/>
      <c r="BH161" s="214"/>
      <c r="BI161" s="214"/>
      <c r="BJ161" s="214"/>
      <c r="BK161" s="214"/>
      <c r="BL161" s="214"/>
    </row>
    <row r="162" spans="57:64">
      <c r="BE162" s="214"/>
      <c r="BF162" s="214"/>
      <c r="BG162" s="214"/>
      <c r="BH162" s="214"/>
      <c r="BI162" s="214"/>
      <c r="BJ162" s="214"/>
      <c r="BK162" s="214"/>
      <c r="BL162" s="214"/>
    </row>
    <row r="163" spans="57:64">
      <c r="BE163" s="214"/>
      <c r="BF163" s="214"/>
      <c r="BG163" s="214"/>
      <c r="BH163" s="214"/>
      <c r="BI163" s="214"/>
      <c r="BJ163" s="214"/>
      <c r="BK163" s="214"/>
      <c r="BL163" s="214"/>
    </row>
    <row r="164" spans="57:64">
      <c r="BE164" s="214"/>
      <c r="BF164" s="214"/>
      <c r="BG164" s="214"/>
      <c r="BH164" s="214"/>
      <c r="BI164" s="214"/>
      <c r="BJ164" s="214"/>
      <c r="BK164" s="214"/>
      <c r="BL164" s="214"/>
    </row>
    <row r="165" spans="57:64">
      <c r="BE165" s="214"/>
      <c r="BF165" s="214"/>
      <c r="BG165" s="214"/>
      <c r="BH165" s="214"/>
      <c r="BI165" s="214"/>
      <c r="BJ165" s="214"/>
      <c r="BK165" s="214"/>
      <c r="BL165" s="214"/>
    </row>
    <row r="166" spans="57:64">
      <c r="BE166" s="214"/>
      <c r="BF166" s="214"/>
      <c r="BG166" s="214"/>
      <c r="BH166" s="214"/>
      <c r="BI166" s="214"/>
      <c r="BJ166" s="214"/>
      <c r="BK166" s="214"/>
      <c r="BL166" s="214"/>
    </row>
    <row r="167" spans="57:64">
      <c r="BE167" s="214"/>
      <c r="BF167" s="214"/>
      <c r="BG167" s="214"/>
      <c r="BH167" s="214"/>
      <c r="BI167" s="214"/>
      <c r="BJ167" s="214"/>
      <c r="BK167" s="214"/>
      <c r="BL167" s="214"/>
    </row>
    <row r="168" spans="57:64">
      <c r="BE168" s="214"/>
      <c r="BF168" s="214"/>
      <c r="BG168" s="214"/>
      <c r="BH168" s="214"/>
      <c r="BI168" s="214"/>
      <c r="BJ168" s="214"/>
      <c r="BK168" s="214"/>
      <c r="BL168" s="214"/>
    </row>
    <row r="169" spans="57:64">
      <c r="BE169" s="214"/>
      <c r="BF169" s="214"/>
      <c r="BG169" s="214"/>
      <c r="BH169" s="214"/>
      <c r="BI169" s="214"/>
      <c r="BJ169" s="214"/>
      <c r="BK169" s="214"/>
      <c r="BL169" s="214"/>
    </row>
    <row r="170" spans="57:64">
      <c r="BE170" s="214"/>
      <c r="BF170" s="214"/>
      <c r="BG170" s="214"/>
      <c r="BH170" s="214"/>
      <c r="BI170" s="214"/>
      <c r="BJ170" s="214"/>
      <c r="BK170" s="214"/>
      <c r="BL170" s="214"/>
    </row>
    <row r="171" spans="57:64">
      <c r="BE171" s="214"/>
      <c r="BF171" s="214"/>
      <c r="BG171" s="214"/>
      <c r="BH171" s="214"/>
      <c r="BI171" s="214"/>
      <c r="BJ171" s="214"/>
      <c r="BK171" s="214"/>
      <c r="BL171" s="214"/>
    </row>
    <row r="172" spans="57:64">
      <c r="BE172" s="214"/>
      <c r="BF172" s="214"/>
      <c r="BG172" s="214"/>
      <c r="BH172" s="214"/>
      <c r="BI172" s="214"/>
      <c r="BJ172" s="214"/>
      <c r="BK172" s="214"/>
      <c r="BL172" s="214"/>
    </row>
    <row r="173" spans="57:64">
      <c r="BE173" s="214"/>
      <c r="BF173" s="214"/>
      <c r="BG173" s="214"/>
      <c r="BH173" s="214"/>
      <c r="BI173" s="214"/>
      <c r="BJ173" s="214"/>
      <c r="BK173" s="214"/>
      <c r="BL173" s="214"/>
    </row>
    <row r="174" spans="57:64">
      <c r="BE174" s="214"/>
      <c r="BF174" s="214"/>
      <c r="BG174" s="214"/>
      <c r="BH174" s="214"/>
      <c r="BI174" s="214"/>
      <c r="BJ174" s="214"/>
      <c r="BK174" s="214"/>
      <c r="BL174" s="214"/>
    </row>
    <row r="175" spans="57:64">
      <c r="BE175" s="214"/>
      <c r="BF175" s="214"/>
      <c r="BG175" s="214"/>
      <c r="BH175" s="214"/>
      <c r="BI175" s="214"/>
      <c r="BJ175" s="214"/>
      <c r="BK175" s="214"/>
      <c r="BL175" s="214"/>
    </row>
    <row r="176" spans="57:64">
      <c r="BE176" s="214"/>
      <c r="BF176" s="214"/>
      <c r="BG176" s="214"/>
      <c r="BH176" s="214"/>
      <c r="BI176" s="214"/>
      <c r="BJ176" s="214"/>
      <c r="BK176" s="214"/>
      <c r="BL176" s="214"/>
    </row>
    <row r="177" spans="57:64">
      <c r="BE177" s="214"/>
      <c r="BF177" s="214"/>
      <c r="BG177" s="214"/>
      <c r="BH177" s="214"/>
      <c r="BI177" s="214"/>
      <c r="BJ177" s="214"/>
      <c r="BK177" s="214"/>
      <c r="BL177" s="214"/>
    </row>
    <row r="178" spans="57:64">
      <c r="BE178" s="214"/>
      <c r="BF178" s="214"/>
      <c r="BG178" s="214"/>
      <c r="BH178" s="214"/>
      <c r="BI178" s="214"/>
      <c r="BJ178" s="214"/>
      <c r="BK178" s="214"/>
      <c r="BL178" s="214"/>
    </row>
    <row r="179" spans="57:64">
      <c r="BE179" s="214"/>
      <c r="BF179" s="214"/>
      <c r="BG179" s="214"/>
      <c r="BH179" s="214"/>
      <c r="BI179" s="214"/>
      <c r="BJ179" s="214"/>
      <c r="BK179" s="214"/>
      <c r="BL179" s="214"/>
    </row>
    <row r="180" spans="57:64">
      <c r="BE180" s="214"/>
      <c r="BF180" s="214"/>
      <c r="BG180" s="214"/>
      <c r="BH180" s="214"/>
      <c r="BI180" s="214"/>
      <c r="BJ180" s="214"/>
      <c r="BK180" s="214"/>
      <c r="BL180" s="214"/>
    </row>
    <row r="181" spans="57:64">
      <c r="BE181" s="214"/>
      <c r="BF181" s="214"/>
      <c r="BG181" s="214"/>
      <c r="BH181" s="214"/>
      <c r="BI181" s="214"/>
      <c r="BJ181" s="214"/>
      <c r="BK181" s="214"/>
      <c r="BL181" s="214"/>
    </row>
    <row r="182" spans="57:64">
      <c r="BE182" s="214"/>
      <c r="BF182" s="214"/>
      <c r="BG182" s="214"/>
      <c r="BH182" s="214"/>
      <c r="BI182" s="214"/>
      <c r="BJ182" s="214"/>
      <c r="BK182" s="214"/>
      <c r="BL182" s="214"/>
    </row>
    <row r="183" spans="57:64">
      <c r="BE183" s="214"/>
      <c r="BF183" s="214"/>
      <c r="BG183" s="214"/>
      <c r="BH183" s="214"/>
      <c r="BI183" s="214"/>
      <c r="BJ183" s="214"/>
      <c r="BK183" s="214"/>
      <c r="BL183" s="214"/>
    </row>
    <row r="184" spans="57:64">
      <c r="BE184" s="214"/>
      <c r="BF184" s="214"/>
      <c r="BG184" s="214"/>
      <c r="BH184" s="214"/>
      <c r="BI184" s="214"/>
      <c r="BJ184" s="214"/>
      <c r="BK184" s="214"/>
      <c r="BL184" s="214"/>
    </row>
    <row r="185" spans="57:64">
      <c r="BE185" s="214"/>
      <c r="BF185" s="214"/>
      <c r="BG185" s="214"/>
      <c r="BH185" s="214"/>
      <c r="BI185" s="214"/>
      <c r="BJ185" s="214"/>
      <c r="BK185" s="214"/>
      <c r="BL185" s="214"/>
    </row>
    <row r="186" spans="57:64">
      <c r="BE186" s="214"/>
      <c r="BF186" s="214"/>
      <c r="BG186" s="214"/>
      <c r="BH186" s="214"/>
      <c r="BI186" s="214"/>
      <c r="BJ186" s="214"/>
      <c r="BK186" s="214"/>
      <c r="BL186" s="214"/>
    </row>
    <row r="187" spans="57:64">
      <c r="BE187" s="214"/>
      <c r="BF187" s="214"/>
      <c r="BG187" s="214"/>
      <c r="BH187" s="214"/>
      <c r="BI187" s="214"/>
      <c r="BJ187" s="214"/>
      <c r="BK187" s="214"/>
      <c r="BL187" s="214"/>
    </row>
    <row r="188" spans="57:64">
      <c r="BE188" s="214"/>
      <c r="BF188" s="214"/>
      <c r="BG188" s="214"/>
      <c r="BH188" s="214"/>
      <c r="BI188" s="214"/>
      <c r="BJ188" s="214"/>
      <c r="BK188" s="214"/>
      <c r="BL188" s="214"/>
    </row>
    <row r="189" spans="57:64">
      <c r="BE189" s="214"/>
      <c r="BF189" s="214"/>
      <c r="BG189" s="214"/>
      <c r="BH189" s="214"/>
      <c r="BI189" s="214"/>
      <c r="BJ189" s="214"/>
      <c r="BK189" s="214"/>
      <c r="BL189" s="214"/>
    </row>
    <row r="190" spans="57:64">
      <c r="BE190" s="214"/>
      <c r="BF190" s="214"/>
      <c r="BG190" s="214"/>
      <c r="BH190" s="214"/>
      <c r="BI190" s="214"/>
      <c r="BJ190" s="214"/>
      <c r="BK190" s="214"/>
      <c r="BL190" s="214"/>
    </row>
    <row r="191" spans="57:64">
      <c r="BE191" s="214"/>
      <c r="BF191" s="214"/>
      <c r="BG191" s="214"/>
      <c r="BH191" s="214"/>
      <c r="BI191" s="214"/>
      <c r="BJ191" s="214"/>
      <c r="BK191" s="214"/>
      <c r="BL191" s="214"/>
    </row>
    <row r="192" spans="57:64">
      <c r="BE192" s="214"/>
      <c r="BF192" s="214"/>
      <c r="BG192" s="214"/>
      <c r="BH192" s="214"/>
      <c r="BI192" s="214"/>
      <c r="BJ192" s="214"/>
      <c r="BK192" s="214"/>
      <c r="BL192" s="214"/>
    </row>
    <row r="193" spans="57:64">
      <c r="BE193" s="214"/>
      <c r="BF193" s="214"/>
      <c r="BG193" s="214"/>
      <c r="BH193" s="214"/>
      <c r="BI193" s="214"/>
      <c r="BJ193" s="214"/>
      <c r="BK193" s="214"/>
      <c r="BL193" s="214"/>
    </row>
    <row r="194" spans="57:64">
      <c r="BE194" s="214"/>
      <c r="BF194" s="214"/>
      <c r="BG194" s="214"/>
      <c r="BH194" s="214"/>
      <c r="BI194" s="214"/>
      <c r="BJ194" s="214"/>
      <c r="BK194" s="214"/>
      <c r="BL194" s="214"/>
    </row>
    <row r="195" spans="57:64">
      <c r="BE195" s="214"/>
      <c r="BF195" s="214"/>
      <c r="BG195" s="214"/>
      <c r="BH195" s="214"/>
      <c r="BI195" s="214"/>
      <c r="BJ195" s="214"/>
      <c r="BK195" s="214"/>
      <c r="BL195" s="214"/>
    </row>
    <row r="196" spans="57:64">
      <c r="BE196" s="214"/>
      <c r="BF196" s="214"/>
      <c r="BG196" s="214"/>
      <c r="BH196" s="214"/>
      <c r="BI196" s="214"/>
      <c r="BJ196" s="214"/>
      <c r="BK196" s="214"/>
      <c r="BL196" s="214"/>
    </row>
    <row r="197" spans="57:64">
      <c r="BE197" s="214"/>
      <c r="BF197" s="214"/>
      <c r="BG197" s="214"/>
      <c r="BH197" s="214"/>
      <c r="BI197" s="214"/>
      <c r="BJ197" s="214"/>
      <c r="BK197" s="214"/>
      <c r="BL197" s="214"/>
    </row>
    <row r="198" spans="57:64">
      <c r="BE198" s="214"/>
      <c r="BF198" s="214"/>
      <c r="BG198" s="214"/>
      <c r="BH198" s="214"/>
      <c r="BI198" s="214"/>
      <c r="BJ198" s="214"/>
      <c r="BK198" s="214"/>
      <c r="BL198" s="214"/>
    </row>
    <row r="199" spans="57:64">
      <c r="BE199" s="214"/>
      <c r="BF199" s="214"/>
      <c r="BG199" s="214"/>
      <c r="BH199" s="214"/>
      <c r="BI199" s="214"/>
      <c r="BJ199" s="214"/>
      <c r="BK199" s="214"/>
      <c r="BL199" s="214"/>
    </row>
    <row r="200" spans="57:64">
      <c r="BE200" s="214"/>
      <c r="BF200" s="214"/>
      <c r="BG200" s="214"/>
      <c r="BH200" s="214"/>
      <c r="BI200" s="214"/>
      <c r="BJ200" s="214"/>
      <c r="BK200" s="214"/>
      <c r="BL200" s="214"/>
    </row>
    <row r="201" spans="57:64">
      <c r="BE201" s="214"/>
      <c r="BF201" s="214"/>
      <c r="BG201" s="214"/>
      <c r="BH201" s="214"/>
      <c r="BI201" s="214"/>
      <c r="BJ201" s="214"/>
      <c r="BK201" s="214"/>
      <c r="BL201" s="214"/>
    </row>
    <row r="202" spans="57:64">
      <c r="BE202" s="214"/>
      <c r="BF202" s="214"/>
      <c r="BG202" s="214"/>
      <c r="BH202" s="214"/>
      <c r="BI202" s="214"/>
      <c r="BJ202" s="214"/>
      <c r="BK202" s="214"/>
      <c r="BL202" s="214"/>
    </row>
    <row r="203" spans="57:64">
      <c r="BE203" s="214"/>
      <c r="BF203" s="214"/>
      <c r="BG203" s="214"/>
      <c r="BH203" s="214"/>
      <c r="BI203" s="214"/>
      <c r="BJ203" s="214"/>
      <c r="BK203" s="214"/>
      <c r="BL203" s="214"/>
    </row>
    <row r="204" spans="57:64">
      <c r="BE204" s="214"/>
      <c r="BF204" s="214"/>
      <c r="BG204" s="214"/>
      <c r="BH204" s="214"/>
      <c r="BI204" s="214"/>
      <c r="BJ204" s="214"/>
      <c r="BK204" s="214"/>
      <c r="BL204" s="214"/>
    </row>
    <row r="205" spans="57:64">
      <c r="BE205" s="214"/>
      <c r="BF205" s="214"/>
      <c r="BG205" s="214"/>
      <c r="BH205" s="214"/>
      <c r="BI205" s="214"/>
      <c r="BJ205" s="214"/>
      <c r="BK205" s="214"/>
      <c r="BL205" s="214"/>
    </row>
    <row r="206" spans="57:64">
      <c r="BE206" s="214"/>
      <c r="BF206" s="214"/>
      <c r="BG206" s="214"/>
      <c r="BH206" s="214"/>
      <c r="BI206" s="214"/>
      <c r="BJ206" s="214"/>
      <c r="BK206" s="214"/>
      <c r="BL206" s="214"/>
    </row>
    <row r="207" spans="57:64">
      <c r="BE207" s="214"/>
      <c r="BF207" s="214"/>
      <c r="BG207" s="214"/>
      <c r="BH207" s="214"/>
      <c r="BI207" s="214"/>
      <c r="BJ207" s="214"/>
      <c r="BK207" s="214"/>
      <c r="BL207" s="214"/>
    </row>
    <row r="208" spans="57:64">
      <c r="BE208" s="214"/>
      <c r="BF208" s="214"/>
      <c r="BG208" s="214"/>
      <c r="BH208" s="214"/>
      <c r="BI208" s="214"/>
      <c r="BJ208" s="214"/>
      <c r="BK208" s="214"/>
      <c r="BL208" s="214"/>
    </row>
    <row r="209" spans="57:64">
      <c r="BE209" s="214"/>
      <c r="BF209" s="214"/>
      <c r="BG209" s="214"/>
      <c r="BH209" s="214"/>
      <c r="BI209" s="214"/>
      <c r="BJ209" s="214"/>
      <c r="BK209" s="214"/>
      <c r="BL209" s="214"/>
    </row>
    <row r="210" spans="57:64">
      <c r="BE210" s="214"/>
      <c r="BF210" s="214"/>
      <c r="BG210" s="214"/>
      <c r="BH210" s="214"/>
      <c r="BI210" s="214"/>
      <c r="BJ210" s="214"/>
      <c r="BK210" s="214"/>
      <c r="BL210" s="214"/>
    </row>
    <row r="211" spans="57:64">
      <c r="BE211" s="214"/>
      <c r="BF211" s="214"/>
      <c r="BG211" s="214"/>
      <c r="BH211" s="214"/>
      <c r="BI211" s="214"/>
      <c r="BJ211" s="214"/>
      <c r="BK211" s="214"/>
      <c r="BL211" s="214"/>
    </row>
    <row r="212" spans="57:64">
      <c r="BE212" s="214"/>
      <c r="BF212" s="214"/>
      <c r="BG212" s="214"/>
      <c r="BH212" s="214"/>
      <c r="BI212" s="214"/>
      <c r="BJ212" s="214"/>
      <c r="BK212" s="214"/>
      <c r="BL212" s="214"/>
    </row>
    <row r="213" spans="57:64">
      <c r="BE213" s="214"/>
      <c r="BF213" s="214"/>
      <c r="BG213" s="214"/>
      <c r="BH213" s="214"/>
      <c r="BI213" s="214"/>
      <c r="BJ213" s="214"/>
      <c r="BK213" s="214"/>
      <c r="BL213" s="214"/>
    </row>
    <row r="214" spans="57:64">
      <c r="BE214" s="214"/>
      <c r="BF214" s="214"/>
      <c r="BG214" s="214"/>
      <c r="BH214" s="214"/>
      <c r="BI214" s="214"/>
      <c r="BJ214" s="214"/>
      <c r="BK214" s="214"/>
      <c r="BL214" s="214"/>
    </row>
    <row r="215" spans="57:64">
      <c r="BE215" s="214"/>
      <c r="BF215" s="214"/>
      <c r="BG215" s="214"/>
      <c r="BH215" s="214"/>
      <c r="BI215" s="214"/>
      <c r="BJ215" s="214"/>
      <c r="BK215" s="214"/>
      <c r="BL215" s="214"/>
    </row>
    <row r="216" spans="57:64">
      <c r="BE216" s="214"/>
      <c r="BF216" s="214"/>
      <c r="BG216" s="214"/>
      <c r="BH216" s="214"/>
      <c r="BI216" s="214"/>
      <c r="BJ216" s="214"/>
      <c r="BK216" s="214"/>
      <c r="BL216" s="214"/>
    </row>
    <row r="217" spans="57:64">
      <c r="BE217" s="214"/>
      <c r="BF217" s="214"/>
      <c r="BG217" s="214"/>
      <c r="BH217" s="214"/>
      <c r="BI217" s="214"/>
      <c r="BJ217" s="214"/>
      <c r="BK217" s="214"/>
      <c r="BL217" s="214"/>
    </row>
    <row r="218" spans="57:64">
      <c r="BE218" s="214"/>
      <c r="BF218" s="214"/>
      <c r="BG218" s="214"/>
      <c r="BH218" s="214"/>
      <c r="BI218" s="214"/>
      <c r="BJ218" s="214"/>
      <c r="BK218" s="214"/>
      <c r="BL218" s="214"/>
    </row>
    <row r="219" spans="57:64">
      <c r="BE219" s="214"/>
      <c r="BF219" s="214"/>
      <c r="BG219" s="214"/>
      <c r="BH219" s="214"/>
      <c r="BI219" s="214"/>
      <c r="BJ219" s="214"/>
      <c r="BK219" s="214"/>
      <c r="BL219" s="214"/>
    </row>
    <row r="220" spans="57:64">
      <c r="BE220" s="214"/>
      <c r="BF220" s="214"/>
      <c r="BG220" s="214"/>
      <c r="BH220" s="214"/>
      <c r="BI220" s="214"/>
      <c r="BJ220" s="214"/>
      <c r="BK220" s="214"/>
      <c r="BL220" s="214"/>
    </row>
    <row r="221" spans="57:64">
      <c r="BE221" s="214"/>
      <c r="BF221" s="214"/>
      <c r="BG221" s="214"/>
      <c r="BH221" s="214"/>
      <c r="BI221" s="214"/>
      <c r="BJ221" s="214"/>
      <c r="BK221" s="214"/>
      <c r="BL221" s="214"/>
    </row>
    <row r="222" spans="57:64">
      <c r="BE222" s="214"/>
      <c r="BF222" s="214"/>
      <c r="BG222" s="214"/>
      <c r="BH222" s="214"/>
      <c r="BI222" s="214"/>
      <c r="BJ222" s="214"/>
      <c r="BK222" s="214"/>
      <c r="BL222" s="214"/>
    </row>
    <row r="223" spans="57:64">
      <c r="BE223" s="214"/>
      <c r="BF223" s="214"/>
      <c r="BG223" s="214"/>
      <c r="BH223" s="214"/>
      <c r="BI223" s="214"/>
      <c r="BJ223" s="214"/>
      <c r="BK223" s="214"/>
      <c r="BL223" s="214"/>
    </row>
    <row r="224" spans="57:64">
      <c r="BE224" s="214"/>
      <c r="BF224" s="214"/>
      <c r="BG224" s="214"/>
      <c r="BH224" s="214"/>
      <c r="BI224" s="214"/>
      <c r="BJ224" s="214"/>
      <c r="BK224" s="214"/>
      <c r="BL224" s="214"/>
    </row>
    <row r="225" spans="57:64">
      <c r="BE225" s="214"/>
      <c r="BF225" s="214"/>
      <c r="BG225" s="214"/>
      <c r="BH225" s="214"/>
      <c r="BI225" s="214"/>
      <c r="BJ225" s="214"/>
      <c r="BK225" s="214"/>
      <c r="BL225" s="214"/>
    </row>
    <row r="226" spans="57:64">
      <c r="BE226" s="214"/>
      <c r="BF226" s="214"/>
      <c r="BG226" s="214"/>
      <c r="BH226" s="214"/>
      <c r="BI226" s="214"/>
      <c r="BJ226" s="214"/>
      <c r="BK226" s="214"/>
      <c r="BL226" s="214"/>
    </row>
    <row r="227" spans="57:64">
      <c r="BE227" s="214"/>
      <c r="BF227" s="214"/>
      <c r="BG227" s="214"/>
      <c r="BH227" s="214"/>
      <c r="BI227" s="214"/>
      <c r="BJ227" s="214"/>
      <c r="BK227" s="214"/>
      <c r="BL227" s="214"/>
    </row>
    <row r="228" spans="57:64">
      <c r="BE228" s="214"/>
      <c r="BF228" s="214"/>
      <c r="BG228" s="214"/>
      <c r="BH228" s="214"/>
      <c r="BI228" s="214"/>
      <c r="BJ228" s="214"/>
      <c r="BK228" s="214"/>
      <c r="BL228" s="214"/>
    </row>
    <row r="229" spans="57:64">
      <c r="BE229" s="214"/>
      <c r="BF229" s="214"/>
      <c r="BG229" s="214"/>
      <c r="BH229" s="214"/>
      <c r="BI229" s="214"/>
      <c r="BJ229" s="214"/>
      <c r="BK229" s="214"/>
      <c r="BL229" s="214"/>
    </row>
    <row r="230" spans="57:64">
      <c r="BE230" s="214"/>
      <c r="BF230" s="214"/>
      <c r="BG230" s="214"/>
      <c r="BH230" s="214"/>
      <c r="BI230" s="214"/>
      <c r="BJ230" s="214"/>
      <c r="BK230" s="214"/>
      <c r="BL230" s="214"/>
    </row>
    <row r="231" spans="57:64">
      <c r="BE231" s="214"/>
      <c r="BF231" s="214"/>
      <c r="BG231" s="214"/>
      <c r="BH231" s="214"/>
      <c r="BI231" s="214"/>
      <c r="BJ231" s="214"/>
      <c r="BK231" s="214"/>
      <c r="BL231" s="214"/>
    </row>
    <row r="232" spans="57:64">
      <c r="BE232" s="214"/>
      <c r="BF232" s="214"/>
      <c r="BG232" s="214"/>
      <c r="BH232" s="214"/>
      <c r="BI232" s="214"/>
      <c r="BJ232" s="214"/>
      <c r="BK232" s="214"/>
      <c r="BL232" s="214"/>
    </row>
    <row r="233" spans="57:64">
      <c r="BE233" s="214"/>
      <c r="BF233" s="214"/>
      <c r="BG233" s="214"/>
      <c r="BH233" s="214"/>
      <c r="BI233" s="214"/>
      <c r="BJ233" s="214"/>
      <c r="BK233" s="214"/>
      <c r="BL233" s="214"/>
    </row>
    <row r="234" spans="57:64">
      <c r="BE234" s="214"/>
      <c r="BF234" s="214"/>
      <c r="BG234" s="214"/>
      <c r="BH234" s="214"/>
      <c r="BI234" s="214"/>
      <c r="BJ234" s="214"/>
      <c r="BK234" s="214"/>
      <c r="BL234" s="214"/>
    </row>
    <row r="235" spans="57:64">
      <c r="BE235" s="214"/>
      <c r="BF235" s="214"/>
      <c r="BG235" s="214"/>
      <c r="BH235" s="214"/>
      <c r="BI235" s="214"/>
      <c r="BJ235" s="214"/>
      <c r="BK235" s="214"/>
      <c r="BL235" s="214"/>
    </row>
    <row r="236" spans="57:64">
      <c r="BE236" s="214"/>
      <c r="BF236" s="214"/>
      <c r="BG236" s="214"/>
      <c r="BH236" s="214"/>
      <c r="BI236" s="214"/>
      <c r="BJ236" s="214"/>
      <c r="BK236" s="214"/>
      <c r="BL236" s="214"/>
    </row>
    <row r="237" spans="57:64">
      <c r="BE237" s="214"/>
      <c r="BF237" s="214"/>
      <c r="BG237" s="214"/>
      <c r="BH237" s="214"/>
      <c r="BI237" s="214"/>
      <c r="BJ237" s="214"/>
      <c r="BK237" s="214"/>
      <c r="BL237" s="214"/>
    </row>
    <row r="238" spans="57:64">
      <c r="BE238" s="214"/>
      <c r="BF238" s="214"/>
      <c r="BG238" s="214"/>
      <c r="BH238" s="214"/>
      <c r="BI238" s="214"/>
      <c r="BJ238" s="214"/>
      <c r="BK238" s="214"/>
      <c r="BL238" s="214"/>
    </row>
    <row r="239" spans="57:64">
      <c r="BE239" s="214"/>
      <c r="BF239" s="214"/>
      <c r="BG239" s="214"/>
      <c r="BH239" s="214"/>
      <c r="BI239" s="214"/>
      <c r="BJ239" s="214"/>
      <c r="BK239" s="214"/>
      <c r="BL239" s="214"/>
    </row>
  </sheetData>
  <mergeCells count="11">
    <mergeCell ref="Y19:AC19"/>
    <mergeCell ref="AI19:AM19"/>
    <mergeCell ref="H25:I25"/>
    <mergeCell ref="BG1:BI1"/>
    <mergeCell ref="BJ1:BL1"/>
    <mergeCell ref="O3:P3"/>
    <mergeCell ref="W3:X3"/>
    <mergeCell ref="AG3:AH3"/>
    <mergeCell ref="H7:I7"/>
    <mergeCell ref="Q7:Q9"/>
    <mergeCell ref="R8:R9"/>
  </mergeCells>
  <phoneticPr fontId="4" type="noConversion"/>
  <dataValidations count="2">
    <dataValidation type="list" allowBlank="1" showInputMessage="1" showErrorMessage="1" sqref="M26:N27">
      <formula1>"10,20,30,50,70,80,100"</formula1>
    </dataValidation>
    <dataValidation type="list" allowBlank="1" showInputMessage="1" showErrorMessage="1" sqref="L26:L27">
      <formula1>"울진,추풍령,안동,포항,대구,춘양,영주,문경,영덕,의성,구미,영천, "</formula1>
    </dataValidation>
  </dataValidations>
  <pageMargins left="0.42" right="0.36" top="0.43" bottom="0.28999999999999998" header="0.23" footer="0.2"/>
  <pageSetup paperSize="9" scale="94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7" shapeId="253953" r:id="rId4">
          <objectPr defaultSize="0" autoPict="0" r:id="rId5">
            <anchor moveWithCells="1">
              <from>
                <xdr:col>14</xdr:col>
                <xdr:colOff>571500</xdr:colOff>
                <xdr:row>7</xdr:row>
                <xdr:rowOff>76200</xdr:rowOff>
              </from>
              <to>
                <xdr:col>56</xdr:col>
                <xdr:colOff>9525</xdr:colOff>
                <xdr:row>10</xdr:row>
                <xdr:rowOff>161925</xdr:rowOff>
              </to>
            </anchor>
          </objectPr>
        </oleObject>
      </mc:Choice>
      <mc:Fallback>
        <oleObject progId="AutoCAD.Drawing.17" shapeId="25395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497"/>
  <sheetViews>
    <sheetView showGridLines="0" tabSelected="1" view="pageBreakPreview" zoomScaleNormal="100" zoomScaleSheetLayoutView="100" workbookViewId="0">
      <selection activeCell="AL18" sqref="AL18"/>
    </sheetView>
  </sheetViews>
  <sheetFormatPr defaultRowHeight="12"/>
  <cols>
    <col min="1" max="4" width="3.25" style="214" customWidth="1"/>
    <col min="5" max="5" width="7.875" style="214" customWidth="1"/>
    <col min="6" max="6" width="6" style="214" customWidth="1"/>
    <col min="7" max="11" width="3.25" style="214" customWidth="1"/>
    <col min="12" max="13" width="9.375" style="214" customWidth="1"/>
    <col min="14" max="14" width="3.25" style="214" customWidth="1"/>
    <col min="15" max="15" width="4.25" style="562" hidden="1" customWidth="1"/>
    <col min="16" max="22" width="11.375" style="562" hidden="1" customWidth="1"/>
    <col min="23" max="23" width="4.25" style="562" hidden="1" customWidth="1"/>
    <col min="24" max="24" width="11.625" style="562" hidden="1" customWidth="1"/>
    <col min="25" max="25" width="4.25" style="215" hidden="1" customWidth="1"/>
    <col min="26" max="32" width="11.375" style="215" hidden="1" customWidth="1"/>
    <col min="33" max="33" width="4.25" style="562" hidden="1" customWidth="1"/>
    <col min="34" max="34" width="11.625" style="562" hidden="1" customWidth="1"/>
    <col min="35" max="38" width="9.75" style="215" customWidth="1"/>
    <col min="39" max="39" width="9" style="215" customWidth="1"/>
    <col min="40" max="43" width="9.75" style="215" customWidth="1"/>
    <col min="44" max="16384" width="9" style="214"/>
  </cols>
  <sheetData>
    <row r="1" spans="1:51" ht="18.95" customHeight="1">
      <c r="A1" s="809" t="s">
        <v>659</v>
      </c>
      <c r="B1" s="260"/>
      <c r="C1" s="260"/>
      <c r="D1" s="260"/>
      <c r="E1" s="260"/>
      <c r="F1" s="810" t="s">
        <v>800</v>
      </c>
      <c r="G1" s="260"/>
      <c r="H1" s="260"/>
      <c r="I1" s="260"/>
      <c r="J1" s="260"/>
      <c r="K1" s="260"/>
      <c r="L1" s="260"/>
      <c r="M1" s="260"/>
      <c r="N1" s="260"/>
      <c r="O1" s="811"/>
      <c r="P1" s="812"/>
      <c r="Q1" s="811"/>
      <c r="R1" s="811"/>
      <c r="S1" s="811"/>
      <c r="T1" s="811"/>
      <c r="U1" s="811"/>
      <c r="V1" s="811"/>
      <c r="W1" s="811"/>
      <c r="X1" s="811"/>
      <c r="Y1" s="811"/>
      <c r="Z1" s="812"/>
      <c r="AA1" s="811"/>
      <c r="AB1" s="811"/>
      <c r="AC1" s="811"/>
      <c r="AD1" s="811"/>
      <c r="AE1" s="811"/>
      <c r="AF1" s="811"/>
      <c r="AG1" s="811"/>
      <c r="AH1" s="811"/>
      <c r="AI1" s="813" t="s">
        <v>390</v>
      </c>
      <c r="AJ1" s="814"/>
      <c r="AK1" s="814"/>
      <c r="AL1" s="814"/>
      <c r="AM1" s="814"/>
      <c r="AN1" s="814"/>
      <c r="AO1" s="814"/>
      <c r="AP1" s="814"/>
      <c r="AQ1" s="814"/>
      <c r="AR1" s="216" t="s">
        <v>801</v>
      </c>
      <c r="AS1" s="217"/>
      <c r="AT1" s="1259" t="s">
        <v>418</v>
      </c>
      <c r="AU1" s="1260"/>
      <c r="AV1" s="1261"/>
      <c r="AW1" s="1262" t="s">
        <v>576</v>
      </c>
      <c r="AX1" s="1263"/>
      <c r="AY1" s="1264"/>
    </row>
    <row r="2" spans="1:51" ht="18.95" customHeight="1" thickBot="1">
      <c r="A2" s="809"/>
      <c r="B2" s="260"/>
      <c r="C2" s="260"/>
      <c r="D2" s="260"/>
      <c r="E2" s="260"/>
      <c r="F2" s="815"/>
      <c r="G2" s="260"/>
      <c r="H2" s="260"/>
      <c r="I2" s="260"/>
      <c r="J2" s="260"/>
      <c r="K2" s="260"/>
      <c r="L2" s="260"/>
      <c r="M2" s="260"/>
      <c r="N2" s="260"/>
      <c r="O2" s="811"/>
      <c r="P2" s="812"/>
      <c r="Q2" s="811"/>
      <c r="R2" s="811"/>
      <c r="S2" s="811"/>
      <c r="T2" s="811"/>
      <c r="U2" s="811"/>
      <c r="V2" s="811"/>
      <c r="W2" s="811"/>
      <c r="X2" s="811"/>
      <c r="Y2" s="811"/>
      <c r="Z2" s="812"/>
      <c r="AA2" s="811"/>
      <c r="AB2" s="811"/>
      <c r="AC2" s="811"/>
      <c r="AD2" s="811"/>
      <c r="AE2" s="811"/>
      <c r="AF2" s="811"/>
      <c r="AG2" s="811"/>
      <c r="AH2" s="811"/>
      <c r="AI2" s="813"/>
      <c r="AJ2" s="814"/>
      <c r="AK2" s="814"/>
      <c r="AL2" s="814"/>
      <c r="AM2" s="814"/>
      <c r="AN2" s="814"/>
      <c r="AO2" s="814"/>
      <c r="AP2" s="814"/>
      <c r="AQ2" s="814"/>
      <c r="AR2" s="216" t="s">
        <v>343</v>
      </c>
      <c r="AS2" s="217"/>
      <c r="AT2" s="218">
        <v>10</v>
      </c>
      <c r="AU2" s="219"/>
      <c r="AV2" s="217"/>
      <c r="AW2" s="220">
        <v>199.6</v>
      </c>
      <c r="AX2" s="221"/>
      <c r="AY2" s="222"/>
    </row>
    <row r="3" spans="1:51" ht="18.95" customHeight="1">
      <c r="A3" s="260"/>
      <c r="B3" s="816" t="s">
        <v>802</v>
      </c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817"/>
      <c r="P3" s="812"/>
      <c r="Q3" s="812"/>
      <c r="R3" s="811"/>
      <c r="S3" s="811"/>
      <c r="T3" s="811"/>
      <c r="U3" s="811"/>
      <c r="V3" s="811"/>
      <c r="W3" s="818"/>
      <c r="X3" s="811"/>
      <c r="Y3" s="817"/>
      <c r="Z3" s="812"/>
      <c r="AA3" s="811"/>
      <c r="AB3" s="811"/>
      <c r="AC3" s="811"/>
      <c r="AD3" s="811"/>
      <c r="AE3" s="811"/>
      <c r="AF3" s="811"/>
      <c r="AG3" s="818"/>
      <c r="AH3" s="811"/>
      <c r="AI3" s="1265" t="s">
        <v>803</v>
      </c>
      <c r="AJ3" s="1266"/>
      <c r="AK3" s="819"/>
      <c r="AL3" s="819"/>
      <c r="AM3" s="819"/>
      <c r="AN3" s="819"/>
      <c r="AO3" s="819"/>
      <c r="AP3" s="819"/>
      <c r="AQ3" s="820"/>
      <c r="AR3" s="216" t="s">
        <v>804</v>
      </c>
      <c r="AS3" s="217"/>
      <c r="AT3" s="218">
        <v>20</v>
      </c>
      <c r="AU3" s="219"/>
      <c r="AV3" s="217"/>
      <c r="AW3" s="220">
        <v>233.2</v>
      </c>
      <c r="AX3" s="221"/>
      <c r="AY3" s="222"/>
    </row>
    <row r="4" spans="1:51" ht="18.95" customHeight="1">
      <c r="A4" s="260"/>
      <c r="B4" s="816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817"/>
      <c r="P4" s="812"/>
      <c r="Q4" s="812"/>
      <c r="R4" s="811"/>
      <c r="S4" s="811"/>
      <c r="T4" s="811"/>
      <c r="U4" s="811"/>
      <c r="V4" s="811"/>
      <c r="W4" s="818"/>
      <c r="X4" s="811"/>
      <c r="Y4" s="817"/>
      <c r="Z4" s="812"/>
      <c r="AA4" s="811"/>
      <c r="AB4" s="811"/>
      <c r="AC4" s="811"/>
      <c r="AD4" s="811"/>
      <c r="AE4" s="811"/>
      <c r="AF4" s="811"/>
      <c r="AG4" s="818"/>
      <c r="AH4" s="811"/>
      <c r="AI4" s="821"/>
      <c r="AJ4" s="822"/>
      <c r="AK4" s="823"/>
      <c r="AL4" s="824"/>
      <c r="AM4" s="825"/>
      <c r="AN4" s="826"/>
      <c r="AO4" s="825"/>
      <c r="AP4" s="827"/>
      <c r="AQ4" s="828"/>
      <c r="AR4" s="216" t="s">
        <v>804</v>
      </c>
      <c r="AS4" s="217"/>
      <c r="AT4" s="218">
        <v>30</v>
      </c>
      <c r="AU4" s="219"/>
      <c r="AV4" s="217"/>
      <c r="AW4" s="220">
        <v>252.6</v>
      </c>
      <c r="AX4" s="221"/>
      <c r="AY4" s="222"/>
    </row>
    <row r="5" spans="1:51" ht="18.95" customHeight="1">
      <c r="A5" s="260"/>
      <c r="B5" s="260"/>
      <c r="C5" s="260"/>
      <c r="D5" s="829" t="s">
        <v>805</v>
      </c>
      <c r="E5" s="829"/>
      <c r="F5" s="260"/>
      <c r="G5" s="260"/>
      <c r="H5" s="260"/>
      <c r="I5" s="260"/>
      <c r="J5" s="260"/>
      <c r="K5" s="260"/>
      <c r="L5" s="830">
        <f>ROUND(L6*1.5,2)</f>
        <v>3.75</v>
      </c>
      <c r="M5" s="831"/>
      <c r="N5" s="831"/>
      <c r="O5" s="817"/>
      <c r="P5" s="832"/>
      <c r="Q5" s="833"/>
      <c r="R5" s="1267">
        <f>S5+S6</f>
        <v>1.5</v>
      </c>
      <c r="S5" s="832">
        <v>0.3</v>
      </c>
      <c r="T5" s="832" t="s">
        <v>806</v>
      </c>
      <c r="U5" s="832"/>
      <c r="V5" s="811"/>
      <c r="W5" s="818"/>
      <c r="X5" s="811"/>
      <c r="Y5" s="817"/>
      <c r="Z5" s="832"/>
      <c r="AA5" s="832"/>
      <c r="AB5" s="1268">
        <f>AC5+AC6</f>
        <v>3.6</v>
      </c>
      <c r="AC5" s="834">
        <v>0.6</v>
      </c>
      <c r="AD5" s="832" t="s">
        <v>581</v>
      </c>
      <c r="AE5" s="832"/>
      <c r="AF5" s="811"/>
      <c r="AG5" s="818"/>
      <c r="AH5" s="811"/>
      <c r="AI5" s="835" t="s">
        <v>582</v>
      </c>
      <c r="AJ5" s="826"/>
      <c r="AK5" s="836">
        <f>+L5</f>
        <v>3.75</v>
      </c>
      <c r="AL5" s="826" t="s">
        <v>670</v>
      </c>
      <c r="AM5" s="826"/>
      <c r="AN5" s="827"/>
      <c r="AO5" s="827"/>
      <c r="AP5" s="827"/>
      <c r="AQ5" s="828"/>
      <c r="AR5" s="216" t="s">
        <v>577</v>
      </c>
      <c r="AS5" s="217"/>
      <c r="AT5" s="218">
        <v>50</v>
      </c>
      <c r="AU5" s="219"/>
      <c r="AV5" s="217"/>
      <c r="AW5" s="220">
        <v>276.8</v>
      </c>
      <c r="AX5" s="221"/>
      <c r="AY5" s="222"/>
    </row>
    <row r="6" spans="1:51" ht="18.95" customHeight="1">
      <c r="A6" s="260"/>
      <c r="B6" s="260"/>
      <c r="C6" s="260"/>
      <c r="D6" s="260" t="s">
        <v>584</v>
      </c>
      <c r="E6" s="260"/>
      <c r="F6" s="260"/>
      <c r="G6" s="260"/>
      <c r="H6" s="260"/>
      <c r="I6" s="260"/>
      <c r="J6" s="260"/>
      <c r="K6" s="260"/>
      <c r="L6" s="837">
        <f>ROUND(0.2778*L7*L8*L9,2)</f>
        <v>2.5</v>
      </c>
      <c r="M6" s="260"/>
      <c r="N6" s="260"/>
      <c r="O6" s="817"/>
      <c r="P6" s="832"/>
      <c r="Q6" s="832"/>
      <c r="R6" s="1267"/>
      <c r="S6" s="1269">
        <v>1.2</v>
      </c>
      <c r="T6" s="832"/>
      <c r="U6" s="811"/>
      <c r="V6" s="811"/>
      <c r="W6" s="818"/>
      <c r="X6" s="811"/>
      <c r="Y6" s="817"/>
      <c r="Z6" s="832"/>
      <c r="AA6" s="832"/>
      <c r="AB6" s="1268"/>
      <c r="AC6" s="1270">
        <v>3</v>
      </c>
      <c r="AD6" s="832"/>
      <c r="AE6" s="833" t="s">
        <v>807</v>
      </c>
      <c r="AF6" s="811"/>
      <c r="AG6" s="818"/>
      <c r="AH6" s="811"/>
      <c r="AI6" s="838"/>
      <c r="AJ6" s="839"/>
      <c r="AK6" s="839"/>
      <c r="AL6" s="839"/>
      <c r="AM6" s="839"/>
      <c r="AN6" s="839"/>
      <c r="AO6" s="839"/>
      <c r="AP6" s="839"/>
      <c r="AQ6" s="840"/>
      <c r="AR6" s="218" t="s">
        <v>671</v>
      </c>
      <c r="AS6" s="217"/>
      <c r="AT6" s="218">
        <v>100</v>
      </c>
      <c r="AU6" s="219"/>
      <c r="AV6" s="217"/>
      <c r="AW6" s="220">
        <v>309.5</v>
      </c>
      <c r="AX6" s="221"/>
      <c r="AY6" s="222"/>
    </row>
    <row r="7" spans="1:51" ht="18.95" customHeight="1">
      <c r="A7" s="260"/>
      <c r="B7" s="260"/>
      <c r="C7" s="260"/>
      <c r="D7" s="260" t="s">
        <v>808</v>
      </c>
      <c r="E7" s="260"/>
      <c r="F7" s="260"/>
      <c r="G7" s="260"/>
      <c r="H7" s="1254"/>
      <c r="I7" s="1254"/>
      <c r="J7" s="260"/>
      <c r="K7" s="260"/>
      <c r="L7" s="841">
        <v>0.8</v>
      </c>
      <c r="M7" s="260"/>
      <c r="N7" s="260"/>
      <c r="O7" s="817"/>
      <c r="P7" s="832"/>
      <c r="Q7" s="832"/>
      <c r="R7" s="1267"/>
      <c r="S7" s="1269"/>
      <c r="T7" s="832"/>
      <c r="U7" s="833" t="s">
        <v>809</v>
      </c>
      <c r="V7" s="811"/>
      <c r="W7" s="818"/>
      <c r="X7" s="811"/>
      <c r="Y7" s="817"/>
      <c r="Z7" s="832"/>
      <c r="AA7" s="832"/>
      <c r="AB7" s="1268"/>
      <c r="AC7" s="1270"/>
      <c r="AD7" s="832"/>
      <c r="AE7" s="832"/>
      <c r="AF7" s="811"/>
      <c r="AG7" s="818"/>
      <c r="AH7" s="811"/>
      <c r="AI7" s="835" t="s">
        <v>674</v>
      </c>
      <c r="AJ7" s="826"/>
      <c r="AK7" s="826"/>
      <c r="AL7" s="826"/>
      <c r="AM7" s="826"/>
      <c r="AN7" s="827"/>
      <c r="AO7" s="827"/>
      <c r="AP7" s="827"/>
      <c r="AQ7" s="828"/>
      <c r="AR7" s="216"/>
      <c r="AS7" s="217"/>
      <c r="AT7" s="218"/>
      <c r="AU7" s="219"/>
      <c r="AV7" s="217"/>
      <c r="AW7" s="220"/>
      <c r="AX7" s="221"/>
      <c r="AY7" s="222"/>
    </row>
    <row r="8" spans="1:51" ht="18.95" customHeight="1">
      <c r="A8" s="260"/>
      <c r="B8" s="260"/>
      <c r="C8" s="260"/>
      <c r="D8" s="260" t="s">
        <v>810</v>
      </c>
      <c r="E8" s="260"/>
      <c r="F8" s="260"/>
      <c r="G8" s="260"/>
      <c r="H8" s="260"/>
      <c r="I8" s="260"/>
      <c r="J8" s="260"/>
      <c r="K8" s="260"/>
      <c r="L8" s="837">
        <f>L24</f>
        <v>126.15</v>
      </c>
      <c r="M8" s="260"/>
      <c r="N8" s="260"/>
      <c r="O8" s="817"/>
      <c r="P8" s="832">
        <f>S6</f>
        <v>1.2</v>
      </c>
      <c r="Q8" s="832"/>
      <c r="R8" s="832"/>
      <c r="S8" s="834" t="e">
        <f>#REF!</f>
        <v>#REF!</v>
      </c>
      <c r="T8" s="832"/>
      <c r="U8" s="832"/>
      <c r="V8" s="832"/>
      <c r="W8" s="818"/>
      <c r="X8" s="811"/>
      <c r="Y8" s="817"/>
      <c r="Z8" s="832">
        <f>AC6</f>
        <v>3</v>
      </c>
      <c r="AA8" s="832"/>
      <c r="AB8" s="832"/>
      <c r="AC8" s="832"/>
      <c r="AD8" s="832"/>
      <c r="AE8" s="832"/>
      <c r="AF8" s="832"/>
      <c r="AG8" s="818"/>
      <c r="AH8" s="811"/>
      <c r="AI8" s="842"/>
      <c r="AJ8" s="827"/>
      <c r="AK8" s="827"/>
      <c r="AL8" s="811" t="s">
        <v>811</v>
      </c>
      <c r="AM8" s="827"/>
      <c r="AN8" s="843">
        <v>1000</v>
      </c>
      <c r="AO8" s="844" t="s">
        <v>812</v>
      </c>
      <c r="AP8" s="845">
        <v>1</v>
      </c>
      <c r="AQ8" s="846" t="s">
        <v>813</v>
      </c>
      <c r="AR8" s="216"/>
      <c r="AS8" s="217"/>
      <c r="AT8" s="218"/>
      <c r="AU8" s="219"/>
      <c r="AV8" s="217"/>
      <c r="AW8" s="220"/>
      <c r="AX8" s="221"/>
      <c r="AY8" s="222"/>
    </row>
    <row r="9" spans="1:51" ht="18.95" customHeight="1">
      <c r="A9" s="260"/>
      <c r="B9" s="260"/>
      <c r="C9" s="260"/>
      <c r="D9" s="260" t="s">
        <v>814</v>
      </c>
      <c r="E9" s="260"/>
      <c r="F9" s="260"/>
      <c r="G9" s="260"/>
      <c r="H9" s="260"/>
      <c r="I9" s="260"/>
      <c r="J9" s="260"/>
      <c r="K9" s="260"/>
      <c r="L9" s="847">
        <f>M9/100</f>
        <v>8.900000000000001E-2</v>
      </c>
      <c r="M9" s="848">
        <v>8.9</v>
      </c>
      <c r="N9" s="260"/>
      <c r="O9" s="817"/>
      <c r="P9" s="832"/>
      <c r="Q9" s="849" t="e">
        <f>#REF!</f>
        <v>#REF!</v>
      </c>
      <c r="R9" s="832"/>
      <c r="S9" s="811"/>
      <c r="T9" s="834"/>
      <c r="U9" s="832"/>
      <c r="V9" s="832"/>
      <c r="W9" s="818"/>
      <c r="X9" s="811"/>
      <c r="Y9" s="817"/>
      <c r="Z9" s="832"/>
      <c r="AA9" s="849" t="e">
        <f>ROUND(#REF!/AB5*AC6,2)</f>
        <v>#REF!</v>
      </c>
      <c r="AB9" s="832"/>
      <c r="AC9" s="834" t="e">
        <f>#REF!</f>
        <v>#REF!</v>
      </c>
      <c r="AD9" s="834"/>
      <c r="AE9" s="832"/>
      <c r="AF9" s="832"/>
      <c r="AG9" s="818"/>
      <c r="AH9" s="811"/>
      <c r="AI9" s="842"/>
      <c r="AJ9" s="827"/>
      <c r="AK9" s="827"/>
      <c r="AL9" s="850" t="s">
        <v>815</v>
      </c>
      <c r="AM9" s="827"/>
      <c r="AN9" s="811"/>
      <c r="AO9" s="811"/>
      <c r="AP9" s="811"/>
      <c r="AQ9" s="818"/>
      <c r="AR9" s="216"/>
      <c r="AS9" s="217"/>
      <c r="AT9" s="218"/>
      <c r="AU9" s="219"/>
      <c r="AV9" s="217"/>
      <c r="AW9" s="220"/>
      <c r="AX9" s="221"/>
      <c r="AY9" s="222"/>
    </row>
    <row r="10" spans="1:51" ht="18.95" customHeight="1">
      <c r="A10" s="260"/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817"/>
      <c r="P10" s="832"/>
      <c r="Q10" s="849"/>
      <c r="R10" s="832"/>
      <c r="S10" s="834"/>
      <c r="T10" s="834"/>
      <c r="U10" s="832"/>
      <c r="V10" s="832"/>
      <c r="W10" s="818"/>
      <c r="X10" s="811"/>
      <c r="Y10" s="817"/>
      <c r="Z10" s="832"/>
      <c r="AA10" s="849"/>
      <c r="AB10" s="832"/>
      <c r="AC10" s="834"/>
      <c r="AD10" s="834"/>
      <c r="AE10" s="832"/>
      <c r="AF10" s="832"/>
      <c r="AG10" s="818"/>
      <c r="AH10" s="811"/>
      <c r="AI10" s="842"/>
      <c r="AJ10" s="827"/>
      <c r="AK10" s="827"/>
      <c r="AL10" s="811"/>
      <c r="AM10" s="850" t="s">
        <v>816</v>
      </c>
      <c r="AN10" s="827"/>
      <c r="AO10" s="827" t="s">
        <v>207</v>
      </c>
      <c r="AP10" s="851">
        <f>ROUND((0.785*(AN8/1000)^2)*AP8,3)</f>
        <v>0.78500000000000003</v>
      </c>
      <c r="AQ10" s="852" t="s">
        <v>35</v>
      </c>
      <c r="AR10" s="216"/>
      <c r="AS10" s="217"/>
      <c r="AT10" s="218"/>
      <c r="AU10" s="219"/>
      <c r="AV10" s="217"/>
      <c r="AW10" s="220"/>
      <c r="AX10" s="221"/>
      <c r="AY10" s="222"/>
    </row>
    <row r="11" spans="1:51" ht="18.95" customHeight="1">
      <c r="A11" s="260"/>
      <c r="B11" s="816" t="s">
        <v>817</v>
      </c>
      <c r="C11" s="260"/>
      <c r="D11" s="260"/>
      <c r="E11" s="260"/>
      <c r="F11" s="260"/>
      <c r="G11" s="260"/>
      <c r="H11" s="260"/>
      <c r="I11" s="260"/>
      <c r="J11" s="260"/>
      <c r="K11" s="260"/>
      <c r="L11" s="260"/>
      <c r="M11" s="260"/>
      <c r="N11" s="260"/>
      <c r="O11" s="817"/>
      <c r="P11" s="832"/>
      <c r="Q11" s="849"/>
      <c r="R11" s="832"/>
      <c r="S11" s="834"/>
      <c r="T11" s="834"/>
      <c r="U11" s="811"/>
      <c r="V11" s="832"/>
      <c r="W11" s="818"/>
      <c r="X11" s="811"/>
      <c r="Y11" s="817"/>
      <c r="Z11" s="832"/>
      <c r="AA11" s="849"/>
      <c r="AB11" s="832"/>
      <c r="AC11" s="834"/>
      <c r="AD11" s="834"/>
      <c r="AE11" s="832"/>
      <c r="AF11" s="832"/>
      <c r="AG11" s="818"/>
      <c r="AH11" s="811"/>
      <c r="AI11" s="842"/>
      <c r="AJ11" s="827"/>
      <c r="AK11" s="827"/>
      <c r="AL11" s="850" t="s">
        <v>818</v>
      </c>
      <c r="AM11" s="827"/>
      <c r="AN11" s="827"/>
      <c r="AO11" s="811"/>
      <c r="AP11" s="811"/>
      <c r="AQ11" s="818"/>
      <c r="AR11" s="216" t="s">
        <v>819</v>
      </c>
      <c r="AS11" s="217"/>
      <c r="AT11" s="218">
        <v>30</v>
      </c>
      <c r="AU11" s="219"/>
      <c r="AV11" s="217"/>
      <c r="AW11" s="220">
        <v>200.9</v>
      </c>
      <c r="AX11" s="221"/>
      <c r="AY11" s="222"/>
    </row>
    <row r="12" spans="1:51" ht="18.95" customHeight="1">
      <c r="A12" s="260"/>
      <c r="B12" s="260"/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817"/>
      <c r="P12" s="811"/>
      <c r="Q12" s="853" t="s">
        <v>683</v>
      </c>
      <c r="R12" s="854" t="e">
        <f>"√"&amp;FIXED(P8,2)&amp;"² + "&amp;FIXED(Q9,2)&amp;"² ="</f>
        <v>#REF!</v>
      </c>
      <c r="S12" s="855"/>
      <c r="T12" s="856" t="e">
        <f>ROUND((P8^2+Q9^2)^0.5,2)</f>
        <v>#REF!</v>
      </c>
      <c r="U12" s="811"/>
      <c r="V12" s="832"/>
      <c r="W12" s="818"/>
      <c r="X12" s="811"/>
      <c r="Y12" s="817"/>
      <c r="Z12" s="811"/>
      <c r="AA12" s="853" t="s">
        <v>683</v>
      </c>
      <c r="AB12" s="854" t="e">
        <f>"√"&amp;FIXED(Z8,2)&amp;"² + "&amp;FIXED(AA9,2)&amp;"² ="</f>
        <v>#REF!</v>
      </c>
      <c r="AC12" s="855"/>
      <c r="AD12" s="856" t="e">
        <f>ROUND((Z8^2+AA9^2)^0.5,2)</f>
        <v>#REF!</v>
      </c>
      <c r="AE12" s="811"/>
      <c r="AF12" s="832"/>
      <c r="AG12" s="818"/>
      <c r="AH12" s="811"/>
      <c r="AI12" s="842"/>
      <c r="AJ12" s="827"/>
      <c r="AK12" s="857" t="s">
        <v>820</v>
      </c>
      <c r="AL12" s="811"/>
      <c r="AM12" s="850" t="s">
        <v>821</v>
      </c>
      <c r="AN12" s="827"/>
      <c r="AO12" s="827" t="s">
        <v>207</v>
      </c>
      <c r="AP12" s="851">
        <f>ROUND(3.14*(AN8/1000)*AP8,3)</f>
        <v>3.14</v>
      </c>
      <c r="AQ12" s="852" t="s">
        <v>34</v>
      </c>
      <c r="AR12" s="216" t="s">
        <v>819</v>
      </c>
      <c r="AS12" s="217"/>
      <c r="AT12" s="218">
        <v>50</v>
      </c>
      <c r="AU12" s="219"/>
      <c r="AV12" s="217"/>
      <c r="AW12" s="220">
        <v>216.5</v>
      </c>
      <c r="AX12" s="221"/>
      <c r="AY12" s="222"/>
    </row>
    <row r="13" spans="1:51" ht="18.95" customHeight="1">
      <c r="A13" s="260"/>
      <c r="B13" s="260"/>
      <c r="C13" s="858" t="s">
        <v>686</v>
      </c>
      <c r="D13" s="858"/>
      <c r="E13" s="858"/>
      <c r="F13" s="858"/>
      <c r="G13" s="260"/>
      <c r="H13" s="260"/>
      <c r="I13" s="260"/>
      <c r="J13" s="260"/>
      <c r="K13" s="260"/>
      <c r="L13" s="260"/>
      <c r="M13" s="260"/>
      <c r="N13" s="260"/>
      <c r="O13" s="817"/>
      <c r="P13" s="811"/>
      <c r="Q13" s="853" t="s">
        <v>822</v>
      </c>
      <c r="R13" s="859" t="s">
        <v>823</v>
      </c>
      <c r="S13" s="860">
        <f>ROUND(1/MID(R13,4,3),4)</f>
        <v>3.0300000000000001E-2</v>
      </c>
      <c r="T13" s="861"/>
      <c r="U13" s="811"/>
      <c r="V13" s="811"/>
      <c r="W13" s="818"/>
      <c r="X13" s="811"/>
      <c r="Y13" s="817"/>
      <c r="Z13" s="862"/>
      <c r="AA13" s="853" t="s">
        <v>688</v>
      </c>
      <c r="AB13" s="859" t="s">
        <v>824</v>
      </c>
      <c r="AC13" s="860">
        <f>ROUND(1/MID(AB13,4,4),4)</f>
        <v>6.7000000000000002E-3</v>
      </c>
      <c r="AD13" s="861"/>
      <c r="AE13" s="811"/>
      <c r="AF13" s="832"/>
      <c r="AG13" s="818"/>
      <c r="AH13" s="811"/>
      <c r="AI13" s="842"/>
      <c r="AJ13" s="827"/>
      <c r="AK13" s="827"/>
      <c r="AL13" s="850" t="s">
        <v>825</v>
      </c>
      <c r="AM13" s="811"/>
      <c r="AN13" s="811"/>
      <c r="AO13" s="827" t="s">
        <v>207</v>
      </c>
      <c r="AP13" s="851">
        <f>ROUND(AP10/AP12,3)</f>
        <v>0.25</v>
      </c>
      <c r="AQ13" s="852"/>
      <c r="AR13" s="216" t="s">
        <v>826</v>
      </c>
      <c r="AS13" s="217"/>
      <c r="AT13" s="218">
        <v>70</v>
      </c>
      <c r="AU13" s="219"/>
      <c r="AV13" s="217"/>
      <c r="AW13" s="220">
        <v>226.7</v>
      </c>
      <c r="AX13" s="221"/>
      <c r="AY13" s="222"/>
    </row>
    <row r="14" spans="1:51" ht="18.95" customHeight="1">
      <c r="A14" s="260"/>
      <c r="B14" s="260"/>
      <c r="C14" s="858"/>
      <c r="D14" s="858"/>
      <c r="E14" s="858"/>
      <c r="F14" s="858"/>
      <c r="G14" s="260"/>
      <c r="H14" s="260"/>
      <c r="I14" s="260"/>
      <c r="J14" s="260"/>
      <c r="K14" s="260"/>
      <c r="L14" s="260"/>
      <c r="M14" s="260"/>
      <c r="N14" s="260"/>
      <c r="O14" s="817"/>
      <c r="P14" s="811"/>
      <c r="Q14" s="827"/>
      <c r="R14" s="863"/>
      <c r="S14" s="864"/>
      <c r="T14" s="811"/>
      <c r="U14" s="811"/>
      <c r="V14" s="811"/>
      <c r="W14" s="818"/>
      <c r="X14" s="811"/>
      <c r="Y14" s="817"/>
      <c r="Z14" s="862"/>
      <c r="AA14" s="827"/>
      <c r="AB14" s="863"/>
      <c r="AC14" s="864"/>
      <c r="AD14" s="811"/>
      <c r="AE14" s="811"/>
      <c r="AF14" s="832"/>
      <c r="AG14" s="818"/>
      <c r="AH14" s="811"/>
      <c r="AI14" s="842"/>
      <c r="AJ14" s="827"/>
      <c r="AK14" s="827"/>
      <c r="AL14" s="811"/>
      <c r="AM14" s="811"/>
      <c r="AN14" s="811"/>
      <c r="AO14" s="827"/>
      <c r="AP14" s="851"/>
      <c r="AQ14" s="852"/>
      <c r="AR14" s="216" t="s">
        <v>826</v>
      </c>
      <c r="AS14" s="217"/>
      <c r="AT14" s="218">
        <v>80</v>
      </c>
      <c r="AU14" s="219"/>
      <c r="AV14" s="217"/>
      <c r="AW14" s="220">
        <v>230.8</v>
      </c>
      <c r="AX14" s="221"/>
      <c r="AY14" s="222"/>
    </row>
    <row r="15" spans="1:51" ht="18.95" customHeight="1">
      <c r="A15" s="260"/>
      <c r="B15" s="260"/>
      <c r="C15" s="865" t="s">
        <v>692</v>
      </c>
      <c r="D15" s="866"/>
      <c r="E15" s="867"/>
      <c r="F15" s="867"/>
      <c r="G15" s="260"/>
      <c r="H15" s="260"/>
      <c r="I15" s="260"/>
      <c r="J15" s="260"/>
      <c r="K15" s="260"/>
      <c r="L15" s="260"/>
      <c r="M15" s="260"/>
      <c r="N15" s="260"/>
      <c r="O15" s="817"/>
      <c r="P15" s="811"/>
      <c r="Q15" s="827"/>
      <c r="R15" s="827"/>
      <c r="S15" s="864"/>
      <c r="T15" s="827"/>
      <c r="U15" s="811"/>
      <c r="V15" s="811"/>
      <c r="W15" s="818"/>
      <c r="X15" s="811"/>
      <c r="Y15" s="817"/>
      <c r="Z15" s="811"/>
      <c r="AA15" s="827"/>
      <c r="AB15" s="864"/>
      <c r="AC15" s="811"/>
      <c r="AD15" s="811"/>
      <c r="AE15" s="811"/>
      <c r="AF15" s="811"/>
      <c r="AG15" s="818"/>
      <c r="AH15" s="811"/>
      <c r="AI15" s="842"/>
      <c r="AJ15" s="827"/>
      <c r="AK15" s="827"/>
      <c r="AL15" s="811" t="s">
        <v>827</v>
      </c>
      <c r="AM15" s="827"/>
      <c r="AN15" s="868">
        <f>1/AP15*100</f>
        <v>20</v>
      </c>
      <c r="AO15" s="827" t="s">
        <v>694</v>
      </c>
      <c r="AP15" s="869">
        <v>5</v>
      </c>
      <c r="AQ15" s="818" t="s">
        <v>828</v>
      </c>
      <c r="AR15" s="216" t="s">
        <v>819</v>
      </c>
      <c r="AS15" s="217"/>
      <c r="AT15" s="218">
        <v>100</v>
      </c>
      <c r="AU15" s="219"/>
      <c r="AV15" s="217"/>
      <c r="AW15" s="220">
        <v>237.5</v>
      </c>
      <c r="AX15" s="221"/>
      <c r="AY15" s="222"/>
    </row>
    <row r="16" spans="1:51" ht="18.95" customHeight="1">
      <c r="A16" s="260"/>
      <c r="B16" s="260"/>
      <c r="C16" s="858"/>
      <c r="D16" s="867" t="s">
        <v>829</v>
      </c>
      <c r="E16" s="867"/>
      <c r="F16" s="867"/>
      <c r="G16" s="260"/>
      <c r="H16" s="260"/>
      <c r="I16" s="260"/>
      <c r="J16" s="260"/>
      <c r="K16" s="260"/>
      <c r="L16" s="870">
        <f>ROUND(((2/3*3.28*L17*(L19/L18^0.5))^0.467/60),2)</f>
        <v>0.4</v>
      </c>
      <c r="M16" s="260"/>
      <c r="N16" s="260"/>
      <c r="O16" s="871"/>
      <c r="P16" s="872"/>
      <c r="Q16" s="872"/>
      <c r="R16" s="872"/>
      <c r="S16" s="872"/>
      <c r="T16" s="872"/>
      <c r="U16" s="872"/>
      <c r="V16" s="872"/>
      <c r="W16" s="873"/>
      <c r="X16" s="811"/>
      <c r="Y16" s="871"/>
      <c r="Z16" s="874"/>
      <c r="AA16" s="875"/>
      <c r="AB16" s="876"/>
      <c r="AC16" s="872"/>
      <c r="AD16" s="874"/>
      <c r="AE16" s="877"/>
      <c r="AF16" s="872"/>
      <c r="AG16" s="873"/>
      <c r="AH16" s="811"/>
      <c r="AI16" s="842"/>
      <c r="AJ16" s="827"/>
      <c r="AK16" s="827"/>
      <c r="AL16" s="827"/>
      <c r="AM16" s="811" t="s">
        <v>830</v>
      </c>
      <c r="AN16" s="864">
        <v>1.2999999999999999E-2</v>
      </c>
      <c r="AO16" s="811"/>
      <c r="AP16" s="878"/>
      <c r="AQ16" s="828"/>
      <c r="AR16" s="216" t="s">
        <v>699</v>
      </c>
      <c r="AS16" s="217"/>
      <c r="AT16" s="218">
        <v>10</v>
      </c>
      <c r="AU16" s="219"/>
      <c r="AV16" s="217"/>
      <c r="AW16" s="220">
        <v>122.2</v>
      </c>
      <c r="AX16" s="221"/>
      <c r="AY16" s="222"/>
    </row>
    <row r="17" spans="1:51" ht="18.95" customHeight="1">
      <c r="A17" s="260"/>
      <c r="B17" s="260"/>
      <c r="C17" s="858"/>
      <c r="D17" s="867" t="s">
        <v>700</v>
      </c>
      <c r="E17" s="867"/>
      <c r="F17" s="867"/>
      <c r="G17" s="260"/>
      <c r="H17" s="260"/>
      <c r="I17" s="260"/>
      <c r="J17" s="260"/>
      <c r="K17" s="260"/>
      <c r="L17" s="841">
        <v>430</v>
      </c>
      <c r="M17" s="260"/>
      <c r="N17" s="260"/>
      <c r="O17" s="817"/>
      <c r="P17" s="811" t="s">
        <v>831</v>
      </c>
      <c r="Q17" s="811"/>
      <c r="R17" s="811"/>
      <c r="S17" s="811"/>
      <c r="T17" s="811"/>
      <c r="U17" s="811"/>
      <c r="V17" s="811"/>
      <c r="W17" s="818"/>
      <c r="X17" s="811"/>
      <c r="Y17" s="817"/>
      <c r="Z17" s="811" t="s">
        <v>701</v>
      </c>
      <c r="AA17" s="863"/>
      <c r="AB17" s="864"/>
      <c r="AC17" s="811"/>
      <c r="AD17" s="862"/>
      <c r="AE17" s="827"/>
      <c r="AF17" s="811"/>
      <c r="AG17" s="818"/>
      <c r="AH17" s="811"/>
      <c r="AI17" s="817"/>
      <c r="AJ17" s="811"/>
      <c r="AK17" s="811"/>
      <c r="AL17" s="811"/>
      <c r="AM17" s="811"/>
      <c r="AN17" s="811"/>
      <c r="AO17" s="811"/>
      <c r="AP17" s="811"/>
      <c r="AQ17" s="818"/>
      <c r="AR17" s="216" t="s">
        <v>699</v>
      </c>
      <c r="AS17" s="217"/>
      <c r="AT17" s="218">
        <v>20</v>
      </c>
      <c r="AU17" s="219"/>
      <c r="AV17" s="217"/>
      <c r="AW17" s="220">
        <v>135.30000000000001</v>
      </c>
      <c r="AX17" s="221"/>
      <c r="AY17" s="222"/>
    </row>
    <row r="18" spans="1:51" ht="18.95" customHeight="1">
      <c r="A18" s="260"/>
      <c r="B18" s="260"/>
      <c r="C18" s="858"/>
      <c r="D18" s="867" t="s">
        <v>832</v>
      </c>
      <c r="E18" s="867"/>
      <c r="F18" s="867"/>
      <c r="G18" s="260"/>
      <c r="H18" s="260"/>
      <c r="I18" s="260"/>
      <c r="J18" s="260"/>
      <c r="K18" s="260"/>
      <c r="L18" s="837">
        <f>L20/L17</f>
        <v>0.54651162790697672</v>
      </c>
      <c r="M18" s="260"/>
      <c r="N18" s="260"/>
      <c r="O18" s="817"/>
      <c r="P18" s="827" t="s">
        <v>704</v>
      </c>
      <c r="Q18" s="811" t="e">
        <f>" ( "&amp;T12&amp;" × 2 EA ) + "&amp;S8&amp;"  ="</f>
        <v>#REF!</v>
      </c>
      <c r="R18" s="811"/>
      <c r="S18" s="811"/>
      <c r="T18" s="879" t="e">
        <f>ROUND(T12*2+S8,3)</f>
        <v>#REF!</v>
      </c>
      <c r="U18" s="811"/>
      <c r="V18" s="811"/>
      <c r="W18" s="818"/>
      <c r="X18" s="811"/>
      <c r="Y18" s="817"/>
      <c r="Z18" s="827" t="s">
        <v>704</v>
      </c>
      <c r="AA18" s="811" t="e">
        <f>" ( "&amp;FIXED(AD12,2)&amp;" ×2 EA ) + "&amp;FIXED(AC9,2)&amp;"  ="</f>
        <v>#REF!</v>
      </c>
      <c r="AB18" s="811"/>
      <c r="AC18" s="811"/>
      <c r="AD18" s="879" t="e">
        <f>ROUND(AD12*2+AC9,3)</f>
        <v>#REF!</v>
      </c>
      <c r="AE18" s="811"/>
      <c r="AF18" s="811"/>
      <c r="AG18" s="818"/>
      <c r="AH18" s="811"/>
      <c r="AI18" s="817"/>
      <c r="AJ18" s="880" t="s">
        <v>705</v>
      </c>
      <c r="AK18" s="881" t="str">
        <f>"V = 1 / n × R⅔ × I½  = 75 × "&amp;FIXED(AP13,3)&amp;"^⅔ × "&amp;FIXED(ROUND(1/AN15,3),3)&amp;"^⅔  ="</f>
        <v>V = 1 / n × R⅔ × I½  = 75 × 0.250^⅔ × 0.050^⅔  =</v>
      </c>
      <c r="AL18" s="826"/>
      <c r="AM18" s="811"/>
      <c r="AN18" s="864"/>
      <c r="AO18" s="811"/>
      <c r="AP18" s="811"/>
      <c r="AQ18" s="818"/>
      <c r="AR18" s="216" t="s">
        <v>833</v>
      </c>
      <c r="AS18" s="217"/>
      <c r="AT18" s="218">
        <v>30</v>
      </c>
      <c r="AU18" s="219"/>
      <c r="AV18" s="217"/>
      <c r="AW18" s="220">
        <v>142.9</v>
      </c>
      <c r="AX18" s="221"/>
      <c r="AY18" s="222"/>
    </row>
    <row r="19" spans="1:51" ht="18.95" customHeight="1">
      <c r="A19" s="260"/>
      <c r="B19" s="260"/>
      <c r="C19" s="260"/>
      <c r="D19" s="867" t="s">
        <v>834</v>
      </c>
      <c r="E19" s="260"/>
      <c r="F19" s="260"/>
      <c r="G19" s="260"/>
      <c r="H19" s="260"/>
      <c r="I19" s="260"/>
      <c r="J19" s="260"/>
      <c r="K19" s="260"/>
      <c r="L19" s="841">
        <v>0.7</v>
      </c>
      <c r="M19" s="260"/>
      <c r="N19" s="260"/>
      <c r="O19" s="817"/>
      <c r="P19" s="827"/>
      <c r="Q19" s="811"/>
      <c r="R19" s="811"/>
      <c r="S19" s="811"/>
      <c r="T19" s="879"/>
      <c r="U19" s="811"/>
      <c r="V19" s="811"/>
      <c r="W19" s="818"/>
      <c r="X19" s="811"/>
      <c r="Y19" s="817"/>
      <c r="Z19" s="827"/>
      <c r="AA19" s="811"/>
      <c r="AB19" s="811"/>
      <c r="AC19" s="811"/>
      <c r="AD19" s="879"/>
      <c r="AE19" s="811"/>
      <c r="AF19" s="811"/>
      <c r="AG19" s="818"/>
      <c r="AH19" s="811"/>
      <c r="AI19" s="817"/>
      <c r="AJ19" s="880"/>
      <c r="AK19" s="811"/>
      <c r="AL19" s="826"/>
      <c r="AM19" s="864"/>
      <c r="AN19" s="811"/>
      <c r="AO19" s="851">
        <f>ROUND(75*AP13^(2/3)*(1/AN15)^(1/2),3)</f>
        <v>6.6550000000000002</v>
      </c>
      <c r="AP19" s="882" t="s">
        <v>835</v>
      </c>
      <c r="AQ19" s="818"/>
      <c r="AR19" s="216" t="s">
        <v>699</v>
      </c>
      <c r="AS19" s="217"/>
      <c r="AT19" s="218">
        <v>50</v>
      </c>
      <c r="AU19" s="219"/>
      <c r="AV19" s="217"/>
      <c r="AW19" s="220">
        <v>152.30000000000001</v>
      </c>
      <c r="AX19" s="221"/>
      <c r="AY19" s="222"/>
    </row>
    <row r="20" spans="1:51" ht="18.95" customHeight="1">
      <c r="A20" s="260"/>
      <c r="B20" s="260"/>
      <c r="C20" s="260"/>
      <c r="D20" s="867" t="s">
        <v>836</v>
      </c>
      <c r="E20" s="260"/>
      <c r="F20" s="260"/>
      <c r="G20" s="260"/>
      <c r="H20" s="260"/>
      <c r="I20" s="260"/>
      <c r="J20" s="260"/>
      <c r="K20" s="260"/>
      <c r="L20" s="883">
        <v>235</v>
      </c>
      <c r="M20" s="260"/>
      <c r="N20" s="260"/>
      <c r="O20" s="817"/>
      <c r="P20" s="811" t="s">
        <v>837</v>
      </c>
      <c r="Q20" s="811"/>
      <c r="R20" s="811"/>
      <c r="S20" s="811"/>
      <c r="T20" s="879"/>
      <c r="U20" s="811"/>
      <c r="V20" s="811"/>
      <c r="W20" s="818"/>
      <c r="X20" s="811"/>
      <c r="Y20" s="817"/>
      <c r="Z20" s="811" t="s">
        <v>837</v>
      </c>
      <c r="AA20" s="811"/>
      <c r="AB20" s="811"/>
      <c r="AC20" s="811"/>
      <c r="AD20" s="879"/>
      <c r="AE20" s="811"/>
      <c r="AF20" s="811"/>
      <c r="AG20" s="818"/>
      <c r="AH20" s="811"/>
      <c r="AI20" s="817"/>
      <c r="AJ20" s="880"/>
      <c r="AK20" s="811"/>
      <c r="AL20" s="826"/>
      <c r="AM20" s="864"/>
      <c r="AN20" s="811"/>
      <c r="AO20" s="851"/>
      <c r="AP20" s="882"/>
      <c r="AQ20" s="818"/>
      <c r="AR20" s="216" t="s">
        <v>833</v>
      </c>
      <c r="AS20" s="217"/>
      <c r="AT20" s="218">
        <v>70</v>
      </c>
      <c r="AU20" s="219"/>
      <c r="AV20" s="217"/>
      <c r="AW20" s="220">
        <v>158.5</v>
      </c>
      <c r="AX20" s="221"/>
      <c r="AY20" s="222"/>
    </row>
    <row r="21" spans="1:51" ht="18.95" customHeight="1">
      <c r="A21" s="260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817"/>
      <c r="P21" s="827" t="s">
        <v>711</v>
      </c>
      <c r="Q21" s="811" t="e">
        <f>" ( "&amp;#REF!+Q9*2&amp;" + "&amp;S8&amp;" )× 1/2 × "&amp;S6&amp;"  ="</f>
        <v>#REF!</v>
      </c>
      <c r="R21" s="811"/>
      <c r="S21" s="811"/>
      <c r="T21" s="879" t="e">
        <f>ROUND(((#REF!+Q9*2)+S8)/2*S6,2)</f>
        <v>#REF!</v>
      </c>
      <c r="U21" s="811"/>
      <c r="V21" s="811"/>
      <c r="W21" s="818"/>
      <c r="X21" s="811"/>
      <c r="Y21" s="817"/>
      <c r="Z21" s="827" t="s">
        <v>711</v>
      </c>
      <c r="AA21" s="811" t="e">
        <f>" ( "&amp;FIXED(#REF!+AA9*2,2)&amp;" + "&amp;FIXED(AC9,2)&amp;" ) ×1/2 ×"&amp;FIXED(AC6,2)&amp;"  ="</f>
        <v>#REF!</v>
      </c>
      <c r="AB21" s="811"/>
      <c r="AC21" s="811"/>
      <c r="AD21" s="879" t="e">
        <f>ROUND(((#REF!+AA9*2)+AC9)/2*AC6,2)</f>
        <v>#REF!</v>
      </c>
      <c r="AE21" s="811"/>
      <c r="AF21" s="811"/>
      <c r="AG21" s="818"/>
      <c r="AH21" s="811"/>
      <c r="AI21" s="817"/>
      <c r="AJ21" s="880" t="s">
        <v>838</v>
      </c>
      <c r="AK21" s="811" t="str">
        <f>"Q = A × V   = "&amp;FIXED(AP10,3)&amp;" × "&amp;FIXED(AO19,3)&amp;"  ="</f>
        <v>Q = A × V   = 0.785 × 6.655  =</v>
      </c>
      <c r="AL21" s="811"/>
      <c r="AM21" s="884"/>
      <c r="AN21" s="864"/>
      <c r="AO21" s="851">
        <f>ROUND(AP10*AO19,3)</f>
        <v>5.2240000000000002</v>
      </c>
      <c r="AP21" s="811" t="s">
        <v>713</v>
      </c>
      <c r="AQ21" s="818"/>
      <c r="AR21" s="216" t="s">
        <v>699</v>
      </c>
      <c r="AS21" s="217"/>
      <c r="AT21" s="218">
        <v>80</v>
      </c>
      <c r="AU21" s="219"/>
      <c r="AV21" s="217"/>
      <c r="AW21" s="220">
        <v>160.9</v>
      </c>
      <c r="AX21" s="221"/>
      <c r="AY21" s="222"/>
    </row>
    <row r="22" spans="1:51" ht="18.95" customHeight="1" thickBot="1">
      <c r="A22" s="260"/>
      <c r="B22" s="816" t="s">
        <v>839</v>
      </c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817"/>
      <c r="P22" s="827"/>
      <c r="Q22" s="811"/>
      <c r="R22" s="811"/>
      <c r="S22" s="811"/>
      <c r="T22" s="879"/>
      <c r="U22" s="811"/>
      <c r="V22" s="811"/>
      <c r="W22" s="818"/>
      <c r="X22" s="811"/>
      <c r="Y22" s="817"/>
      <c r="Z22" s="827"/>
      <c r="AA22" s="811"/>
      <c r="AB22" s="811"/>
      <c r="AC22" s="811"/>
      <c r="AD22" s="879"/>
      <c r="AE22" s="811"/>
      <c r="AF22" s="811"/>
      <c r="AG22" s="818"/>
      <c r="AH22" s="811"/>
      <c r="AI22" s="817"/>
      <c r="AJ22" s="862"/>
      <c r="AK22" s="827"/>
      <c r="AL22" s="827"/>
      <c r="AM22" s="827"/>
      <c r="AN22" s="827"/>
      <c r="AO22" s="827"/>
      <c r="AP22" s="827"/>
      <c r="AQ22" s="818"/>
      <c r="AR22" s="216" t="s">
        <v>840</v>
      </c>
      <c r="AS22" s="217"/>
      <c r="AT22" s="218">
        <v>100</v>
      </c>
      <c r="AU22" s="219"/>
      <c r="AV22" s="217"/>
      <c r="AW22" s="220">
        <v>165</v>
      </c>
      <c r="AX22" s="221"/>
      <c r="AY22" s="222"/>
    </row>
    <row r="23" spans="1:51" ht="18.95" customHeight="1" thickBot="1">
      <c r="A23" s="260"/>
      <c r="B23" s="816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817"/>
      <c r="P23" s="827"/>
      <c r="Q23" s="811"/>
      <c r="R23" s="811"/>
      <c r="S23" s="811"/>
      <c r="T23" s="879"/>
      <c r="U23" s="811"/>
      <c r="V23" s="811"/>
      <c r="W23" s="818"/>
      <c r="X23" s="811"/>
      <c r="Y23" s="817"/>
      <c r="Z23" s="827"/>
      <c r="AA23" s="811"/>
      <c r="AB23" s="811"/>
      <c r="AC23" s="811"/>
      <c r="AD23" s="879"/>
      <c r="AE23" s="811"/>
      <c r="AF23" s="811"/>
      <c r="AG23" s="818"/>
      <c r="AH23" s="811"/>
      <c r="AI23" s="817"/>
      <c r="AJ23" s="862"/>
      <c r="AK23" s="1255" t="str">
        <f>AO21&amp;"㎥/s &gt; Qd = "&amp;AK5&amp;"㎥/s "&amp;IF(AO21&gt;AK5," -  O K  - "," -  N O  - ")</f>
        <v xml:space="preserve">5.224㎥/s &gt; Qd = 3.75㎥/s  -  O K  - </v>
      </c>
      <c r="AL23" s="1255"/>
      <c r="AM23" s="1255"/>
      <c r="AN23" s="1255"/>
      <c r="AO23" s="1255"/>
      <c r="AP23" s="827"/>
      <c r="AQ23" s="818"/>
      <c r="AR23" s="216" t="s">
        <v>841</v>
      </c>
      <c r="AS23" s="217"/>
      <c r="AT23" s="218">
        <v>10</v>
      </c>
      <c r="AU23" s="219"/>
      <c r="AV23" s="217"/>
      <c r="AW23" s="220">
        <v>217.1</v>
      </c>
      <c r="AX23" s="221"/>
      <c r="AY23" s="222"/>
    </row>
    <row r="24" spans="1:51" ht="18.95" customHeight="1">
      <c r="A24" s="260"/>
      <c r="B24" s="260"/>
      <c r="C24" s="260" t="s">
        <v>842</v>
      </c>
      <c r="D24" s="260"/>
      <c r="E24" s="260"/>
      <c r="F24" s="260"/>
      <c r="G24" s="260"/>
      <c r="H24" s="260"/>
      <c r="I24" s="260"/>
      <c r="J24" s="260"/>
      <c r="K24" s="260"/>
      <c r="L24" s="885">
        <f>ROUND((F25/24)*(24/L16)^0.557,2)</f>
        <v>126.15</v>
      </c>
      <c r="M24" s="260"/>
      <c r="N24" s="260"/>
      <c r="O24" s="817"/>
      <c r="P24" s="827" t="s">
        <v>843</v>
      </c>
      <c r="Q24" s="811" t="e">
        <f>" ( "&amp;T21&amp;" / "&amp;T18&amp;" )  ="</f>
        <v>#REF!</v>
      </c>
      <c r="R24" s="811"/>
      <c r="S24" s="811"/>
      <c r="T24" s="879" t="e">
        <f>ROUND(T21/T18,3)</f>
        <v>#REF!</v>
      </c>
      <c r="U24" s="811"/>
      <c r="V24" s="811"/>
      <c r="W24" s="818"/>
      <c r="X24" s="811"/>
      <c r="Y24" s="817"/>
      <c r="Z24" s="827" t="s">
        <v>844</v>
      </c>
      <c r="AA24" s="811" t="e">
        <f>" ( "&amp;FIXED(AD21,2)&amp;" / "&amp;FIXED(AD18,2)&amp;" ) ="</f>
        <v>#REF!</v>
      </c>
      <c r="AB24" s="811"/>
      <c r="AC24" s="811"/>
      <c r="AD24" s="879" t="e">
        <f>ROUND(AD21/AD18,3)</f>
        <v>#REF!</v>
      </c>
      <c r="AE24" s="811"/>
      <c r="AF24" s="811"/>
      <c r="AG24" s="818"/>
      <c r="AH24" s="811"/>
      <c r="AI24" s="817"/>
      <c r="AJ24" s="862"/>
      <c r="AK24" s="811"/>
      <c r="AL24" s="886"/>
      <c r="AM24" s="827"/>
      <c r="AN24" s="887"/>
      <c r="AO24" s="827"/>
      <c r="AP24" s="811"/>
      <c r="AQ24" s="828"/>
      <c r="AR24" s="216" t="s">
        <v>642</v>
      </c>
      <c r="AS24" s="217"/>
      <c r="AT24" s="218">
        <v>20</v>
      </c>
      <c r="AU24" s="219"/>
      <c r="AV24" s="217"/>
      <c r="AW24" s="220">
        <v>254</v>
      </c>
      <c r="AX24" s="221"/>
      <c r="AY24" s="222"/>
    </row>
    <row r="25" spans="1:51" ht="18.95" customHeight="1">
      <c r="A25" s="260"/>
      <c r="B25" s="260"/>
      <c r="C25" s="260"/>
      <c r="D25" s="260" t="s">
        <v>845</v>
      </c>
      <c r="E25" s="260"/>
      <c r="F25" s="610">
        <f t="array" ref="F25">MAX(IF(($AR$2:$AR$85=L26)*($AT$2:$AT$85=M26),$AW$2:$AW$85,""))</f>
        <v>309.5</v>
      </c>
      <c r="G25" s="611"/>
      <c r="H25" s="1254" t="s">
        <v>846</v>
      </c>
      <c r="I25" s="1254"/>
      <c r="J25" s="260"/>
      <c r="K25" s="260"/>
      <c r="L25" s="888" t="s">
        <v>720</v>
      </c>
      <c r="M25" s="888" t="s">
        <v>847</v>
      </c>
      <c r="N25" s="260"/>
      <c r="O25" s="817"/>
      <c r="P25" s="811" t="s">
        <v>848</v>
      </c>
      <c r="Q25" s="811"/>
      <c r="R25" s="811"/>
      <c r="S25" s="811"/>
      <c r="T25" s="879"/>
      <c r="U25" s="811"/>
      <c r="V25" s="811"/>
      <c r="W25" s="818"/>
      <c r="X25" s="811"/>
      <c r="Y25" s="817"/>
      <c r="Z25" s="811" t="s">
        <v>722</v>
      </c>
      <c r="AA25" s="811"/>
      <c r="AB25" s="811"/>
      <c r="AC25" s="811"/>
      <c r="AD25" s="879"/>
      <c r="AE25" s="811"/>
      <c r="AF25" s="811"/>
      <c r="AG25" s="818"/>
      <c r="AH25" s="811"/>
      <c r="AI25" s="817"/>
      <c r="AJ25" s="880" t="s">
        <v>849</v>
      </c>
      <c r="AK25" s="827">
        <f>ROUND(AO21/AK5*100,)</f>
        <v>139</v>
      </c>
      <c r="AL25" s="850" t="s">
        <v>695</v>
      </c>
      <c r="AM25" s="827"/>
      <c r="AN25" s="887"/>
      <c r="AO25" s="827"/>
      <c r="AP25" s="811"/>
      <c r="AQ25" s="828"/>
      <c r="AR25" s="216" t="s">
        <v>715</v>
      </c>
      <c r="AS25" s="217"/>
      <c r="AT25" s="218">
        <v>30</v>
      </c>
      <c r="AU25" s="219"/>
      <c r="AV25" s="217"/>
      <c r="AW25" s="220">
        <v>275.2</v>
      </c>
      <c r="AX25" s="221"/>
      <c r="AY25" s="222"/>
    </row>
    <row r="26" spans="1:51" ht="18.95" customHeight="1">
      <c r="A26" s="260"/>
      <c r="B26" s="260"/>
      <c r="C26" s="260"/>
      <c r="D26" s="260"/>
      <c r="E26" s="260"/>
      <c r="F26" s="611"/>
      <c r="G26" s="611"/>
      <c r="H26" s="889"/>
      <c r="I26" s="889"/>
      <c r="J26" s="260"/>
      <c r="K26" s="260"/>
      <c r="L26" s="613" t="s">
        <v>503</v>
      </c>
      <c r="M26" s="613">
        <v>100</v>
      </c>
      <c r="N26" s="260"/>
      <c r="O26" s="817"/>
      <c r="P26" s="827" t="s">
        <v>726</v>
      </c>
      <c r="Q26" s="811" t="e">
        <f>" 1 / "&amp;#REF!&amp;" × "&amp;T24&amp;"^ ⅔ × "&amp;S13&amp;" ^½  ="</f>
        <v>#REF!</v>
      </c>
      <c r="R26" s="811"/>
      <c r="S26" s="811"/>
      <c r="T26" s="879" t="e">
        <f>ROUND(1/#REF!*T24^(2/3)*S13^(1/2),3)</f>
        <v>#REF!</v>
      </c>
      <c r="U26" s="811" t="s">
        <v>850</v>
      </c>
      <c r="V26" s="811"/>
      <c r="W26" s="818"/>
      <c r="X26" s="811"/>
      <c r="Y26" s="817"/>
      <c r="Z26" s="827" t="s">
        <v>851</v>
      </c>
      <c r="AA26" s="811" t="e">
        <f>" 1/"&amp;FIXED(#REF!,3)&amp;" ×"&amp;FIXED(AD24,3)&amp;"^ ⅔ ×"&amp;FIXED(AC13,3)&amp;" ^½ ="</f>
        <v>#REF!</v>
      </c>
      <c r="AB26" s="811"/>
      <c r="AC26" s="811"/>
      <c r="AD26" s="879" t="e">
        <f>ROUND(1/#REF!*AD24^(2/3)*AC13^(1/2),3)</f>
        <v>#REF!</v>
      </c>
      <c r="AE26" s="811" t="s">
        <v>852</v>
      </c>
      <c r="AF26" s="811"/>
      <c r="AG26" s="818"/>
      <c r="AH26" s="811"/>
      <c r="AI26" s="838"/>
      <c r="AJ26" s="839"/>
      <c r="AK26" s="839"/>
      <c r="AL26" s="260"/>
      <c r="AM26" s="260"/>
      <c r="AN26" s="260"/>
      <c r="AO26" s="260"/>
      <c r="AP26" s="811"/>
      <c r="AQ26" s="828"/>
      <c r="AR26" s="216" t="s">
        <v>853</v>
      </c>
      <c r="AS26" s="217"/>
      <c r="AT26" s="218">
        <v>50</v>
      </c>
      <c r="AU26" s="219"/>
      <c r="AV26" s="217"/>
      <c r="AW26" s="220">
        <v>301.7</v>
      </c>
      <c r="AX26" s="221"/>
      <c r="AY26" s="222"/>
    </row>
    <row r="27" spans="1:51" ht="18.95" customHeight="1" thickBot="1">
      <c r="A27" s="260"/>
      <c r="B27" s="260"/>
      <c r="C27" s="260"/>
      <c r="D27" s="260"/>
      <c r="E27" s="260"/>
      <c r="F27" s="611"/>
      <c r="G27" s="611"/>
      <c r="H27" s="889"/>
      <c r="I27" s="889"/>
      <c r="J27" s="260"/>
      <c r="K27" s="260"/>
      <c r="L27" s="614"/>
      <c r="M27" s="614"/>
      <c r="N27" s="260"/>
      <c r="O27" s="817"/>
      <c r="P27" s="827"/>
      <c r="Q27" s="811"/>
      <c r="R27" s="811"/>
      <c r="S27" s="811"/>
      <c r="T27" s="811"/>
      <c r="U27" s="811"/>
      <c r="V27" s="811"/>
      <c r="W27" s="818"/>
      <c r="X27" s="811"/>
      <c r="Y27" s="817"/>
      <c r="Z27" s="827"/>
      <c r="AA27" s="811"/>
      <c r="AB27" s="811"/>
      <c r="AC27" s="811"/>
      <c r="AD27" s="879"/>
      <c r="AE27" s="811"/>
      <c r="AF27" s="811"/>
      <c r="AG27" s="818"/>
      <c r="AH27" s="811"/>
      <c r="AI27" s="890"/>
      <c r="AJ27" s="891"/>
      <c r="AK27" s="891"/>
      <c r="AL27" s="891"/>
      <c r="AM27" s="891"/>
      <c r="AN27" s="891"/>
      <c r="AO27" s="891"/>
      <c r="AP27" s="891"/>
      <c r="AQ27" s="892"/>
      <c r="AR27" s="216" t="s">
        <v>715</v>
      </c>
      <c r="AS27" s="217"/>
      <c r="AT27" s="218">
        <v>70</v>
      </c>
      <c r="AU27" s="219"/>
      <c r="AV27" s="217"/>
      <c r="AW27" s="220">
        <v>319.10000000000002</v>
      </c>
      <c r="AX27" s="221"/>
      <c r="AY27" s="222"/>
    </row>
    <row r="28" spans="1:51" ht="18.95" customHeight="1">
      <c r="A28" s="260"/>
      <c r="B28" s="260"/>
      <c r="C28" s="260"/>
      <c r="D28" s="893" t="s">
        <v>854</v>
      </c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894"/>
      <c r="P28" s="895"/>
      <c r="Q28" s="896"/>
      <c r="R28" s="896"/>
      <c r="S28" s="896"/>
      <c r="T28" s="896"/>
      <c r="U28" s="896"/>
      <c r="V28" s="896"/>
      <c r="W28" s="897"/>
      <c r="X28" s="811"/>
      <c r="Y28" s="894"/>
      <c r="Z28" s="895"/>
      <c r="AA28" s="896"/>
      <c r="AB28" s="896"/>
      <c r="AC28" s="896"/>
      <c r="AD28" s="898"/>
      <c r="AE28" s="896"/>
      <c r="AF28" s="896"/>
      <c r="AG28" s="897"/>
      <c r="AH28" s="811"/>
      <c r="AI28" s="260"/>
      <c r="AJ28" s="260"/>
      <c r="AK28" s="260"/>
      <c r="AL28" s="260"/>
      <c r="AM28" s="260"/>
      <c r="AN28" s="260"/>
      <c r="AO28" s="260"/>
      <c r="AP28" s="260"/>
      <c r="AQ28" s="260"/>
      <c r="AR28" s="216" t="s">
        <v>642</v>
      </c>
      <c r="AS28" s="217"/>
      <c r="AT28" s="218">
        <v>80</v>
      </c>
      <c r="AU28" s="219"/>
      <c r="AV28" s="217"/>
      <c r="AW28" s="220">
        <v>326</v>
      </c>
      <c r="AX28" s="221"/>
      <c r="AY28" s="222"/>
    </row>
    <row r="29" spans="1:51" ht="18.95" customHeight="1">
      <c r="O29" s="899"/>
      <c r="P29" s="900"/>
      <c r="Q29" s="901"/>
      <c r="R29" s="901"/>
      <c r="S29" s="901"/>
      <c r="T29" s="901"/>
      <c r="U29" s="901"/>
      <c r="V29" s="901"/>
      <c r="W29" s="902"/>
      <c r="Y29" s="899"/>
      <c r="Z29" s="900"/>
      <c r="AA29" s="901"/>
      <c r="AB29" s="901"/>
      <c r="AC29" s="901"/>
      <c r="AD29" s="903"/>
      <c r="AE29" s="901"/>
      <c r="AF29" s="901"/>
      <c r="AG29" s="902"/>
      <c r="AI29" s="214"/>
      <c r="AJ29" s="214"/>
      <c r="AK29" s="214"/>
      <c r="AL29" s="214"/>
      <c r="AM29" s="214"/>
      <c r="AN29" s="214"/>
      <c r="AO29" s="214"/>
      <c r="AP29" s="214"/>
      <c r="AQ29" s="214"/>
      <c r="AR29" s="216" t="s">
        <v>642</v>
      </c>
      <c r="AS29" s="217"/>
      <c r="AT29" s="218">
        <v>100</v>
      </c>
      <c r="AU29" s="219"/>
      <c r="AV29" s="217"/>
      <c r="AW29" s="220">
        <v>337.5</v>
      </c>
      <c r="AX29" s="221"/>
      <c r="AY29" s="222"/>
    </row>
    <row r="30" spans="1:51" ht="18.95" customHeight="1">
      <c r="L30" s="904" t="s">
        <v>730</v>
      </c>
      <c r="O30" s="560"/>
      <c r="W30" s="585"/>
      <c r="Y30" s="560"/>
      <c r="Z30" s="572"/>
      <c r="AA30" s="562"/>
      <c r="AB30" s="562"/>
      <c r="AC30" s="905"/>
      <c r="AD30" s="562"/>
      <c r="AE30" s="562"/>
      <c r="AF30" s="562"/>
      <c r="AG30" s="585"/>
      <c r="AI30" s="214"/>
      <c r="AJ30" s="214"/>
      <c r="AK30" s="214"/>
      <c r="AL30" s="214"/>
      <c r="AM30" s="214"/>
      <c r="AN30" s="214"/>
      <c r="AO30" s="214"/>
      <c r="AP30" s="214"/>
      <c r="AQ30" s="214"/>
      <c r="AR30" s="216" t="s">
        <v>645</v>
      </c>
      <c r="AS30" s="217"/>
      <c r="AT30" s="218">
        <v>10</v>
      </c>
      <c r="AU30" s="219"/>
      <c r="AV30" s="217"/>
      <c r="AW30" s="220">
        <v>170.4</v>
      </c>
      <c r="AX30" s="221"/>
      <c r="AY30" s="222"/>
    </row>
    <row r="31" spans="1:51" ht="18.95" customHeight="1" thickBot="1">
      <c r="O31" s="906"/>
      <c r="P31" s="907"/>
      <c r="Q31" s="907"/>
      <c r="R31" s="907"/>
      <c r="S31" s="907"/>
      <c r="T31" s="907"/>
      <c r="U31" s="907"/>
      <c r="V31" s="907"/>
      <c r="W31" s="908"/>
      <c r="Y31" s="906"/>
      <c r="Z31" s="907"/>
      <c r="AA31" s="907"/>
      <c r="AB31" s="907"/>
      <c r="AC31" s="907"/>
      <c r="AD31" s="907"/>
      <c r="AE31" s="907"/>
      <c r="AF31" s="907"/>
      <c r="AG31" s="908"/>
      <c r="AI31" s="214"/>
      <c r="AJ31" s="214"/>
      <c r="AK31" s="214"/>
      <c r="AL31" s="214"/>
      <c r="AM31" s="214"/>
      <c r="AN31" s="214"/>
      <c r="AO31" s="214"/>
      <c r="AP31" s="214"/>
      <c r="AQ31" s="214"/>
      <c r="AR31" s="216" t="s">
        <v>647</v>
      </c>
      <c r="AS31" s="217"/>
      <c r="AT31" s="218">
        <v>20</v>
      </c>
      <c r="AU31" s="219"/>
      <c r="AV31" s="217"/>
      <c r="AW31" s="220">
        <v>196.8</v>
      </c>
      <c r="AX31" s="221"/>
      <c r="AY31" s="222"/>
    </row>
    <row r="32" spans="1:51" ht="18.95" customHeight="1">
      <c r="O32" s="215"/>
      <c r="P32" s="215"/>
      <c r="Q32" s="215"/>
      <c r="R32" s="215"/>
      <c r="S32" s="215"/>
      <c r="T32" s="808"/>
      <c r="U32" s="909"/>
      <c r="V32" s="909"/>
      <c r="Y32" s="562"/>
      <c r="Z32" s="562"/>
      <c r="AA32" s="562"/>
      <c r="AB32" s="562"/>
      <c r="AC32" s="562"/>
      <c r="AD32" s="808"/>
      <c r="AE32" s="909"/>
      <c r="AF32" s="909"/>
      <c r="AI32" s="214"/>
      <c r="AJ32" s="214"/>
      <c r="AK32" s="214"/>
      <c r="AL32" s="214"/>
      <c r="AM32" s="214"/>
      <c r="AN32" s="214"/>
      <c r="AO32" s="214"/>
      <c r="AP32" s="214"/>
      <c r="AQ32" s="214"/>
      <c r="AR32" s="216" t="s">
        <v>855</v>
      </c>
      <c r="AS32" s="217"/>
      <c r="AT32" s="218">
        <v>30</v>
      </c>
      <c r="AU32" s="219"/>
      <c r="AV32" s="217"/>
      <c r="AW32" s="220">
        <v>211.2</v>
      </c>
      <c r="AX32" s="221"/>
      <c r="AY32" s="222"/>
    </row>
    <row r="33" spans="15:51" ht="18.95" customHeight="1">
      <c r="O33" s="910"/>
      <c r="P33" s="911"/>
      <c r="Q33" s="910"/>
      <c r="R33" s="910"/>
      <c r="S33" s="910"/>
      <c r="T33" s="910"/>
      <c r="U33" s="910"/>
      <c r="V33" s="910"/>
      <c r="W33" s="910"/>
      <c r="AI33" s="214"/>
      <c r="AJ33" s="214"/>
      <c r="AK33" s="214"/>
      <c r="AL33" s="214"/>
      <c r="AM33" s="214"/>
      <c r="AN33" s="214"/>
      <c r="AO33" s="214"/>
      <c r="AP33" s="214"/>
      <c r="AQ33" s="214"/>
      <c r="AR33" s="216" t="s">
        <v>647</v>
      </c>
      <c r="AS33" s="217"/>
      <c r="AT33" s="218">
        <v>50</v>
      </c>
      <c r="AU33" s="219"/>
      <c r="AV33" s="217"/>
      <c r="AW33" s="220">
        <v>228</v>
      </c>
      <c r="AX33" s="221"/>
      <c r="AY33" s="222"/>
    </row>
    <row r="34" spans="15:51" ht="18.95" customHeight="1">
      <c r="P34" s="909"/>
      <c r="AI34" s="214"/>
      <c r="AJ34" s="214"/>
      <c r="AK34" s="214"/>
      <c r="AL34" s="214"/>
      <c r="AM34" s="214"/>
      <c r="AN34" s="214"/>
      <c r="AO34" s="214"/>
      <c r="AP34" s="214"/>
      <c r="AQ34" s="214"/>
      <c r="AR34" s="216" t="s">
        <v>645</v>
      </c>
      <c r="AS34" s="217"/>
      <c r="AT34" s="218">
        <v>70</v>
      </c>
      <c r="AU34" s="219"/>
      <c r="AV34" s="217"/>
      <c r="AW34" s="220">
        <v>240</v>
      </c>
      <c r="AX34" s="221"/>
      <c r="AY34" s="222"/>
    </row>
    <row r="35" spans="15:51" ht="18.95" customHeight="1">
      <c r="P35" s="909"/>
      <c r="AI35" s="214"/>
      <c r="AJ35" s="214"/>
      <c r="AK35" s="214"/>
      <c r="AL35" s="214"/>
      <c r="AM35" s="214"/>
      <c r="AN35" s="214"/>
      <c r="AO35" s="214"/>
      <c r="AP35" s="214"/>
      <c r="AQ35" s="214"/>
      <c r="AR35" s="216" t="s">
        <v>856</v>
      </c>
      <c r="AS35" s="217"/>
      <c r="AT35" s="218">
        <v>80</v>
      </c>
      <c r="AU35" s="219"/>
      <c r="AV35" s="217"/>
      <c r="AW35" s="220">
        <v>244.8</v>
      </c>
      <c r="AX35" s="221"/>
      <c r="AY35" s="222"/>
    </row>
    <row r="36" spans="15:51" ht="18.95" customHeight="1">
      <c r="P36" s="1256"/>
      <c r="Q36" s="1256"/>
      <c r="AI36" s="214"/>
      <c r="AJ36" s="214"/>
      <c r="AK36" s="214"/>
      <c r="AL36" s="214"/>
      <c r="AM36" s="214"/>
      <c r="AN36" s="214"/>
      <c r="AO36" s="214"/>
      <c r="AP36" s="214"/>
      <c r="AQ36" s="214"/>
      <c r="AR36" s="216" t="s">
        <v>647</v>
      </c>
      <c r="AS36" s="217"/>
      <c r="AT36" s="218">
        <v>100</v>
      </c>
      <c r="AU36" s="219"/>
      <c r="AV36" s="217"/>
      <c r="AW36" s="220">
        <v>252</v>
      </c>
      <c r="AX36" s="221"/>
      <c r="AY36" s="222"/>
    </row>
    <row r="37" spans="15:51" ht="18.95" customHeight="1">
      <c r="P37" s="909"/>
      <c r="AI37" s="214"/>
      <c r="AJ37" s="214"/>
      <c r="AK37" s="214"/>
      <c r="AL37" s="214"/>
      <c r="AM37" s="214"/>
      <c r="AN37" s="214"/>
      <c r="AO37" s="214"/>
      <c r="AP37" s="214"/>
      <c r="AQ37" s="214"/>
      <c r="AR37" s="216" t="s">
        <v>731</v>
      </c>
      <c r="AS37" s="217"/>
      <c r="AT37" s="218">
        <v>10</v>
      </c>
      <c r="AU37" s="219"/>
      <c r="AV37" s="217"/>
      <c r="AW37" s="220">
        <v>233.5</v>
      </c>
      <c r="AX37" s="221"/>
      <c r="AY37" s="222"/>
    </row>
    <row r="38" spans="15:51" ht="18.95" customHeight="1">
      <c r="P38" s="905"/>
      <c r="Q38" s="905"/>
      <c r="R38" s="905"/>
      <c r="S38" s="589"/>
      <c r="T38" s="589"/>
      <c r="U38" s="905"/>
      <c r="V38" s="905"/>
      <c r="AI38" s="214"/>
      <c r="AJ38" s="214"/>
      <c r="AK38" s="214"/>
      <c r="AL38" s="214"/>
      <c r="AM38" s="214"/>
      <c r="AN38" s="214"/>
      <c r="AO38" s="214"/>
      <c r="AP38" s="214"/>
      <c r="AQ38" s="214"/>
      <c r="AR38" s="216" t="s">
        <v>857</v>
      </c>
      <c r="AS38" s="217"/>
      <c r="AT38" s="218">
        <v>20</v>
      </c>
      <c r="AU38" s="219"/>
      <c r="AV38" s="217"/>
      <c r="AW38" s="220">
        <v>273.89999999999998</v>
      </c>
      <c r="AX38" s="221"/>
      <c r="AY38" s="222"/>
    </row>
    <row r="39" spans="15:51" ht="18.95" customHeight="1">
      <c r="P39" s="905"/>
      <c r="Q39" s="912"/>
      <c r="R39" s="913"/>
      <c r="S39" s="912"/>
      <c r="T39" s="912"/>
      <c r="U39" s="912"/>
      <c r="V39" s="9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6" t="s">
        <v>731</v>
      </c>
      <c r="AS39" s="217"/>
      <c r="AT39" s="218">
        <v>30</v>
      </c>
      <c r="AU39" s="219"/>
      <c r="AV39" s="217"/>
      <c r="AW39" s="220">
        <v>297.2</v>
      </c>
      <c r="AX39" s="221"/>
      <c r="AY39" s="222"/>
    </row>
    <row r="40" spans="15:51" ht="18.95" customHeight="1">
      <c r="P40" s="905"/>
      <c r="Q40" s="905"/>
      <c r="R40" s="905"/>
      <c r="S40" s="905"/>
      <c r="T40" s="905"/>
      <c r="U40" s="905"/>
      <c r="V40" s="905"/>
      <c r="AI40" s="214"/>
      <c r="AJ40" s="214"/>
      <c r="AK40" s="214"/>
      <c r="AL40" s="214"/>
      <c r="AM40" s="214"/>
      <c r="AN40" s="214"/>
      <c r="AO40" s="214"/>
      <c r="AP40" s="214"/>
      <c r="AQ40" s="214"/>
      <c r="AR40" s="216" t="s">
        <v>731</v>
      </c>
      <c r="AS40" s="217"/>
      <c r="AT40" s="218">
        <v>50</v>
      </c>
      <c r="AU40" s="219"/>
      <c r="AV40" s="217"/>
      <c r="AW40" s="220">
        <v>326.3</v>
      </c>
      <c r="AX40" s="221"/>
      <c r="AY40" s="222"/>
    </row>
    <row r="41" spans="15:51" ht="18.95" customHeight="1">
      <c r="P41" s="905"/>
      <c r="Q41" s="905"/>
      <c r="R41" s="1257"/>
      <c r="S41" s="589"/>
      <c r="T41" s="905"/>
      <c r="U41" s="905"/>
      <c r="AI41" s="214"/>
      <c r="AJ41" s="214"/>
      <c r="AK41" s="214"/>
      <c r="AL41" s="214"/>
      <c r="AM41" s="214"/>
      <c r="AN41" s="214"/>
      <c r="AO41" s="214"/>
      <c r="AP41" s="214"/>
      <c r="AQ41" s="214"/>
      <c r="AR41" s="216" t="s">
        <v>858</v>
      </c>
      <c r="AS41" s="217"/>
      <c r="AT41" s="218">
        <v>70</v>
      </c>
      <c r="AU41" s="219"/>
      <c r="AV41" s="217"/>
      <c r="AW41" s="220">
        <v>345.3</v>
      </c>
      <c r="AX41" s="221"/>
      <c r="AY41" s="222"/>
    </row>
    <row r="42" spans="15:51" ht="18.95" customHeight="1">
      <c r="P42" s="905"/>
      <c r="Q42" s="905"/>
      <c r="R42" s="1257"/>
      <c r="S42" s="1258"/>
      <c r="T42" s="905"/>
      <c r="U42" s="915"/>
      <c r="AI42" s="214"/>
      <c r="AJ42" s="214"/>
      <c r="AK42" s="214"/>
      <c r="AL42" s="214"/>
      <c r="AM42" s="214"/>
      <c r="AN42" s="214"/>
      <c r="AO42" s="214"/>
      <c r="AP42" s="214"/>
      <c r="AQ42" s="214"/>
      <c r="AR42" s="216" t="s">
        <v>731</v>
      </c>
      <c r="AS42" s="217"/>
      <c r="AT42" s="218">
        <v>80</v>
      </c>
      <c r="AU42" s="219"/>
      <c r="AV42" s="217"/>
      <c r="AW42" s="220">
        <v>352.9</v>
      </c>
      <c r="AX42" s="221"/>
      <c r="AY42" s="222"/>
    </row>
    <row r="43" spans="15:51" ht="18.95" customHeight="1">
      <c r="P43" s="905"/>
      <c r="Q43" s="905"/>
      <c r="R43" s="1257"/>
      <c r="S43" s="1258"/>
      <c r="T43" s="905"/>
      <c r="U43" s="905"/>
      <c r="AI43" s="214"/>
      <c r="AJ43" s="214"/>
      <c r="AK43" s="214"/>
      <c r="AL43" s="214"/>
      <c r="AM43" s="214"/>
      <c r="AN43" s="214"/>
      <c r="AO43" s="214"/>
      <c r="AP43" s="214"/>
      <c r="AQ43" s="214"/>
      <c r="AR43" s="216" t="s">
        <v>731</v>
      </c>
      <c r="AS43" s="217"/>
      <c r="AT43" s="218">
        <v>100</v>
      </c>
      <c r="AU43" s="219"/>
      <c r="AV43" s="217"/>
      <c r="AW43" s="220">
        <v>414.2</v>
      </c>
      <c r="AX43" s="221"/>
      <c r="AY43" s="222"/>
    </row>
    <row r="44" spans="15:51" ht="18.95" customHeight="1">
      <c r="P44" s="905"/>
      <c r="Q44" s="905"/>
      <c r="R44" s="905"/>
      <c r="S44" s="905"/>
      <c r="T44" s="905"/>
      <c r="U44" s="905"/>
      <c r="V44" s="905"/>
      <c r="AI44" s="214"/>
      <c r="AJ44" s="214"/>
      <c r="AK44" s="214"/>
      <c r="AL44" s="214"/>
      <c r="AM44" s="214"/>
      <c r="AN44" s="214"/>
      <c r="AO44" s="214"/>
      <c r="AP44" s="214"/>
      <c r="AQ44" s="214"/>
      <c r="AR44" s="216" t="s">
        <v>734</v>
      </c>
      <c r="AS44" s="217"/>
      <c r="AT44" s="218">
        <v>10</v>
      </c>
      <c r="AU44" s="219"/>
      <c r="AV44" s="217"/>
      <c r="AW44" s="220">
        <v>213.4</v>
      </c>
      <c r="AX44" s="221"/>
      <c r="AY44" s="222"/>
    </row>
    <row r="45" spans="15:51" ht="18.95" customHeight="1">
      <c r="P45" s="905"/>
      <c r="Q45" s="916"/>
      <c r="R45" s="905"/>
      <c r="S45" s="589"/>
      <c r="T45" s="589"/>
      <c r="U45" s="905"/>
      <c r="V45" s="905"/>
      <c r="AI45" s="214"/>
      <c r="AJ45" s="214"/>
      <c r="AK45" s="214"/>
      <c r="AL45" s="214"/>
      <c r="AM45" s="214"/>
      <c r="AN45" s="214"/>
      <c r="AO45" s="214"/>
      <c r="AP45" s="214"/>
      <c r="AQ45" s="214"/>
      <c r="AR45" s="216" t="s">
        <v>349</v>
      </c>
      <c r="AS45" s="217"/>
      <c r="AT45" s="218">
        <v>20</v>
      </c>
      <c r="AU45" s="219"/>
      <c r="AV45" s="217"/>
      <c r="AW45" s="220">
        <v>245.8</v>
      </c>
      <c r="AX45" s="221"/>
      <c r="AY45" s="222"/>
    </row>
    <row r="46" spans="15:51" ht="18.95" customHeight="1">
      <c r="P46" s="905"/>
      <c r="Q46" s="916"/>
      <c r="R46" s="905"/>
      <c r="S46" s="589"/>
      <c r="T46" s="589"/>
      <c r="U46" s="905"/>
      <c r="V46" s="905"/>
      <c r="AI46" s="214"/>
      <c r="AJ46" s="214"/>
      <c r="AK46" s="214"/>
      <c r="AL46" s="214"/>
      <c r="AM46" s="214"/>
      <c r="AN46" s="214"/>
      <c r="AO46" s="214"/>
      <c r="AP46" s="214"/>
      <c r="AQ46" s="214"/>
      <c r="AR46" s="216" t="s">
        <v>733</v>
      </c>
      <c r="AS46" s="217"/>
      <c r="AT46" s="218">
        <v>30</v>
      </c>
      <c r="AU46" s="219"/>
      <c r="AV46" s="217"/>
      <c r="AW46" s="220">
        <v>264.39999999999998</v>
      </c>
      <c r="AX46" s="221"/>
      <c r="AY46" s="222"/>
    </row>
    <row r="47" spans="15:51" ht="18.95" customHeight="1">
      <c r="P47" s="905"/>
      <c r="Q47" s="916"/>
      <c r="R47" s="905"/>
      <c r="S47" s="589"/>
      <c r="T47" s="589"/>
      <c r="U47" s="905"/>
      <c r="V47" s="905"/>
      <c r="AI47" s="214"/>
      <c r="AJ47" s="214"/>
      <c r="AK47" s="214"/>
      <c r="AL47" s="214"/>
      <c r="AM47" s="214"/>
      <c r="AN47" s="214"/>
      <c r="AO47" s="214"/>
      <c r="AP47" s="214"/>
      <c r="AQ47" s="214"/>
      <c r="AR47" s="216" t="s">
        <v>733</v>
      </c>
      <c r="AS47" s="217"/>
      <c r="AT47" s="218">
        <v>50</v>
      </c>
      <c r="AU47" s="219"/>
      <c r="AV47" s="217"/>
      <c r="AW47" s="220">
        <v>287.7</v>
      </c>
      <c r="AX47" s="221"/>
      <c r="AY47" s="222"/>
    </row>
    <row r="48" spans="15:51" ht="18.95" customHeight="1">
      <c r="Q48" s="556"/>
      <c r="R48" s="905"/>
      <c r="T48" s="598"/>
      <c r="V48" s="905"/>
      <c r="AI48" s="214"/>
      <c r="AJ48" s="214"/>
      <c r="AK48" s="214"/>
      <c r="AL48" s="214"/>
      <c r="AM48" s="214"/>
      <c r="AN48" s="214"/>
      <c r="AO48" s="214"/>
      <c r="AP48" s="214"/>
      <c r="AQ48" s="214"/>
      <c r="AR48" s="216" t="s">
        <v>733</v>
      </c>
      <c r="AS48" s="217"/>
      <c r="AT48" s="218">
        <v>70</v>
      </c>
      <c r="AU48" s="219"/>
      <c r="AV48" s="217"/>
      <c r="AW48" s="220">
        <v>302.89999999999998</v>
      </c>
      <c r="AX48" s="221"/>
      <c r="AY48" s="222"/>
    </row>
    <row r="49" spans="15:51" ht="18.95" customHeight="1">
      <c r="P49" s="572"/>
      <c r="Q49" s="556"/>
      <c r="R49" s="917"/>
      <c r="S49" s="598"/>
      <c r="V49" s="905"/>
      <c r="AI49" s="214"/>
      <c r="AJ49" s="214"/>
      <c r="AK49" s="214"/>
      <c r="AL49" s="214"/>
      <c r="AM49" s="214"/>
      <c r="AN49" s="214"/>
      <c r="AO49" s="214"/>
      <c r="AP49" s="214"/>
      <c r="AQ49" s="214"/>
      <c r="AR49" s="216" t="s">
        <v>859</v>
      </c>
      <c r="AS49" s="217"/>
      <c r="AT49" s="218">
        <v>80</v>
      </c>
      <c r="AU49" s="219"/>
      <c r="AV49" s="217"/>
      <c r="AW49" s="220">
        <v>309</v>
      </c>
      <c r="AX49" s="221"/>
      <c r="AY49" s="222"/>
    </row>
    <row r="50" spans="15:51" ht="18.95" customHeight="1">
      <c r="Q50" s="556"/>
      <c r="R50" s="598"/>
      <c r="AI50" s="214"/>
      <c r="AJ50" s="214"/>
      <c r="AK50" s="214"/>
      <c r="AL50" s="214"/>
      <c r="AM50" s="214"/>
      <c r="AN50" s="214"/>
      <c r="AO50" s="214"/>
      <c r="AP50" s="214"/>
      <c r="AQ50" s="214"/>
      <c r="AR50" s="216" t="s">
        <v>734</v>
      </c>
      <c r="AS50" s="217"/>
      <c r="AT50" s="218">
        <v>100</v>
      </c>
      <c r="AU50" s="219"/>
      <c r="AV50" s="217"/>
      <c r="AW50" s="220">
        <v>319.10000000000002</v>
      </c>
      <c r="AX50" s="221"/>
      <c r="AY50" s="222"/>
    </row>
    <row r="51" spans="15:51" ht="18.95" customHeight="1">
      <c r="O51" s="1253"/>
      <c r="P51" s="1253"/>
      <c r="Q51" s="917"/>
      <c r="R51" s="598"/>
      <c r="T51" s="572"/>
      <c r="U51" s="556"/>
      <c r="AI51" s="214"/>
      <c r="AJ51" s="214"/>
      <c r="AK51" s="214"/>
      <c r="AL51" s="214"/>
      <c r="AM51" s="214"/>
      <c r="AN51" s="214"/>
      <c r="AO51" s="214"/>
      <c r="AP51" s="214"/>
      <c r="AQ51" s="214"/>
      <c r="AR51" s="216" t="s">
        <v>735</v>
      </c>
      <c r="AS51" s="217"/>
      <c r="AT51" s="218">
        <v>10</v>
      </c>
      <c r="AU51" s="219"/>
      <c r="AV51" s="217"/>
      <c r="AW51" s="220">
        <v>154.5</v>
      </c>
      <c r="AX51" s="221"/>
      <c r="AY51" s="222"/>
    </row>
    <row r="52" spans="15:51" ht="18.95" customHeight="1">
      <c r="P52" s="572"/>
      <c r="Q52" s="917"/>
      <c r="R52" s="598"/>
      <c r="T52" s="572"/>
      <c r="U52" s="556"/>
      <c r="AI52" s="214"/>
      <c r="AJ52" s="214"/>
      <c r="AK52" s="214"/>
      <c r="AL52" s="214"/>
      <c r="AM52" s="214"/>
      <c r="AN52" s="214"/>
      <c r="AO52" s="214"/>
      <c r="AP52" s="214"/>
      <c r="AQ52" s="214"/>
      <c r="AR52" s="216" t="s">
        <v>735</v>
      </c>
      <c r="AS52" s="217"/>
      <c r="AT52" s="218">
        <v>20</v>
      </c>
      <c r="AU52" s="219"/>
      <c r="AV52" s="217"/>
      <c r="AW52" s="220">
        <v>173.6</v>
      </c>
      <c r="AX52" s="221"/>
      <c r="AY52" s="222"/>
    </row>
    <row r="53" spans="15:51" ht="18.95" customHeight="1">
      <c r="Q53" s="917"/>
      <c r="R53" s="598"/>
      <c r="T53" s="572"/>
      <c r="U53" s="556"/>
      <c r="AI53" s="214"/>
      <c r="AJ53" s="214"/>
      <c r="AK53" s="214"/>
      <c r="AL53" s="214"/>
      <c r="AM53" s="214"/>
      <c r="AN53" s="214"/>
      <c r="AO53" s="214"/>
      <c r="AP53" s="214"/>
      <c r="AQ53" s="214"/>
      <c r="AR53" s="216" t="s">
        <v>735</v>
      </c>
      <c r="AS53" s="217"/>
      <c r="AT53" s="218">
        <v>30</v>
      </c>
      <c r="AU53" s="219"/>
      <c r="AV53" s="217"/>
      <c r="AW53" s="220">
        <v>184.6</v>
      </c>
      <c r="AX53" s="221"/>
      <c r="AY53" s="222"/>
    </row>
    <row r="54" spans="15:51" ht="18.95" customHeight="1">
      <c r="P54" s="556"/>
      <c r="T54" s="918"/>
      <c r="AI54" s="214"/>
      <c r="AJ54" s="214"/>
      <c r="AK54" s="214"/>
      <c r="AL54" s="214"/>
      <c r="AM54" s="214"/>
      <c r="AN54" s="214"/>
      <c r="AO54" s="214"/>
      <c r="AP54" s="214"/>
      <c r="AQ54" s="214"/>
      <c r="AR54" s="216" t="s">
        <v>735</v>
      </c>
      <c r="AS54" s="217"/>
      <c r="AT54" s="218">
        <v>50</v>
      </c>
      <c r="AU54" s="219"/>
      <c r="AV54" s="217"/>
      <c r="AW54" s="220">
        <v>198.3</v>
      </c>
      <c r="AX54" s="221"/>
      <c r="AY54" s="222"/>
    </row>
    <row r="55" spans="15:51" ht="18.95" customHeight="1">
      <c r="P55" s="556"/>
      <c r="T55" s="918"/>
      <c r="AI55" s="214"/>
      <c r="AJ55" s="214"/>
      <c r="AK55" s="214"/>
      <c r="AL55" s="214"/>
      <c r="AM55" s="214"/>
      <c r="AN55" s="214"/>
      <c r="AO55" s="214"/>
      <c r="AP55" s="214"/>
      <c r="AQ55" s="214"/>
      <c r="AR55" s="216" t="s">
        <v>735</v>
      </c>
      <c r="AS55" s="217"/>
      <c r="AT55" s="218">
        <v>70</v>
      </c>
      <c r="AU55" s="219"/>
      <c r="AV55" s="217"/>
      <c r="AW55" s="220">
        <v>207.3</v>
      </c>
      <c r="AX55" s="221"/>
      <c r="AY55" s="222"/>
    </row>
    <row r="56" spans="15:51" ht="18.95" customHeight="1">
      <c r="T56" s="918"/>
      <c r="AI56" s="214"/>
      <c r="AJ56" s="214"/>
      <c r="AK56" s="214"/>
      <c r="AL56" s="214"/>
      <c r="AM56" s="214"/>
      <c r="AN56" s="214"/>
      <c r="AO56" s="214"/>
      <c r="AP56" s="214"/>
      <c r="AQ56" s="214"/>
      <c r="AR56" s="216" t="s">
        <v>651</v>
      </c>
      <c r="AS56" s="217"/>
      <c r="AT56" s="218">
        <v>80</v>
      </c>
      <c r="AU56" s="219"/>
      <c r="AV56" s="217"/>
      <c r="AW56" s="220">
        <v>210.9</v>
      </c>
      <c r="AX56" s="221"/>
      <c r="AY56" s="222"/>
    </row>
    <row r="57" spans="15:51" ht="18.95" customHeight="1">
      <c r="P57" s="556"/>
      <c r="T57" s="918"/>
      <c r="AI57" s="214"/>
      <c r="AJ57" s="214"/>
      <c r="AK57" s="214"/>
      <c r="AL57" s="214"/>
      <c r="AM57" s="214"/>
      <c r="AN57" s="214"/>
      <c r="AO57" s="214"/>
      <c r="AP57" s="214"/>
      <c r="AQ57" s="214"/>
      <c r="AR57" s="216" t="s">
        <v>735</v>
      </c>
      <c r="AS57" s="217"/>
      <c r="AT57" s="218">
        <v>100</v>
      </c>
      <c r="AU57" s="219"/>
      <c r="AV57" s="217"/>
      <c r="AW57" s="220">
        <v>237.6</v>
      </c>
      <c r="AX57" s="221"/>
      <c r="AY57" s="222"/>
    </row>
    <row r="58" spans="15:51" ht="18.95" customHeight="1">
      <c r="P58" s="556"/>
      <c r="T58" s="918"/>
      <c r="AI58" s="214"/>
      <c r="AJ58" s="214"/>
      <c r="AK58" s="214"/>
      <c r="AL58" s="214"/>
      <c r="AM58" s="214"/>
      <c r="AN58" s="214"/>
      <c r="AO58" s="214"/>
      <c r="AP58" s="214"/>
      <c r="AQ58" s="214"/>
      <c r="AR58" s="216" t="s">
        <v>653</v>
      </c>
      <c r="AS58" s="217"/>
      <c r="AT58" s="218">
        <v>10</v>
      </c>
      <c r="AU58" s="219"/>
      <c r="AV58" s="217"/>
      <c r="AW58" s="220">
        <v>172.2</v>
      </c>
      <c r="AX58" s="221"/>
      <c r="AY58" s="222"/>
    </row>
    <row r="59" spans="15:51" ht="18.95" customHeight="1">
      <c r="T59" s="918"/>
      <c r="AR59" s="216" t="s">
        <v>737</v>
      </c>
      <c r="AS59" s="217"/>
      <c r="AT59" s="218">
        <v>20</v>
      </c>
      <c r="AU59" s="219"/>
      <c r="AV59" s="217"/>
      <c r="AW59" s="220">
        <v>197.2</v>
      </c>
      <c r="AX59" s="221"/>
      <c r="AY59" s="222"/>
    </row>
    <row r="60" spans="15:51" ht="18.95" customHeight="1">
      <c r="P60" s="556"/>
      <c r="T60" s="918"/>
      <c r="AR60" s="216" t="s">
        <v>653</v>
      </c>
      <c r="AS60" s="217"/>
      <c r="AT60" s="218">
        <v>30</v>
      </c>
      <c r="AU60" s="219"/>
      <c r="AV60" s="217"/>
      <c r="AW60" s="220">
        <v>211.6</v>
      </c>
      <c r="AX60" s="221"/>
      <c r="AY60" s="222"/>
    </row>
    <row r="61" spans="15:51" ht="18.95" customHeight="1">
      <c r="P61" s="556"/>
      <c r="T61" s="918"/>
      <c r="AR61" s="216" t="s">
        <v>653</v>
      </c>
      <c r="AS61" s="217"/>
      <c r="AT61" s="218">
        <v>50</v>
      </c>
      <c r="AU61" s="219"/>
      <c r="AV61" s="217"/>
      <c r="AW61" s="220">
        <v>229.6</v>
      </c>
      <c r="AX61" s="221"/>
      <c r="AY61" s="222"/>
    </row>
    <row r="62" spans="15:51" ht="18.95" customHeight="1">
      <c r="T62" s="918"/>
      <c r="AR62" s="216" t="s">
        <v>860</v>
      </c>
      <c r="AS62" s="217"/>
      <c r="AT62" s="218">
        <v>70</v>
      </c>
      <c r="AU62" s="219"/>
      <c r="AV62" s="217"/>
      <c r="AW62" s="220">
        <v>241.4</v>
      </c>
      <c r="AX62" s="221"/>
      <c r="AY62" s="222"/>
    </row>
    <row r="63" spans="15:51" ht="18.95" customHeight="1">
      <c r="P63" s="556"/>
      <c r="T63" s="918"/>
      <c r="AR63" s="216" t="s">
        <v>653</v>
      </c>
      <c r="AS63" s="217"/>
      <c r="AT63" s="218">
        <v>80</v>
      </c>
      <c r="AU63" s="219"/>
      <c r="AV63" s="217"/>
      <c r="AW63" s="220">
        <v>246.1</v>
      </c>
      <c r="AX63" s="221"/>
      <c r="AY63" s="222"/>
    </row>
    <row r="64" spans="15:51" ht="18.95" customHeight="1">
      <c r="P64" s="556"/>
      <c r="T64" s="918"/>
      <c r="AR64" s="216" t="s">
        <v>861</v>
      </c>
      <c r="AS64" s="217"/>
      <c r="AT64" s="218">
        <v>100</v>
      </c>
      <c r="AU64" s="219"/>
      <c r="AV64" s="217"/>
      <c r="AW64" s="220">
        <v>253.9</v>
      </c>
      <c r="AX64" s="221"/>
      <c r="AY64" s="222"/>
    </row>
    <row r="65" spans="16:51" ht="18.95" customHeight="1">
      <c r="P65" s="556"/>
      <c r="T65" s="918"/>
      <c r="AR65" s="216" t="s">
        <v>862</v>
      </c>
      <c r="AS65" s="217"/>
      <c r="AT65" s="218">
        <v>10</v>
      </c>
      <c r="AU65" s="219"/>
      <c r="AV65" s="217"/>
      <c r="AW65" s="220">
        <v>149.19999999999999</v>
      </c>
      <c r="AX65" s="221"/>
      <c r="AY65" s="222"/>
    </row>
    <row r="66" spans="16:51" ht="18.95" customHeight="1">
      <c r="P66" s="556"/>
      <c r="T66" s="918"/>
      <c r="AR66" s="216" t="s">
        <v>862</v>
      </c>
      <c r="AS66" s="217"/>
      <c r="AT66" s="218">
        <v>20</v>
      </c>
      <c r="AU66" s="219"/>
      <c r="AV66" s="217"/>
      <c r="AW66" s="220">
        <v>168.1</v>
      </c>
      <c r="AX66" s="221"/>
      <c r="AY66" s="222"/>
    </row>
    <row r="67" spans="16:51" ht="18.95" customHeight="1">
      <c r="AR67" s="216" t="s">
        <v>863</v>
      </c>
      <c r="AS67" s="217"/>
      <c r="AT67" s="218">
        <v>30</v>
      </c>
      <c r="AU67" s="219"/>
      <c r="AV67" s="217"/>
      <c r="AW67" s="220">
        <v>179.1</v>
      </c>
      <c r="AX67" s="221"/>
      <c r="AY67" s="222"/>
    </row>
    <row r="68" spans="16:51" ht="18.95" customHeight="1">
      <c r="P68" s="556"/>
      <c r="S68" s="919"/>
      <c r="T68" s="909"/>
      <c r="U68" s="909"/>
      <c r="AR68" s="216" t="s">
        <v>656</v>
      </c>
      <c r="AS68" s="217"/>
      <c r="AT68" s="218">
        <v>50</v>
      </c>
      <c r="AU68" s="219"/>
      <c r="AV68" s="217"/>
      <c r="AW68" s="220">
        <v>192.7</v>
      </c>
      <c r="AX68" s="221"/>
      <c r="AY68" s="222"/>
    </row>
    <row r="69" spans="16:51" ht="18.95" customHeight="1">
      <c r="P69" s="572"/>
      <c r="S69" s="905"/>
      <c r="AR69" s="216" t="s">
        <v>864</v>
      </c>
      <c r="AS69" s="217"/>
      <c r="AT69" s="218">
        <v>70</v>
      </c>
      <c r="AU69" s="219"/>
      <c r="AV69" s="217"/>
      <c r="AW69" s="220">
        <v>201.6</v>
      </c>
      <c r="AX69" s="221"/>
      <c r="AY69" s="222"/>
    </row>
    <row r="70" spans="16:51" ht="18.95" customHeight="1">
      <c r="AR70" s="216" t="s">
        <v>655</v>
      </c>
      <c r="AS70" s="217"/>
      <c r="AT70" s="218">
        <v>80</v>
      </c>
      <c r="AU70" s="219"/>
      <c r="AV70" s="217"/>
      <c r="AW70" s="220">
        <v>205.2</v>
      </c>
      <c r="AX70" s="221"/>
      <c r="AY70" s="222"/>
    </row>
    <row r="71" spans="16:51" ht="18.95" customHeight="1">
      <c r="T71" s="808"/>
      <c r="U71" s="909"/>
      <c r="V71" s="909"/>
      <c r="AR71" s="216" t="s">
        <v>862</v>
      </c>
      <c r="AS71" s="217"/>
      <c r="AT71" s="218">
        <v>100</v>
      </c>
      <c r="AU71" s="219"/>
      <c r="AV71" s="217"/>
      <c r="AW71" s="220">
        <v>211.1</v>
      </c>
      <c r="AX71" s="221"/>
      <c r="AY71" s="222"/>
    </row>
    <row r="72" spans="16:51" ht="18.95" customHeight="1">
      <c r="T72" s="808"/>
      <c r="U72" s="909"/>
      <c r="V72" s="909"/>
      <c r="AR72" s="216" t="s">
        <v>865</v>
      </c>
      <c r="AS72" s="217"/>
      <c r="AT72" s="218">
        <v>10</v>
      </c>
      <c r="AU72" s="219"/>
      <c r="AV72" s="217"/>
      <c r="AW72" s="220">
        <v>147.4</v>
      </c>
      <c r="AX72" s="221"/>
      <c r="AY72" s="222"/>
    </row>
    <row r="73" spans="16:51" ht="18.95" customHeight="1">
      <c r="AR73" s="216" t="s">
        <v>739</v>
      </c>
      <c r="AS73" s="217"/>
      <c r="AT73" s="218">
        <v>20</v>
      </c>
      <c r="AU73" s="219"/>
      <c r="AV73" s="217"/>
      <c r="AW73" s="220">
        <v>164.7</v>
      </c>
      <c r="AX73" s="221"/>
      <c r="AY73" s="222"/>
    </row>
    <row r="74" spans="16:51" ht="18.95" customHeight="1">
      <c r="AR74" s="216" t="s">
        <v>740</v>
      </c>
      <c r="AS74" s="217"/>
      <c r="AT74" s="218">
        <v>30</v>
      </c>
      <c r="AU74" s="219"/>
      <c r="AV74" s="217"/>
      <c r="AW74" s="220">
        <v>174.6</v>
      </c>
      <c r="AX74" s="221"/>
      <c r="AY74" s="222"/>
    </row>
    <row r="75" spans="16:51" ht="18.95" customHeight="1">
      <c r="AR75" s="216" t="s">
        <v>866</v>
      </c>
      <c r="AS75" s="217"/>
      <c r="AT75" s="218">
        <v>50</v>
      </c>
      <c r="AU75" s="219"/>
      <c r="AV75" s="217"/>
      <c r="AW75" s="220">
        <v>187</v>
      </c>
      <c r="AX75" s="221"/>
      <c r="AY75" s="222"/>
    </row>
    <row r="76" spans="16:51" ht="18.95" customHeight="1">
      <c r="AR76" s="216" t="s">
        <v>740</v>
      </c>
      <c r="AS76" s="217"/>
      <c r="AT76" s="218">
        <v>70</v>
      </c>
      <c r="AU76" s="219"/>
      <c r="AV76" s="217"/>
      <c r="AW76" s="220">
        <v>195.2</v>
      </c>
      <c r="AX76" s="221"/>
      <c r="AY76" s="222"/>
    </row>
    <row r="77" spans="16:51" ht="18.95" customHeight="1">
      <c r="AR77" s="216" t="s">
        <v>865</v>
      </c>
      <c r="AS77" s="217"/>
      <c r="AT77" s="218">
        <v>80</v>
      </c>
      <c r="AU77" s="219"/>
      <c r="AV77" s="217"/>
      <c r="AW77" s="220">
        <v>198.4</v>
      </c>
      <c r="AX77" s="221"/>
      <c r="AY77" s="222"/>
    </row>
    <row r="78" spans="16:51" ht="18.95" customHeight="1">
      <c r="AR78" s="216" t="s">
        <v>739</v>
      </c>
      <c r="AS78" s="217"/>
      <c r="AT78" s="218">
        <v>100</v>
      </c>
      <c r="AU78" s="219"/>
      <c r="AV78" s="217"/>
      <c r="AW78" s="220">
        <v>203.8</v>
      </c>
      <c r="AX78" s="221"/>
      <c r="AY78" s="222"/>
    </row>
    <row r="79" spans="16:51" ht="18.95" customHeight="1">
      <c r="AR79" s="216" t="s">
        <v>867</v>
      </c>
      <c r="AS79" s="217"/>
      <c r="AT79" s="218">
        <v>10</v>
      </c>
      <c r="AU79" s="219"/>
      <c r="AV79" s="217"/>
      <c r="AW79" s="220">
        <v>168.1</v>
      </c>
      <c r="AX79" s="221"/>
      <c r="AY79" s="222"/>
    </row>
    <row r="80" spans="16:51" ht="18.95" customHeight="1">
      <c r="AR80" s="216" t="s">
        <v>742</v>
      </c>
      <c r="AS80" s="217"/>
      <c r="AT80" s="218">
        <v>20</v>
      </c>
      <c r="AU80" s="219"/>
      <c r="AV80" s="217"/>
      <c r="AW80" s="220">
        <v>188.2</v>
      </c>
      <c r="AX80" s="221"/>
      <c r="AY80" s="222"/>
    </row>
    <row r="81" spans="44:51" ht="18.95" customHeight="1">
      <c r="AR81" s="216" t="s">
        <v>867</v>
      </c>
      <c r="AS81" s="217"/>
      <c r="AT81" s="218">
        <v>30</v>
      </c>
      <c r="AU81" s="219"/>
      <c r="AV81" s="217"/>
      <c r="AW81" s="220">
        <v>199.7</v>
      </c>
      <c r="AX81" s="221"/>
      <c r="AY81" s="222"/>
    </row>
    <row r="82" spans="44:51" ht="18.95" customHeight="1">
      <c r="AR82" s="216" t="s">
        <v>868</v>
      </c>
      <c r="AS82" s="217"/>
      <c r="AT82" s="218">
        <v>50</v>
      </c>
      <c r="AU82" s="219"/>
      <c r="AV82" s="217"/>
      <c r="AW82" s="220">
        <v>214.2</v>
      </c>
      <c r="AX82" s="221"/>
      <c r="AY82" s="222"/>
    </row>
    <row r="83" spans="44:51" ht="18.95" customHeight="1">
      <c r="AR83" s="216" t="s">
        <v>867</v>
      </c>
      <c r="AS83" s="217"/>
      <c r="AT83" s="218">
        <v>70</v>
      </c>
      <c r="AU83" s="219"/>
      <c r="AV83" s="217"/>
      <c r="AW83" s="220">
        <v>223.6</v>
      </c>
      <c r="AX83" s="221"/>
      <c r="AY83" s="222"/>
    </row>
    <row r="84" spans="44:51" ht="18.95" customHeight="1">
      <c r="AR84" s="216" t="s">
        <v>867</v>
      </c>
      <c r="AS84" s="217"/>
      <c r="AT84" s="218">
        <v>80</v>
      </c>
      <c r="AU84" s="219"/>
      <c r="AV84" s="217"/>
      <c r="AW84" s="220">
        <v>227.4</v>
      </c>
      <c r="AX84" s="221"/>
      <c r="AY84" s="222"/>
    </row>
    <row r="85" spans="44:51" ht="18.95" customHeight="1">
      <c r="AR85" s="216" t="s">
        <v>742</v>
      </c>
      <c r="AS85" s="217"/>
      <c r="AT85" s="218">
        <v>100</v>
      </c>
      <c r="AU85" s="219"/>
      <c r="AV85" s="217"/>
      <c r="AW85" s="220">
        <v>233.6</v>
      </c>
      <c r="AX85" s="221"/>
      <c r="AY85" s="222"/>
    </row>
    <row r="86" spans="44:51" ht="18.95" customHeight="1"/>
    <row r="87" spans="44:51" ht="18.95" customHeight="1"/>
    <row r="88" spans="44:51" ht="18.95" customHeight="1"/>
    <row r="89" spans="44:51" ht="18.95" customHeight="1"/>
    <row r="90" spans="44:51" ht="18.95" customHeight="1"/>
    <row r="91" spans="44:51" ht="18.95" customHeight="1"/>
    <row r="92" spans="44:51" ht="18.95" customHeight="1"/>
    <row r="93" spans="44:51" ht="18.95" customHeight="1"/>
    <row r="94" spans="44:51" ht="18.95" customHeight="1"/>
    <row r="95" spans="44:51" ht="18.95" customHeight="1"/>
    <row r="96" spans="44:51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  <row r="111" ht="18.95" customHeight="1"/>
    <row r="112" ht="18.95" customHeight="1"/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489" spans="15:34">
      <c r="O489" s="214"/>
      <c r="P489" s="214"/>
    </row>
    <row r="490" spans="15:34">
      <c r="O490" s="214"/>
      <c r="P490" s="214"/>
      <c r="Y490" s="562"/>
      <c r="Z490" s="562"/>
      <c r="AG490" s="215"/>
      <c r="AH490" s="215"/>
    </row>
    <row r="491" spans="15:34">
      <c r="O491" s="214"/>
      <c r="P491" s="214"/>
      <c r="Y491" s="562"/>
      <c r="Z491" s="562"/>
      <c r="AG491" s="215"/>
      <c r="AH491" s="215"/>
    </row>
    <row r="492" spans="15:34">
      <c r="O492" s="214"/>
      <c r="P492" s="214"/>
      <c r="Y492" s="562"/>
      <c r="Z492" s="562"/>
      <c r="AG492" s="215"/>
      <c r="AH492" s="215"/>
    </row>
    <row r="493" spans="15:34">
      <c r="O493" s="214"/>
      <c r="P493" s="214"/>
      <c r="Y493" s="562"/>
      <c r="Z493" s="562"/>
      <c r="AG493" s="215"/>
      <c r="AH493" s="215"/>
    </row>
    <row r="494" spans="15:34">
      <c r="O494" s="214"/>
      <c r="P494" s="214"/>
      <c r="Y494" s="562"/>
      <c r="Z494" s="562"/>
      <c r="AG494" s="215"/>
      <c r="AH494" s="215"/>
    </row>
    <row r="495" spans="15:34">
      <c r="O495" s="214"/>
      <c r="P495" s="214"/>
      <c r="Y495" s="562"/>
      <c r="Z495" s="562"/>
      <c r="AG495" s="215"/>
      <c r="AH495" s="215"/>
    </row>
    <row r="496" spans="15:34">
      <c r="O496" s="214"/>
      <c r="P496" s="214"/>
      <c r="Y496" s="562"/>
      <c r="Z496" s="562"/>
      <c r="AG496" s="215"/>
      <c r="AH496" s="215"/>
    </row>
    <row r="497" spans="25:34">
      <c r="Y497" s="562"/>
      <c r="Z497" s="562"/>
      <c r="AG497" s="215"/>
      <c r="AH497" s="215"/>
    </row>
  </sheetData>
  <mergeCells count="14">
    <mergeCell ref="AT1:AV1"/>
    <mergeCell ref="AW1:AY1"/>
    <mergeCell ref="AI3:AJ3"/>
    <mergeCell ref="R5:R7"/>
    <mergeCell ref="AB5:AB7"/>
    <mergeCell ref="S6:S7"/>
    <mergeCell ref="AC6:AC7"/>
    <mergeCell ref="O51:P51"/>
    <mergeCell ref="H7:I7"/>
    <mergeCell ref="AK23:AO23"/>
    <mergeCell ref="H25:I25"/>
    <mergeCell ref="P36:Q36"/>
    <mergeCell ref="R41:R43"/>
    <mergeCell ref="S42:S43"/>
  </mergeCells>
  <phoneticPr fontId="4" type="noConversion"/>
  <dataValidations count="2">
    <dataValidation type="list" allowBlank="1" showInputMessage="1" showErrorMessage="1" sqref="L26:L27">
      <formula1>"울진,추풍령,안동,포항,대구,춘양,영주,문경,영덕,의성,구미,영천, "</formula1>
    </dataValidation>
    <dataValidation type="list" allowBlank="1" showInputMessage="1" showErrorMessage="1" sqref="M26:M27">
      <formula1>"10,20,30,50,70,80,100"</formula1>
    </dataValidation>
  </dataValidations>
  <pageMargins left="0.31496062992125984" right="0.15748031496062992" top="0.78740157480314965" bottom="0.59055118110236227" header="0.51181102362204722" footer="0.51181102362204722"/>
  <pageSetup paperSize="9" scale="88" orientation="landscape" r:id="rId1"/>
  <headerFooter alignWithMargins="0"/>
  <rowBreaks count="1" manualBreakCount="1">
    <brk id="28" max="42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B1:AE118"/>
  <sheetViews>
    <sheetView showGridLines="0" zoomScale="115" zoomScaleNormal="115" workbookViewId="0">
      <selection activeCell="Z18" sqref="Z18"/>
    </sheetView>
  </sheetViews>
  <sheetFormatPr defaultColWidth="8" defaultRowHeight="12"/>
  <cols>
    <col min="1" max="1" width="4.5" style="214" customWidth="1"/>
    <col min="2" max="2" width="1.25" style="214" customWidth="1"/>
    <col min="3" max="3" width="1" style="214" customWidth="1"/>
    <col min="4" max="4" width="2" style="214" customWidth="1"/>
    <col min="5" max="5" width="2.25" style="214" customWidth="1"/>
    <col min="6" max="6" width="2.75" style="214" customWidth="1"/>
    <col min="7" max="7" width="7.875" style="214" customWidth="1"/>
    <col min="8" max="8" width="6" style="214" customWidth="1"/>
    <col min="9" max="11" width="3.25" style="214" customWidth="1"/>
    <col min="12" max="12" width="5.5" style="214" customWidth="1"/>
    <col min="13" max="13" width="8.5" style="214" customWidth="1"/>
    <col min="14" max="14" width="7.5" style="214" customWidth="1"/>
    <col min="15" max="15" width="1.125" style="214" customWidth="1"/>
    <col min="16" max="16" width="9.125" style="215" customWidth="1"/>
    <col min="17" max="17" width="7.75" style="215" customWidth="1"/>
    <col min="18" max="18" width="7.5" style="215" customWidth="1"/>
    <col min="19" max="19" width="6.875" style="215" customWidth="1"/>
    <col min="20" max="20" width="6.375" style="215" customWidth="1"/>
    <col min="21" max="21" width="8.5" style="215" customWidth="1"/>
    <col min="22" max="22" width="9.75" style="215" customWidth="1"/>
    <col min="23" max="23" width="7.875" style="215" customWidth="1"/>
    <col min="24" max="24" width="9.25" style="215" customWidth="1"/>
    <col min="25" max="16384" width="8" style="214"/>
  </cols>
  <sheetData>
    <row r="1" spans="2:31" ht="18.95" customHeight="1" thickBot="1"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4"/>
      <c r="Q1" s="224"/>
      <c r="R1" s="224"/>
      <c r="S1" s="224"/>
      <c r="T1" s="224"/>
      <c r="U1" s="224"/>
      <c r="V1" s="224"/>
      <c r="W1" s="224"/>
      <c r="X1" s="224"/>
      <c r="Y1" s="223"/>
      <c r="Z1" s="223"/>
      <c r="AA1" s="223"/>
    </row>
    <row r="2" spans="2:31" ht="21" customHeight="1">
      <c r="B2" s="225"/>
      <c r="C2" s="226" t="s">
        <v>186</v>
      </c>
      <c r="D2" s="227"/>
      <c r="E2" s="227"/>
      <c r="F2" s="227"/>
      <c r="G2" s="227"/>
      <c r="H2" s="228"/>
      <c r="I2" s="227"/>
      <c r="J2" s="227"/>
      <c r="K2" s="227"/>
      <c r="L2" s="1290"/>
      <c r="M2" s="1290"/>
      <c r="N2" s="1290"/>
      <c r="O2" s="1291"/>
      <c r="P2" s="226" t="s">
        <v>191</v>
      </c>
      <c r="Q2" s="227"/>
      <c r="R2" s="229"/>
      <c r="S2" s="229"/>
      <c r="T2" s="229"/>
      <c r="U2" s="229"/>
      <c r="V2" s="229"/>
      <c r="W2" s="229"/>
      <c r="X2" s="230"/>
      <c r="Y2" s="223"/>
      <c r="Z2" s="223"/>
      <c r="AA2" s="223"/>
    </row>
    <row r="3" spans="2:31" ht="21" customHeight="1">
      <c r="B3" s="231"/>
      <c r="C3" s="232"/>
      <c r="D3" s="233" t="s">
        <v>187</v>
      </c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4"/>
      <c r="P3" s="1292" t="s">
        <v>192</v>
      </c>
      <c r="Q3" s="1292"/>
      <c r="R3" s="236"/>
      <c r="S3" s="237"/>
      <c r="T3" s="232"/>
      <c r="U3" s="235"/>
      <c r="V3" s="232"/>
      <c r="W3" s="238"/>
      <c r="X3" s="239"/>
      <c r="Y3" s="223"/>
      <c r="Z3" s="223"/>
      <c r="AA3" s="223"/>
    </row>
    <row r="4" spans="2:31" ht="21" customHeight="1">
      <c r="B4" s="231"/>
      <c r="C4" s="232"/>
      <c r="D4" s="232"/>
      <c r="E4" s="232"/>
      <c r="F4" s="232" t="s">
        <v>193</v>
      </c>
      <c r="G4" s="232" t="s">
        <v>194</v>
      </c>
      <c r="H4" s="232"/>
      <c r="I4" s="232"/>
      <c r="J4" s="232"/>
      <c r="K4" s="232"/>
      <c r="L4" s="232"/>
      <c r="M4" s="240">
        <f>ROUND(M5*1.2,2)</f>
        <v>1.73</v>
      </c>
      <c r="N4" s="241"/>
      <c r="O4" s="242"/>
      <c r="P4" s="243" t="s">
        <v>195</v>
      </c>
      <c r="Q4" s="235"/>
      <c r="R4" s="244">
        <f>+M4</f>
        <v>1.73</v>
      </c>
      <c r="S4" s="235" t="s">
        <v>188</v>
      </c>
      <c r="T4" s="235"/>
      <c r="U4" s="238"/>
      <c r="V4" s="238"/>
      <c r="W4" s="238"/>
      <c r="X4" s="239"/>
      <c r="Y4" s="223"/>
      <c r="Z4" s="223"/>
      <c r="AA4" s="223"/>
    </row>
    <row r="5" spans="2:31" ht="21" customHeight="1">
      <c r="B5" s="231"/>
      <c r="C5" s="232"/>
      <c r="D5" s="232"/>
      <c r="E5" s="232"/>
      <c r="F5" s="232" t="s">
        <v>196</v>
      </c>
      <c r="G5" s="232"/>
      <c r="H5" s="232"/>
      <c r="I5" s="232"/>
      <c r="J5" s="232"/>
      <c r="K5" s="232"/>
      <c r="L5" s="232"/>
      <c r="M5" s="245">
        <f>ROUND(0.2778*M6*M7*M8,2)</f>
        <v>1.44</v>
      </c>
      <c r="N5" s="232"/>
      <c r="O5" s="234"/>
      <c r="P5" s="246"/>
      <c r="Q5" s="238"/>
      <c r="R5" s="247"/>
      <c r="S5" s="246"/>
      <c r="T5" s="232"/>
      <c r="U5" s="232"/>
      <c r="V5" s="238"/>
      <c r="W5" s="232"/>
      <c r="X5" s="248"/>
      <c r="Y5" s="223"/>
      <c r="Z5" s="223"/>
      <c r="AA5" s="223"/>
    </row>
    <row r="6" spans="2:31" ht="21" customHeight="1">
      <c r="B6" s="231"/>
      <c r="C6" s="232"/>
      <c r="D6" s="232"/>
      <c r="E6" s="232"/>
      <c r="F6" s="232" t="s">
        <v>197</v>
      </c>
      <c r="G6" s="232"/>
      <c r="H6" s="232"/>
      <c r="I6" s="232"/>
      <c r="J6" s="1293"/>
      <c r="K6" s="1293"/>
      <c r="L6" s="232"/>
      <c r="M6" s="249">
        <v>0.6</v>
      </c>
      <c r="N6" s="232"/>
      <c r="O6" s="234"/>
      <c r="P6" s="246"/>
      <c r="Q6" s="238"/>
      <c r="R6" s="247"/>
      <c r="S6" s="246"/>
      <c r="T6" s="232"/>
      <c r="U6" s="232"/>
      <c r="V6" s="238"/>
      <c r="W6" s="232"/>
      <c r="X6" s="248"/>
      <c r="Y6" s="223"/>
      <c r="Z6" s="223"/>
      <c r="AA6" s="223"/>
    </row>
    <row r="7" spans="2:31" ht="21" customHeight="1">
      <c r="B7" s="231"/>
      <c r="C7" s="232"/>
      <c r="D7" s="232"/>
      <c r="E7" s="232"/>
      <c r="F7" s="232" t="s">
        <v>198</v>
      </c>
      <c r="G7" s="232"/>
      <c r="H7" s="232"/>
      <c r="I7" s="232"/>
      <c r="J7" s="232"/>
      <c r="K7" s="232"/>
      <c r="L7" s="232"/>
      <c r="M7" s="245">
        <f>M19</f>
        <v>172.48</v>
      </c>
      <c r="N7" s="232"/>
      <c r="O7" s="234"/>
      <c r="P7" s="243" t="s">
        <v>199</v>
      </c>
      <c r="Q7" s="235"/>
      <c r="R7" s="235"/>
      <c r="S7" s="235"/>
      <c r="T7" s="235"/>
      <c r="U7" s="238"/>
      <c r="V7" s="238"/>
      <c r="W7" s="238"/>
      <c r="X7" s="239"/>
      <c r="Y7" s="223"/>
      <c r="Z7" s="223"/>
      <c r="AA7" s="223"/>
    </row>
    <row r="8" spans="2:31" ht="21" customHeight="1">
      <c r="B8" s="231"/>
      <c r="C8" s="232"/>
      <c r="D8" s="232"/>
      <c r="E8" s="232"/>
      <c r="F8" s="250" t="s">
        <v>200</v>
      </c>
      <c r="G8" s="250"/>
      <c r="H8" s="250"/>
      <c r="I8" s="250"/>
      <c r="J8" s="250"/>
      <c r="K8" s="250"/>
      <c r="L8" s="250"/>
      <c r="M8" s="251">
        <v>0.05</v>
      </c>
      <c r="N8" s="252">
        <f>M8*100</f>
        <v>5</v>
      </c>
      <c r="O8" s="253"/>
      <c r="P8" s="254"/>
      <c r="Q8" s="254"/>
      <c r="R8" s="254"/>
      <c r="S8" s="255" t="s">
        <v>201</v>
      </c>
      <c r="T8" s="254"/>
      <c r="U8" s="256">
        <v>1000</v>
      </c>
      <c r="V8" s="257" t="s">
        <v>202</v>
      </c>
      <c r="W8" s="255"/>
      <c r="X8" s="258"/>
      <c r="Y8" s="259"/>
      <c r="Z8" s="259"/>
      <c r="AA8" s="259"/>
      <c r="AB8" s="260"/>
      <c r="AC8" s="260"/>
      <c r="AD8" s="260"/>
      <c r="AE8" s="260"/>
    </row>
    <row r="9" spans="2:31" ht="21" customHeight="1">
      <c r="B9" s="231"/>
      <c r="C9" s="232"/>
      <c r="D9" s="233" t="s">
        <v>203</v>
      </c>
      <c r="E9" s="232"/>
      <c r="F9" s="250"/>
      <c r="G9" s="250"/>
      <c r="H9" s="250"/>
      <c r="I9" s="250"/>
      <c r="J9" s="250"/>
      <c r="K9" s="250"/>
      <c r="L9" s="250"/>
      <c r="M9" s="250"/>
      <c r="N9" s="250"/>
      <c r="O9" s="253"/>
      <c r="P9" s="254"/>
      <c r="Q9" s="254"/>
      <c r="R9" s="254"/>
      <c r="S9" s="255" t="s">
        <v>204</v>
      </c>
      <c r="T9" s="254"/>
      <c r="U9" s="255"/>
      <c r="V9" s="255"/>
      <c r="W9" s="255"/>
      <c r="X9" s="261"/>
      <c r="Y9" s="259"/>
      <c r="Z9" s="259"/>
      <c r="AA9" s="259"/>
      <c r="AB9" s="260"/>
      <c r="AC9" s="260"/>
      <c r="AD9" s="260"/>
      <c r="AE9" s="260"/>
    </row>
    <row r="10" spans="2:31" ht="21" customHeight="1">
      <c r="B10" s="231"/>
      <c r="C10" s="232"/>
      <c r="D10" s="232"/>
      <c r="E10" s="246" t="s">
        <v>205</v>
      </c>
      <c r="F10" s="255"/>
      <c r="G10" s="255"/>
      <c r="H10" s="255"/>
      <c r="I10" s="250"/>
      <c r="J10" s="250"/>
      <c r="K10" s="250"/>
      <c r="L10" s="250"/>
      <c r="M10" s="250"/>
      <c r="N10" s="250"/>
      <c r="O10" s="253"/>
      <c r="P10" s="254"/>
      <c r="Q10" s="254"/>
      <c r="R10" s="254"/>
      <c r="S10" s="255"/>
      <c r="T10" s="255" t="s">
        <v>206</v>
      </c>
      <c r="U10" s="254"/>
      <c r="V10" s="254" t="s">
        <v>207</v>
      </c>
      <c r="W10" s="262">
        <f>ROUND(0.63185*(U8/1000)^2,3)</f>
        <v>0.63200000000000001</v>
      </c>
      <c r="X10" s="263" t="s">
        <v>35</v>
      </c>
      <c r="Y10" s="259"/>
      <c r="Z10" s="259"/>
      <c r="AA10" s="259"/>
      <c r="AB10" s="260"/>
      <c r="AC10" s="260"/>
      <c r="AD10" s="260"/>
      <c r="AE10" s="260"/>
    </row>
    <row r="11" spans="2:31" ht="21" customHeight="1">
      <c r="B11" s="231"/>
      <c r="C11" s="232"/>
      <c r="D11" s="232"/>
      <c r="E11" s="264" t="s">
        <v>208</v>
      </c>
      <c r="F11" s="265"/>
      <c r="G11" s="266"/>
      <c r="H11" s="266"/>
      <c r="I11" s="250"/>
      <c r="J11" s="250"/>
      <c r="K11" s="250"/>
      <c r="L11" s="250"/>
      <c r="M11" s="250"/>
      <c r="N11" s="250"/>
      <c r="O11" s="253"/>
      <c r="P11" s="254"/>
      <c r="Q11" s="254"/>
      <c r="R11" s="254"/>
      <c r="S11" s="255" t="s">
        <v>209</v>
      </c>
      <c r="T11" s="254"/>
      <c r="U11" s="254"/>
      <c r="V11" s="255"/>
      <c r="W11" s="255"/>
      <c r="X11" s="261"/>
      <c r="Y11" s="259"/>
      <c r="Z11" s="259"/>
      <c r="AA11" s="259"/>
      <c r="AB11" s="260"/>
      <c r="AC11" s="260"/>
      <c r="AD11" s="260"/>
      <c r="AE11" s="260"/>
    </row>
    <row r="12" spans="2:31" ht="21" customHeight="1">
      <c r="B12" s="231"/>
      <c r="C12" s="232"/>
      <c r="D12" s="232"/>
      <c r="E12" s="264"/>
      <c r="F12" s="265"/>
      <c r="G12" s="266"/>
      <c r="H12" s="266"/>
      <c r="I12" s="250"/>
      <c r="J12" s="250"/>
      <c r="K12" s="250"/>
      <c r="L12" s="250"/>
      <c r="M12" s="250"/>
      <c r="N12" s="250"/>
      <c r="O12" s="253"/>
      <c r="P12" s="254"/>
      <c r="Q12" s="254"/>
      <c r="R12" s="254"/>
      <c r="S12" s="255"/>
      <c r="T12" s="255" t="s">
        <v>210</v>
      </c>
      <c r="U12" s="254"/>
      <c r="V12" s="254" t="s">
        <v>207</v>
      </c>
      <c r="W12" s="262">
        <f>ROUND(2.0944*(U8/1000),3)</f>
        <v>2.0939999999999999</v>
      </c>
      <c r="X12" s="263" t="s">
        <v>34</v>
      </c>
      <c r="Y12" s="259"/>
      <c r="Z12" s="259"/>
      <c r="AA12" s="259"/>
      <c r="AB12" s="260"/>
      <c r="AC12" s="260"/>
      <c r="AD12" s="260"/>
      <c r="AE12" s="260"/>
    </row>
    <row r="13" spans="2:31" ht="21" customHeight="1">
      <c r="B13" s="231"/>
      <c r="C13" s="232"/>
      <c r="D13" s="232"/>
      <c r="E13" s="246"/>
      <c r="F13" s="266" t="s">
        <v>211</v>
      </c>
      <c r="G13" s="266"/>
      <c r="H13" s="266"/>
      <c r="I13" s="250"/>
      <c r="J13" s="250"/>
      <c r="K13" s="250"/>
      <c r="L13" s="250"/>
      <c r="M13" s="267">
        <f>ROUND(((2/3*3.28*M14*(M16/M15^0.5))^0.467/60),2)</f>
        <v>0.26</v>
      </c>
      <c r="N13" s="250"/>
      <c r="O13" s="253"/>
      <c r="P13" s="254"/>
      <c r="Q13" s="254"/>
      <c r="R13" s="254"/>
      <c r="S13" s="255" t="s">
        <v>212</v>
      </c>
      <c r="T13" s="255"/>
      <c r="U13" s="255"/>
      <c r="V13" s="254" t="s">
        <v>207</v>
      </c>
      <c r="W13" s="262">
        <f>ROUND(W10/W12,3)</f>
        <v>0.30199999999999999</v>
      </c>
      <c r="X13" s="263"/>
      <c r="Y13" s="259"/>
      <c r="Z13" s="259"/>
      <c r="AA13" s="259"/>
      <c r="AB13" s="260"/>
      <c r="AC13" s="260"/>
      <c r="AD13" s="260"/>
      <c r="AE13" s="260"/>
    </row>
    <row r="14" spans="2:31" ht="21" customHeight="1">
      <c r="B14" s="231"/>
      <c r="C14" s="232"/>
      <c r="D14" s="232"/>
      <c r="E14" s="246"/>
      <c r="F14" s="266" t="s">
        <v>213</v>
      </c>
      <c r="G14" s="266"/>
      <c r="H14" s="266"/>
      <c r="I14" s="250"/>
      <c r="J14" s="250"/>
      <c r="K14" s="250"/>
      <c r="L14" s="250"/>
      <c r="M14" s="268">
        <v>200</v>
      </c>
      <c r="N14" s="250"/>
      <c r="O14" s="253"/>
      <c r="P14" s="254"/>
      <c r="Q14" s="254"/>
      <c r="R14" s="254"/>
      <c r="S14" s="255" t="s">
        <v>214</v>
      </c>
      <c r="T14" s="254"/>
      <c r="U14" s="269">
        <v>10</v>
      </c>
      <c r="V14" s="254" t="s">
        <v>215</v>
      </c>
      <c r="W14" s="270">
        <f>ROUND(1/U14*100,2)</f>
        <v>10</v>
      </c>
      <c r="X14" s="261" t="s">
        <v>216</v>
      </c>
      <c r="Y14" s="259"/>
      <c r="Z14" s="259"/>
      <c r="AA14" s="259"/>
      <c r="AB14" s="260"/>
      <c r="AC14" s="260"/>
      <c r="AD14" s="260"/>
      <c r="AE14" s="260"/>
    </row>
    <row r="15" spans="2:31" ht="21" customHeight="1">
      <c r="B15" s="231"/>
      <c r="C15" s="232"/>
      <c r="D15" s="232"/>
      <c r="E15" s="246"/>
      <c r="F15" s="266" t="s">
        <v>217</v>
      </c>
      <c r="G15" s="266"/>
      <c r="H15" s="266"/>
      <c r="I15" s="250"/>
      <c r="J15" s="250"/>
      <c r="K15" s="250"/>
      <c r="L15" s="250"/>
      <c r="M15" s="271">
        <f>M17/M14</f>
        <v>0.7</v>
      </c>
      <c r="N15" s="250"/>
      <c r="O15" s="253"/>
      <c r="P15" s="254"/>
      <c r="Q15" s="254"/>
      <c r="R15" s="254"/>
      <c r="S15" s="254"/>
      <c r="T15" s="255" t="s">
        <v>435</v>
      </c>
      <c r="U15" s="257">
        <v>2.5000000000000001E-2</v>
      </c>
      <c r="V15" s="255"/>
      <c r="W15" s="254"/>
      <c r="X15" s="258"/>
      <c r="Y15" s="259"/>
      <c r="Z15" s="259"/>
      <c r="AA15" s="259"/>
      <c r="AB15" s="260"/>
      <c r="AC15" s="260"/>
      <c r="AD15" s="260"/>
      <c r="AE15" s="260"/>
    </row>
    <row r="16" spans="2:31" ht="21" customHeight="1">
      <c r="B16" s="231"/>
      <c r="C16" s="232"/>
      <c r="D16" s="232"/>
      <c r="E16" s="232"/>
      <c r="F16" s="266" t="s">
        <v>218</v>
      </c>
      <c r="G16" s="250"/>
      <c r="H16" s="250"/>
      <c r="I16" s="250"/>
      <c r="J16" s="250"/>
      <c r="K16" s="250"/>
      <c r="L16" s="250"/>
      <c r="M16" s="268">
        <v>0.7</v>
      </c>
      <c r="N16" s="250"/>
      <c r="O16" s="253"/>
      <c r="P16" s="255"/>
      <c r="Q16" s="255"/>
      <c r="R16" s="255"/>
      <c r="S16" s="255"/>
      <c r="T16" s="255"/>
      <c r="U16" s="255"/>
      <c r="V16" s="255"/>
      <c r="W16" s="255"/>
      <c r="X16" s="261"/>
      <c r="Y16" s="259"/>
      <c r="Z16" s="259"/>
      <c r="AA16" s="259"/>
      <c r="AB16" s="260"/>
      <c r="AC16" s="260"/>
      <c r="AD16" s="260"/>
      <c r="AE16" s="260"/>
    </row>
    <row r="17" spans="2:31" ht="21" customHeight="1">
      <c r="B17" s="231"/>
      <c r="C17" s="232"/>
      <c r="D17" s="232"/>
      <c r="E17" s="232"/>
      <c r="F17" s="266" t="s">
        <v>219</v>
      </c>
      <c r="G17" s="250"/>
      <c r="H17" s="250"/>
      <c r="I17" s="250"/>
      <c r="J17" s="250"/>
      <c r="K17" s="250"/>
      <c r="L17" s="250"/>
      <c r="M17" s="272">
        <v>140</v>
      </c>
      <c r="N17" s="250"/>
      <c r="O17" s="253"/>
      <c r="P17" s="255"/>
      <c r="Q17" s="273" t="s">
        <v>220</v>
      </c>
      <c r="R17" s="274" t="str">
        <f>"V = 1 / n × R⅔ × I½  = 1/0.025 × "&amp;FIXED(W13,3)&amp;"^⅔ × "&amp;FIXED(ROUND(1/U14,3),3)&amp;"^⅔  ="</f>
        <v>V = 1 / n × R⅔ × I½  = 1/0.025 × 0.302^⅔ × 0.100^⅔  =</v>
      </c>
      <c r="S17" s="275"/>
      <c r="T17" s="255"/>
      <c r="U17" s="257"/>
      <c r="V17" s="255"/>
      <c r="W17" s="255"/>
      <c r="X17" s="261"/>
      <c r="Y17" s="259"/>
      <c r="Z17" s="259"/>
      <c r="AA17" s="259"/>
      <c r="AB17" s="260"/>
      <c r="AC17" s="260"/>
      <c r="AD17" s="260"/>
      <c r="AE17" s="260"/>
    </row>
    <row r="18" spans="2:31" ht="21" customHeight="1">
      <c r="B18" s="231"/>
      <c r="C18" s="232"/>
      <c r="D18" s="233" t="s">
        <v>221</v>
      </c>
      <c r="E18" s="232"/>
      <c r="F18" s="250"/>
      <c r="G18" s="250"/>
      <c r="H18" s="250"/>
      <c r="I18" s="250"/>
      <c r="J18" s="250"/>
      <c r="K18" s="250"/>
      <c r="L18" s="250"/>
      <c r="M18" s="250"/>
      <c r="N18" s="250"/>
      <c r="O18" s="253"/>
      <c r="P18" s="255"/>
      <c r="Q18" s="273"/>
      <c r="R18" s="255"/>
      <c r="S18" s="275"/>
      <c r="T18" s="257"/>
      <c r="U18" s="255"/>
      <c r="V18" s="262">
        <f>ROUND((1/0.025)*W13^(2/3)*(1/U14)^(1/2),3)</f>
        <v>5.694</v>
      </c>
      <c r="W18" s="255" t="s">
        <v>222</v>
      </c>
      <c r="X18" s="261"/>
      <c r="Y18" s="259"/>
      <c r="Z18" s="259"/>
      <c r="AA18" s="259"/>
      <c r="AB18" s="260"/>
      <c r="AC18" s="260"/>
      <c r="AD18" s="260"/>
      <c r="AE18" s="260"/>
    </row>
    <row r="19" spans="2:31" ht="21" customHeight="1">
      <c r="B19" s="231"/>
      <c r="C19" s="232"/>
      <c r="D19" s="232"/>
      <c r="E19" s="232" t="s">
        <v>223</v>
      </c>
      <c r="F19" s="250"/>
      <c r="G19" s="250"/>
      <c r="H19" s="250"/>
      <c r="I19" s="250"/>
      <c r="J19" s="250"/>
      <c r="K19" s="250"/>
      <c r="L19" s="250"/>
      <c r="M19" s="276">
        <f>ROUND((H21/24)*(24/M13)^0.557,2)</f>
        <v>172.48</v>
      </c>
      <c r="N19" s="250"/>
      <c r="O19" s="253"/>
      <c r="P19" s="255"/>
      <c r="Q19" s="273"/>
      <c r="R19" s="255"/>
      <c r="S19" s="275"/>
      <c r="T19" s="257"/>
      <c r="U19" s="255"/>
      <c r="V19" s="262"/>
      <c r="W19" s="255"/>
      <c r="X19" s="261"/>
      <c r="Y19" s="259"/>
      <c r="Z19" s="259"/>
      <c r="AA19" s="259"/>
      <c r="AB19" s="260"/>
      <c r="AC19" s="260"/>
      <c r="AD19" s="260"/>
      <c r="AE19" s="260"/>
    </row>
    <row r="20" spans="2:31" ht="21" customHeight="1">
      <c r="B20" s="231"/>
      <c r="C20" s="232"/>
      <c r="D20" s="232"/>
      <c r="E20" s="232"/>
      <c r="F20" s="250"/>
      <c r="G20" s="250"/>
      <c r="H20" s="250"/>
      <c r="I20" s="250"/>
      <c r="J20" s="250"/>
      <c r="K20" s="250"/>
      <c r="L20" s="250"/>
      <c r="M20" s="250"/>
      <c r="N20" s="250"/>
      <c r="O20" s="253"/>
      <c r="P20" s="255"/>
      <c r="Q20" s="273" t="s">
        <v>224</v>
      </c>
      <c r="R20" s="255" t="str">
        <f>"Q = A × V   = "&amp;FIXED(W10,3)&amp;" × "&amp;FIXED(V18,3)&amp;"  ="</f>
        <v>Q = A × V   = 0.632 × 5.694  =</v>
      </c>
      <c r="S20" s="255"/>
      <c r="T20" s="277"/>
      <c r="U20" s="257"/>
      <c r="V20" s="262">
        <f>ROUND(W10*V18,3)</f>
        <v>3.5990000000000002</v>
      </c>
      <c r="W20" s="255" t="s">
        <v>225</v>
      </c>
      <c r="X20" s="261"/>
      <c r="Y20" s="259"/>
      <c r="Z20" s="259"/>
      <c r="AA20" s="259"/>
      <c r="AB20" s="260"/>
      <c r="AC20" s="260"/>
      <c r="AD20" s="260"/>
      <c r="AE20" s="260"/>
    </row>
    <row r="21" spans="2:31" ht="21" customHeight="1" thickBot="1">
      <c r="B21" s="231"/>
      <c r="C21" s="232"/>
      <c r="D21" s="232"/>
      <c r="E21" s="232"/>
      <c r="F21" s="250" t="s">
        <v>226</v>
      </c>
      <c r="G21" s="250"/>
      <c r="H21" s="278">
        <v>332.9</v>
      </c>
      <c r="I21" s="279"/>
      <c r="J21" s="1294" t="s">
        <v>227</v>
      </c>
      <c r="K21" s="1294"/>
      <c r="L21" s="250"/>
      <c r="M21" s="280" t="s">
        <v>228</v>
      </c>
      <c r="N21" s="280" t="s">
        <v>229</v>
      </c>
      <c r="O21" s="253"/>
      <c r="P21" s="255"/>
      <c r="Q21" s="281"/>
      <c r="R21" s="254"/>
      <c r="S21" s="254"/>
      <c r="T21" s="254"/>
      <c r="U21" s="254"/>
      <c r="V21" s="254"/>
      <c r="W21" s="254"/>
      <c r="X21" s="261"/>
      <c r="Y21" s="259"/>
      <c r="Z21" s="259"/>
      <c r="AA21" s="259"/>
      <c r="AB21" s="260"/>
      <c r="AC21" s="260"/>
      <c r="AD21" s="260"/>
      <c r="AE21" s="260"/>
    </row>
    <row r="22" spans="2:31" ht="21" customHeight="1" thickBot="1">
      <c r="B22" s="231"/>
      <c r="C22" s="232"/>
      <c r="D22" s="232"/>
      <c r="E22" s="232"/>
      <c r="F22" s="250"/>
      <c r="G22" s="250"/>
      <c r="H22" s="279"/>
      <c r="I22" s="279"/>
      <c r="J22" s="254"/>
      <c r="K22" s="254"/>
      <c r="L22" s="250"/>
      <c r="M22" s="282" t="s">
        <v>503</v>
      </c>
      <c r="N22" s="283">
        <v>100</v>
      </c>
      <c r="O22" s="253"/>
      <c r="P22" s="255"/>
      <c r="Q22" s="281"/>
      <c r="R22" s="1283" t="str">
        <f>V20&amp;"㎥/s &gt; Qd = "&amp;R4&amp;"㎥/s "&amp;IF(V20&gt;R4," -  O K  - "," -  N O  - ")</f>
        <v xml:space="preserve">3.599㎥/s &gt; Qd = 1.73㎥/s  -  O K  - </v>
      </c>
      <c r="S22" s="1283"/>
      <c r="T22" s="1283"/>
      <c r="U22" s="1283"/>
      <c r="V22" s="1283"/>
      <c r="W22" s="284"/>
      <c r="X22" s="258"/>
      <c r="Y22" s="259"/>
      <c r="Z22" s="259"/>
      <c r="AA22" s="259"/>
      <c r="AB22" s="260"/>
      <c r="AC22" s="260"/>
      <c r="AD22" s="260"/>
      <c r="AE22" s="260"/>
    </row>
    <row r="23" spans="2:31" ht="21" customHeight="1">
      <c r="B23" s="231"/>
      <c r="C23" s="232"/>
      <c r="D23" s="232"/>
      <c r="E23" s="232"/>
      <c r="F23" s="250"/>
      <c r="G23" s="250"/>
      <c r="H23" s="279"/>
      <c r="I23" s="279"/>
      <c r="J23" s="254"/>
      <c r="K23" s="254"/>
      <c r="L23" s="250"/>
      <c r="M23" s="285"/>
      <c r="N23" s="285"/>
      <c r="O23" s="253"/>
      <c r="P23" s="255"/>
      <c r="Q23" s="281"/>
      <c r="R23" s="255"/>
      <c r="S23" s="286"/>
      <c r="T23" s="254"/>
      <c r="U23" s="287"/>
      <c r="V23" s="254"/>
      <c r="W23" s="255"/>
      <c r="X23" s="258"/>
      <c r="Y23" s="259"/>
      <c r="Z23" s="259"/>
      <c r="AA23" s="259"/>
      <c r="AB23" s="260"/>
      <c r="AC23" s="260"/>
      <c r="AD23" s="260"/>
      <c r="AE23" s="260"/>
    </row>
    <row r="24" spans="2:31" ht="21" customHeight="1">
      <c r="B24" s="231"/>
      <c r="C24" s="232"/>
      <c r="D24" s="232"/>
      <c r="E24" s="232"/>
      <c r="F24" s="250" t="s">
        <v>230</v>
      </c>
      <c r="G24" s="250"/>
      <c r="H24" s="250"/>
      <c r="I24" s="250"/>
      <c r="J24" s="250"/>
      <c r="K24" s="250"/>
      <c r="L24" s="250"/>
      <c r="M24" s="250"/>
      <c r="N24" s="250"/>
      <c r="O24" s="253"/>
      <c r="P24" s="255"/>
      <c r="Q24" s="273" t="s">
        <v>231</v>
      </c>
      <c r="R24" s="254">
        <f>ROUND(V20/R4*100,)</f>
        <v>208</v>
      </c>
      <c r="S24" s="255" t="s">
        <v>216</v>
      </c>
      <c r="T24" s="254"/>
      <c r="U24" s="287"/>
      <c r="V24" s="254"/>
      <c r="W24" s="255"/>
      <c r="X24" s="258"/>
      <c r="Y24" s="259"/>
      <c r="Z24" s="259"/>
      <c r="AA24" s="259"/>
      <c r="AB24" s="260"/>
      <c r="AC24" s="260"/>
      <c r="AD24" s="260"/>
      <c r="AE24" s="260"/>
    </row>
    <row r="25" spans="2:31" ht="21" customHeight="1" thickBot="1">
      <c r="B25" s="288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90"/>
      <c r="P25" s="291"/>
      <c r="Q25" s="291"/>
      <c r="R25" s="291"/>
      <c r="S25" s="291"/>
      <c r="T25" s="291"/>
      <c r="U25" s="291"/>
      <c r="V25" s="291"/>
      <c r="W25" s="291"/>
      <c r="X25" s="292"/>
      <c r="Y25" s="223"/>
      <c r="Z25" s="223"/>
      <c r="AA25" s="223"/>
    </row>
    <row r="26" spans="2:31" ht="18.95" customHeight="1"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</row>
    <row r="27" spans="2:31" ht="18.95" customHeight="1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</row>
    <row r="28" spans="2:31" ht="18.95" customHeight="1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</row>
    <row r="29" spans="2:31" ht="18.95" customHeight="1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</row>
    <row r="30" spans="2:31" ht="18.95" customHeight="1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</row>
    <row r="31" spans="2:31" ht="18.95" customHeight="1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</row>
    <row r="32" spans="2:31" ht="18.95" customHeight="1">
      <c r="B32" s="294" t="s">
        <v>232</v>
      </c>
      <c r="C32" s="295"/>
      <c r="D32" s="1284" t="s">
        <v>229</v>
      </c>
      <c r="E32" s="1285"/>
      <c r="F32" s="1286"/>
      <c r="G32" s="1287" t="s">
        <v>233</v>
      </c>
      <c r="H32" s="1288"/>
      <c r="I32" s="1289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</row>
    <row r="33" spans="2:25" ht="18.95" customHeight="1">
      <c r="B33" s="294" t="s">
        <v>234</v>
      </c>
      <c r="C33" s="295"/>
      <c r="D33" s="294">
        <v>10</v>
      </c>
      <c r="E33" s="296"/>
      <c r="F33" s="295"/>
      <c r="G33" s="297">
        <v>199.6</v>
      </c>
      <c r="H33" s="298"/>
      <c r="I33" s="299"/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</row>
    <row r="34" spans="2:25" ht="18.95" customHeight="1">
      <c r="B34" s="294" t="s">
        <v>234</v>
      </c>
      <c r="C34" s="295"/>
      <c r="D34" s="294">
        <v>20</v>
      </c>
      <c r="E34" s="296"/>
      <c r="F34" s="295"/>
      <c r="G34" s="297">
        <v>233.2</v>
      </c>
      <c r="H34" s="298"/>
      <c r="I34" s="299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</row>
    <row r="35" spans="2:25" ht="18.95" customHeight="1">
      <c r="B35" s="294" t="s">
        <v>234</v>
      </c>
      <c r="C35" s="295"/>
      <c r="D35" s="294">
        <v>30</v>
      </c>
      <c r="E35" s="296"/>
      <c r="F35" s="295"/>
      <c r="G35" s="297">
        <v>252.6</v>
      </c>
      <c r="H35" s="298"/>
      <c r="I35" s="299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3"/>
      <c r="Y35" s="293"/>
    </row>
    <row r="36" spans="2:25" ht="18.95" customHeight="1">
      <c r="B36" s="294" t="s">
        <v>234</v>
      </c>
      <c r="C36" s="295"/>
      <c r="D36" s="294">
        <v>50</v>
      </c>
      <c r="E36" s="296"/>
      <c r="F36" s="295"/>
      <c r="G36" s="297">
        <v>276.8</v>
      </c>
      <c r="H36" s="298"/>
      <c r="I36" s="299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</row>
    <row r="37" spans="2:25" ht="18.95" customHeight="1">
      <c r="B37" s="294"/>
      <c r="C37" s="295"/>
      <c r="D37" s="294"/>
      <c r="E37" s="296"/>
      <c r="F37" s="295"/>
      <c r="G37" s="297"/>
      <c r="H37" s="298"/>
      <c r="I37" s="299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</row>
    <row r="38" spans="2:25" ht="18.95" customHeight="1">
      <c r="B38" s="294"/>
      <c r="C38" s="295"/>
      <c r="D38" s="294"/>
      <c r="E38" s="296"/>
      <c r="F38" s="295"/>
      <c r="G38" s="297"/>
      <c r="H38" s="298"/>
      <c r="I38" s="299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</row>
    <row r="39" spans="2:25" ht="18.95" customHeight="1">
      <c r="B39" s="294"/>
      <c r="C39" s="295"/>
      <c r="D39" s="294"/>
      <c r="E39" s="296"/>
      <c r="F39" s="295"/>
      <c r="G39" s="297"/>
      <c r="H39" s="298"/>
      <c r="I39" s="299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</row>
    <row r="40" spans="2:25" ht="18.95" customHeight="1">
      <c r="B40" s="294"/>
      <c r="C40" s="295"/>
      <c r="D40" s="294"/>
      <c r="E40" s="296"/>
      <c r="F40" s="295"/>
      <c r="G40" s="297"/>
      <c r="H40" s="298"/>
      <c r="I40" s="299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</row>
    <row r="41" spans="2:25" ht="18.95" customHeight="1">
      <c r="B41" s="294"/>
      <c r="C41" s="295"/>
      <c r="D41" s="294"/>
      <c r="E41" s="296"/>
      <c r="F41" s="295"/>
      <c r="G41" s="297"/>
      <c r="H41" s="298"/>
      <c r="I41" s="299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</row>
    <row r="42" spans="2:25" ht="18.95" customHeight="1">
      <c r="B42" s="294" t="s">
        <v>235</v>
      </c>
      <c r="C42" s="295"/>
      <c r="D42" s="294">
        <v>30</v>
      </c>
      <c r="E42" s="296"/>
      <c r="F42" s="295"/>
      <c r="G42" s="297">
        <v>200.9</v>
      </c>
      <c r="H42" s="298"/>
      <c r="I42" s="299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</row>
    <row r="43" spans="2:25" ht="18.95" customHeight="1">
      <c r="B43" s="294" t="s">
        <v>235</v>
      </c>
      <c r="C43" s="295"/>
      <c r="D43" s="294">
        <v>50</v>
      </c>
      <c r="E43" s="296"/>
      <c r="F43" s="295"/>
      <c r="G43" s="297">
        <v>216.5</v>
      </c>
      <c r="H43" s="298"/>
      <c r="I43" s="299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</row>
    <row r="44" spans="2:25" ht="18.95" customHeight="1">
      <c r="B44" s="216" t="s">
        <v>235</v>
      </c>
      <c r="C44" s="217"/>
      <c r="D44" s="218">
        <v>70</v>
      </c>
      <c r="E44" s="219"/>
      <c r="F44" s="217"/>
      <c r="G44" s="220">
        <v>226.7</v>
      </c>
      <c r="H44" s="221"/>
      <c r="I44" s="222"/>
      <c r="P44" s="214"/>
      <c r="Q44" s="214"/>
      <c r="R44" s="214"/>
      <c r="S44" s="214"/>
      <c r="T44" s="214"/>
      <c r="U44" s="214"/>
      <c r="V44" s="214"/>
      <c r="W44" s="214"/>
      <c r="X44" s="214"/>
    </row>
    <row r="45" spans="2:25" ht="18.95" customHeight="1">
      <c r="B45" s="216" t="s">
        <v>235</v>
      </c>
      <c r="C45" s="217"/>
      <c r="D45" s="218">
        <v>80</v>
      </c>
      <c r="E45" s="219"/>
      <c r="F45" s="217"/>
      <c r="G45" s="220">
        <v>230.8</v>
      </c>
      <c r="H45" s="221"/>
      <c r="I45" s="222"/>
    </row>
    <row r="46" spans="2:25" ht="18.95" customHeight="1">
      <c r="B46" s="216" t="s">
        <v>235</v>
      </c>
      <c r="C46" s="217"/>
      <c r="D46" s="218">
        <v>100</v>
      </c>
      <c r="E46" s="219"/>
      <c r="F46" s="217"/>
      <c r="G46" s="220">
        <v>237.5</v>
      </c>
      <c r="H46" s="221"/>
      <c r="I46" s="222"/>
    </row>
    <row r="47" spans="2:25" ht="18.95" customHeight="1">
      <c r="B47" s="216" t="s">
        <v>236</v>
      </c>
      <c r="C47" s="217"/>
      <c r="D47" s="218">
        <v>10</v>
      </c>
      <c r="E47" s="219"/>
      <c r="F47" s="217"/>
      <c r="G47" s="220">
        <v>122.2</v>
      </c>
      <c r="H47" s="221"/>
      <c r="I47" s="222"/>
    </row>
    <row r="48" spans="2:25" ht="18.95" customHeight="1">
      <c r="B48" s="216" t="s">
        <v>236</v>
      </c>
      <c r="C48" s="217"/>
      <c r="D48" s="218">
        <v>20</v>
      </c>
      <c r="E48" s="219"/>
      <c r="F48" s="217"/>
      <c r="G48" s="220">
        <v>135.30000000000001</v>
      </c>
      <c r="H48" s="221"/>
      <c r="I48" s="222"/>
    </row>
    <row r="49" spans="2:9" ht="18.95" customHeight="1">
      <c r="B49" s="216" t="s">
        <v>236</v>
      </c>
      <c r="C49" s="217"/>
      <c r="D49" s="218">
        <v>30</v>
      </c>
      <c r="E49" s="219"/>
      <c r="F49" s="217"/>
      <c r="G49" s="220">
        <v>142.9</v>
      </c>
      <c r="H49" s="221"/>
      <c r="I49" s="222"/>
    </row>
    <row r="50" spans="2:9" ht="18.95" customHeight="1">
      <c r="B50" s="216" t="s">
        <v>236</v>
      </c>
      <c r="C50" s="217"/>
      <c r="D50" s="218">
        <v>50</v>
      </c>
      <c r="E50" s="219"/>
      <c r="F50" s="217"/>
      <c r="G50" s="220">
        <v>152.30000000000001</v>
      </c>
      <c r="H50" s="221"/>
      <c r="I50" s="222"/>
    </row>
    <row r="51" spans="2:9" ht="18.95" customHeight="1">
      <c r="B51" s="216" t="s">
        <v>236</v>
      </c>
      <c r="C51" s="217"/>
      <c r="D51" s="218">
        <v>70</v>
      </c>
      <c r="E51" s="219"/>
      <c r="F51" s="217"/>
      <c r="G51" s="220">
        <v>158.5</v>
      </c>
      <c r="H51" s="221"/>
      <c r="I51" s="222"/>
    </row>
    <row r="52" spans="2:9" ht="18.95" customHeight="1">
      <c r="B52" s="216" t="s">
        <v>236</v>
      </c>
      <c r="C52" s="217"/>
      <c r="D52" s="218">
        <v>80</v>
      </c>
      <c r="E52" s="219"/>
      <c r="F52" s="217"/>
      <c r="G52" s="220">
        <v>160.9</v>
      </c>
      <c r="H52" s="221"/>
      <c r="I52" s="222"/>
    </row>
    <row r="53" spans="2:9" ht="18.95" customHeight="1">
      <c r="B53" s="216" t="s">
        <v>236</v>
      </c>
      <c r="C53" s="217"/>
      <c r="D53" s="218">
        <v>100</v>
      </c>
      <c r="E53" s="219"/>
      <c r="F53" s="217"/>
      <c r="G53" s="220">
        <v>165</v>
      </c>
      <c r="H53" s="221"/>
      <c r="I53" s="222"/>
    </row>
    <row r="54" spans="2:9" ht="18.95" customHeight="1">
      <c r="B54" s="216" t="s">
        <v>237</v>
      </c>
      <c r="C54" s="217"/>
      <c r="D54" s="218">
        <v>10</v>
      </c>
      <c r="E54" s="219"/>
      <c r="F54" s="217"/>
      <c r="G54" s="220">
        <v>217.1</v>
      </c>
      <c r="H54" s="221"/>
      <c r="I54" s="222"/>
    </row>
    <row r="55" spans="2:9" ht="18.95" customHeight="1">
      <c r="B55" s="216" t="s">
        <v>237</v>
      </c>
      <c r="C55" s="217"/>
      <c r="D55" s="218">
        <v>20</v>
      </c>
      <c r="E55" s="219"/>
      <c r="F55" s="217"/>
      <c r="G55" s="220">
        <v>254</v>
      </c>
      <c r="H55" s="221"/>
      <c r="I55" s="222"/>
    </row>
    <row r="56" spans="2:9" ht="18.95" customHeight="1">
      <c r="B56" s="216" t="s">
        <v>237</v>
      </c>
      <c r="C56" s="217"/>
      <c r="D56" s="218">
        <v>30</v>
      </c>
      <c r="E56" s="219"/>
      <c r="F56" s="217"/>
      <c r="G56" s="220">
        <v>275.2</v>
      </c>
      <c r="H56" s="221"/>
      <c r="I56" s="222"/>
    </row>
    <row r="57" spans="2:9" ht="18.95" customHeight="1">
      <c r="B57" s="216" t="s">
        <v>237</v>
      </c>
      <c r="C57" s="217"/>
      <c r="D57" s="218">
        <v>50</v>
      </c>
      <c r="E57" s="219"/>
      <c r="F57" s="217"/>
      <c r="G57" s="220">
        <v>301.7</v>
      </c>
      <c r="H57" s="221"/>
      <c r="I57" s="222"/>
    </row>
    <row r="58" spans="2:9" ht="18.95" customHeight="1">
      <c r="B58" s="216" t="s">
        <v>237</v>
      </c>
      <c r="C58" s="217"/>
      <c r="D58" s="218">
        <v>70</v>
      </c>
      <c r="E58" s="219"/>
      <c r="F58" s="217"/>
      <c r="G58" s="220">
        <v>319.10000000000002</v>
      </c>
      <c r="H58" s="221"/>
      <c r="I58" s="222"/>
    </row>
    <row r="59" spans="2:9" ht="18.95" customHeight="1">
      <c r="B59" s="216" t="s">
        <v>237</v>
      </c>
      <c r="C59" s="217"/>
      <c r="D59" s="218">
        <v>80</v>
      </c>
      <c r="E59" s="219"/>
      <c r="F59" s="217"/>
      <c r="G59" s="220">
        <v>326</v>
      </c>
      <c r="H59" s="221"/>
      <c r="I59" s="222"/>
    </row>
    <row r="60" spans="2:9" ht="18.95" customHeight="1">
      <c r="B60" s="216" t="s">
        <v>237</v>
      </c>
      <c r="C60" s="217"/>
      <c r="D60" s="218">
        <v>100</v>
      </c>
      <c r="E60" s="219"/>
      <c r="F60" s="217"/>
      <c r="G60" s="220">
        <v>337.5</v>
      </c>
      <c r="H60" s="221"/>
      <c r="I60" s="222"/>
    </row>
    <row r="61" spans="2:9" ht="18.95" customHeight="1">
      <c r="B61" s="216" t="s">
        <v>238</v>
      </c>
      <c r="C61" s="217"/>
      <c r="D61" s="218">
        <v>10</v>
      </c>
      <c r="E61" s="219"/>
      <c r="F61" s="217"/>
      <c r="G61" s="220">
        <v>170.1</v>
      </c>
      <c r="H61" s="221"/>
      <c r="I61" s="222"/>
    </row>
    <row r="62" spans="2:9" ht="18.95" customHeight="1">
      <c r="B62" s="216" t="s">
        <v>238</v>
      </c>
      <c r="C62" s="217"/>
      <c r="D62" s="218">
        <v>20</v>
      </c>
      <c r="E62" s="219"/>
      <c r="F62" s="217"/>
      <c r="G62" s="220">
        <v>196.1</v>
      </c>
      <c r="H62" s="221"/>
      <c r="I62" s="222"/>
    </row>
    <row r="63" spans="2:9" ht="18.95" customHeight="1">
      <c r="B63" s="216" t="s">
        <v>238</v>
      </c>
      <c r="C63" s="217"/>
      <c r="D63" s="218">
        <v>30</v>
      </c>
      <c r="E63" s="219"/>
      <c r="F63" s="217"/>
      <c r="G63" s="220">
        <v>211</v>
      </c>
      <c r="H63" s="221"/>
      <c r="I63" s="222"/>
    </row>
    <row r="64" spans="2:9" ht="18.95" customHeight="1">
      <c r="B64" s="216" t="s">
        <v>238</v>
      </c>
      <c r="C64" s="217"/>
      <c r="D64" s="218">
        <v>50</v>
      </c>
      <c r="E64" s="219"/>
      <c r="F64" s="217"/>
      <c r="G64" s="220">
        <v>229.8</v>
      </c>
      <c r="H64" s="221"/>
      <c r="I64" s="222"/>
    </row>
    <row r="65" spans="2:9" ht="18.95" customHeight="1">
      <c r="B65" s="216" t="s">
        <v>238</v>
      </c>
      <c r="C65" s="217"/>
      <c r="D65" s="218">
        <v>70</v>
      </c>
      <c r="E65" s="219"/>
      <c r="F65" s="217"/>
      <c r="G65" s="220">
        <v>242</v>
      </c>
      <c r="H65" s="221"/>
      <c r="I65" s="222"/>
    </row>
    <row r="66" spans="2:9" ht="18.95" customHeight="1">
      <c r="B66" s="216" t="s">
        <v>238</v>
      </c>
      <c r="C66" s="217"/>
      <c r="D66" s="218">
        <v>80</v>
      </c>
      <c r="E66" s="219"/>
      <c r="F66" s="217"/>
      <c r="G66" s="220">
        <v>246.9</v>
      </c>
      <c r="H66" s="221"/>
      <c r="I66" s="222"/>
    </row>
    <row r="67" spans="2:9" ht="18.95" customHeight="1">
      <c r="B67" s="216" t="s">
        <v>238</v>
      </c>
      <c r="C67" s="217"/>
      <c r="D67" s="218">
        <v>100</v>
      </c>
      <c r="E67" s="219"/>
      <c r="F67" s="217"/>
      <c r="G67" s="220">
        <v>255</v>
      </c>
      <c r="H67" s="221"/>
      <c r="I67" s="222"/>
    </row>
    <row r="68" spans="2:9" ht="18.95" customHeight="1">
      <c r="B68" s="216" t="s">
        <v>239</v>
      </c>
      <c r="C68" s="217"/>
      <c r="D68" s="218">
        <v>10</v>
      </c>
      <c r="E68" s="219"/>
      <c r="F68" s="217"/>
      <c r="G68" s="220">
        <v>233.5</v>
      </c>
      <c r="H68" s="221"/>
      <c r="I68" s="222"/>
    </row>
    <row r="69" spans="2:9" ht="18.95" customHeight="1">
      <c r="B69" s="216" t="s">
        <v>239</v>
      </c>
      <c r="C69" s="217"/>
      <c r="D69" s="218">
        <v>20</v>
      </c>
      <c r="E69" s="219"/>
      <c r="F69" s="217"/>
      <c r="G69" s="220">
        <v>273.89999999999998</v>
      </c>
      <c r="H69" s="221"/>
      <c r="I69" s="222"/>
    </row>
    <row r="70" spans="2:9" ht="18.95" customHeight="1">
      <c r="B70" s="216" t="s">
        <v>239</v>
      </c>
      <c r="C70" s="217"/>
      <c r="D70" s="218">
        <v>30</v>
      </c>
      <c r="E70" s="219"/>
      <c r="F70" s="217"/>
      <c r="G70" s="220">
        <v>297.2</v>
      </c>
      <c r="H70" s="221"/>
      <c r="I70" s="222"/>
    </row>
    <row r="71" spans="2:9" ht="18.95" customHeight="1">
      <c r="B71" s="216" t="s">
        <v>239</v>
      </c>
      <c r="C71" s="217"/>
      <c r="D71" s="218">
        <v>50</v>
      </c>
      <c r="E71" s="219"/>
      <c r="F71" s="217"/>
      <c r="G71" s="220">
        <v>326.3</v>
      </c>
      <c r="H71" s="221"/>
      <c r="I71" s="222"/>
    </row>
    <row r="72" spans="2:9" ht="18.95" customHeight="1">
      <c r="B72" s="216" t="s">
        <v>239</v>
      </c>
      <c r="C72" s="217"/>
      <c r="D72" s="218">
        <v>70</v>
      </c>
      <c r="E72" s="219"/>
      <c r="F72" s="217"/>
      <c r="G72" s="220">
        <v>345.3</v>
      </c>
      <c r="H72" s="221"/>
      <c r="I72" s="222"/>
    </row>
    <row r="73" spans="2:9" ht="18.95" customHeight="1">
      <c r="B73" s="216" t="s">
        <v>239</v>
      </c>
      <c r="C73" s="217"/>
      <c r="D73" s="218">
        <v>80</v>
      </c>
      <c r="E73" s="219"/>
      <c r="F73" s="217"/>
      <c r="G73" s="220">
        <v>352.9</v>
      </c>
      <c r="H73" s="221"/>
      <c r="I73" s="222"/>
    </row>
    <row r="74" spans="2:9" ht="18.95" customHeight="1">
      <c r="B74" s="216" t="s">
        <v>239</v>
      </c>
      <c r="C74" s="217"/>
      <c r="D74" s="218">
        <v>100</v>
      </c>
      <c r="E74" s="219"/>
      <c r="F74" s="217"/>
      <c r="G74" s="220">
        <v>365.5</v>
      </c>
      <c r="H74" s="221"/>
      <c r="I74" s="222"/>
    </row>
    <row r="75" spans="2:9" ht="18.95" customHeight="1">
      <c r="B75" s="216" t="s">
        <v>240</v>
      </c>
      <c r="C75" s="217"/>
      <c r="D75" s="218">
        <v>10</v>
      </c>
      <c r="E75" s="219"/>
      <c r="F75" s="217"/>
      <c r="G75" s="220">
        <v>213.4</v>
      </c>
      <c r="H75" s="221"/>
      <c r="I75" s="222"/>
    </row>
    <row r="76" spans="2:9" ht="18.95" customHeight="1">
      <c r="B76" s="216" t="s">
        <v>240</v>
      </c>
      <c r="C76" s="217"/>
      <c r="D76" s="218">
        <v>20</v>
      </c>
      <c r="E76" s="219"/>
      <c r="F76" s="217"/>
      <c r="G76" s="220">
        <v>245.8</v>
      </c>
      <c r="H76" s="221"/>
      <c r="I76" s="222"/>
    </row>
    <row r="77" spans="2:9" ht="18.95" customHeight="1">
      <c r="B77" s="216" t="s">
        <v>240</v>
      </c>
      <c r="C77" s="217"/>
      <c r="D77" s="218">
        <v>30</v>
      </c>
      <c r="E77" s="219"/>
      <c r="F77" s="217"/>
      <c r="G77" s="220">
        <v>264.39999999999998</v>
      </c>
      <c r="H77" s="221"/>
      <c r="I77" s="222"/>
    </row>
    <row r="78" spans="2:9" ht="18.95" customHeight="1">
      <c r="B78" s="216" t="s">
        <v>240</v>
      </c>
      <c r="C78" s="217"/>
      <c r="D78" s="218">
        <v>50</v>
      </c>
      <c r="E78" s="219"/>
      <c r="F78" s="217"/>
      <c r="G78" s="220">
        <v>287.7</v>
      </c>
      <c r="H78" s="221"/>
      <c r="I78" s="222"/>
    </row>
    <row r="79" spans="2:9" ht="18.95" customHeight="1">
      <c r="B79" s="216" t="s">
        <v>240</v>
      </c>
      <c r="C79" s="217"/>
      <c r="D79" s="218">
        <v>70</v>
      </c>
      <c r="E79" s="219"/>
      <c r="F79" s="217"/>
      <c r="G79" s="220">
        <v>302.89999999999998</v>
      </c>
      <c r="H79" s="221"/>
      <c r="I79" s="222"/>
    </row>
    <row r="80" spans="2:9" ht="18.95" customHeight="1">
      <c r="B80" s="216" t="s">
        <v>240</v>
      </c>
      <c r="C80" s="217"/>
      <c r="D80" s="218">
        <v>80</v>
      </c>
      <c r="E80" s="219"/>
      <c r="F80" s="217"/>
      <c r="G80" s="220">
        <v>309</v>
      </c>
      <c r="H80" s="221"/>
      <c r="I80" s="222"/>
    </row>
    <row r="81" spans="2:9" ht="18.95" customHeight="1">
      <c r="B81" s="216" t="s">
        <v>240</v>
      </c>
      <c r="C81" s="217"/>
      <c r="D81" s="218">
        <v>100</v>
      </c>
      <c r="E81" s="219"/>
      <c r="F81" s="217"/>
      <c r="G81" s="220">
        <v>319.10000000000002</v>
      </c>
      <c r="H81" s="221"/>
      <c r="I81" s="222"/>
    </row>
    <row r="82" spans="2:9" ht="18.95" customHeight="1">
      <c r="B82" s="216" t="s">
        <v>241</v>
      </c>
      <c r="C82" s="217"/>
      <c r="D82" s="218">
        <v>10</v>
      </c>
      <c r="E82" s="219"/>
      <c r="F82" s="217"/>
      <c r="G82" s="220">
        <v>154.5</v>
      </c>
      <c r="H82" s="221"/>
      <c r="I82" s="222"/>
    </row>
    <row r="83" spans="2:9" ht="18.95" customHeight="1">
      <c r="B83" s="216" t="s">
        <v>241</v>
      </c>
      <c r="C83" s="217"/>
      <c r="D83" s="218">
        <v>20</v>
      </c>
      <c r="E83" s="219"/>
      <c r="F83" s="217"/>
      <c r="G83" s="220">
        <v>173.6</v>
      </c>
      <c r="H83" s="221"/>
      <c r="I83" s="222"/>
    </row>
    <row r="84" spans="2:9" ht="18.95" customHeight="1">
      <c r="B84" s="216" t="s">
        <v>241</v>
      </c>
      <c r="C84" s="217"/>
      <c r="D84" s="218">
        <v>30</v>
      </c>
      <c r="E84" s="219"/>
      <c r="F84" s="217"/>
      <c r="G84" s="220">
        <v>184.6</v>
      </c>
      <c r="H84" s="221"/>
      <c r="I84" s="222"/>
    </row>
    <row r="85" spans="2:9" ht="18.95" customHeight="1">
      <c r="B85" s="216" t="s">
        <v>241</v>
      </c>
      <c r="C85" s="217"/>
      <c r="D85" s="218">
        <v>50</v>
      </c>
      <c r="E85" s="219"/>
      <c r="F85" s="217"/>
      <c r="G85" s="220">
        <v>198.3</v>
      </c>
      <c r="H85" s="221"/>
      <c r="I85" s="222"/>
    </row>
    <row r="86" spans="2:9" ht="18.95" customHeight="1">
      <c r="B86" s="216" t="s">
        <v>241</v>
      </c>
      <c r="C86" s="217"/>
      <c r="D86" s="218">
        <v>70</v>
      </c>
      <c r="E86" s="219"/>
      <c r="F86" s="217"/>
      <c r="G86" s="220">
        <v>207.3</v>
      </c>
      <c r="H86" s="221"/>
      <c r="I86" s="222"/>
    </row>
    <row r="87" spans="2:9" ht="18.95" customHeight="1">
      <c r="B87" s="216" t="s">
        <v>241</v>
      </c>
      <c r="C87" s="217"/>
      <c r="D87" s="218">
        <v>80</v>
      </c>
      <c r="E87" s="219"/>
      <c r="F87" s="217"/>
      <c r="G87" s="220">
        <v>210.9</v>
      </c>
      <c r="H87" s="221"/>
      <c r="I87" s="222"/>
    </row>
    <row r="88" spans="2:9" ht="18.95" customHeight="1">
      <c r="B88" s="216" t="s">
        <v>241</v>
      </c>
      <c r="C88" s="217"/>
      <c r="D88" s="218">
        <v>100</v>
      </c>
      <c r="E88" s="219"/>
      <c r="F88" s="217"/>
      <c r="G88" s="220">
        <v>216.8</v>
      </c>
      <c r="H88" s="221"/>
      <c r="I88" s="222"/>
    </row>
    <row r="89" spans="2:9" ht="18.95" customHeight="1">
      <c r="B89" s="216" t="s">
        <v>242</v>
      </c>
      <c r="C89" s="217"/>
      <c r="D89" s="218">
        <v>10</v>
      </c>
      <c r="E89" s="219"/>
      <c r="F89" s="217"/>
      <c r="G89" s="220">
        <v>172.2</v>
      </c>
      <c r="H89" s="221"/>
      <c r="I89" s="222"/>
    </row>
    <row r="90" spans="2:9" ht="18.95" customHeight="1">
      <c r="B90" s="216" t="s">
        <v>242</v>
      </c>
      <c r="C90" s="217"/>
      <c r="D90" s="218">
        <v>20</v>
      </c>
      <c r="E90" s="219"/>
      <c r="F90" s="217"/>
      <c r="G90" s="220">
        <v>197.2</v>
      </c>
      <c r="H90" s="221"/>
      <c r="I90" s="222"/>
    </row>
    <row r="91" spans="2:9" ht="18.95" customHeight="1">
      <c r="B91" s="216" t="s">
        <v>242</v>
      </c>
      <c r="C91" s="217"/>
      <c r="D91" s="218">
        <v>30</v>
      </c>
      <c r="E91" s="219"/>
      <c r="F91" s="217"/>
      <c r="G91" s="220">
        <v>211.6</v>
      </c>
      <c r="H91" s="221"/>
      <c r="I91" s="222"/>
    </row>
    <row r="92" spans="2:9" ht="18.95" customHeight="1">
      <c r="B92" s="216" t="s">
        <v>242</v>
      </c>
      <c r="C92" s="217"/>
      <c r="D92" s="218">
        <v>50</v>
      </c>
      <c r="E92" s="219"/>
      <c r="F92" s="217"/>
      <c r="G92" s="220">
        <v>229.6</v>
      </c>
      <c r="H92" s="221"/>
      <c r="I92" s="222"/>
    </row>
    <row r="93" spans="2:9" ht="18.95" customHeight="1">
      <c r="B93" s="216" t="s">
        <v>242</v>
      </c>
      <c r="C93" s="217"/>
      <c r="D93" s="218">
        <v>70</v>
      </c>
      <c r="E93" s="219"/>
      <c r="F93" s="217"/>
      <c r="G93" s="220">
        <v>241.4</v>
      </c>
      <c r="H93" s="221"/>
      <c r="I93" s="222"/>
    </row>
    <row r="94" spans="2:9" ht="18.95" customHeight="1">
      <c r="B94" s="216" t="s">
        <v>242</v>
      </c>
      <c r="C94" s="217"/>
      <c r="D94" s="218">
        <v>80</v>
      </c>
      <c r="E94" s="219"/>
      <c r="F94" s="217"/>
      <c r="G94" s="220">
        <v>246.1</v>
      </c>
      <c r="H94" s="221"/>
      <c r="I94" s="222"/>
    </row>
    <row r="95" spans="2:9" ht="18.95" customHeight="1">
      <c r="B95" s="216" t="s">
        <v>242</v>
      </c>
      <c r="C95" s="217"/>
      <c r="D95" s="218">
        <v>100</v>
      </c>
      <c r="E95" s="219"/>
      <c r="F95" s="217"/>
      <c r="G95" s="220">
        <v>253.9</v>
      </c>
      <c r="H95" s="221"/>
      <c r="I95" s="222"/>
    </row>
    <row r="96" spans="2:9" ht="18.95" customHeight="1">
      <c r="B96" s="216" t="s">
        <v>243</v>
      </c>
      <c r="C96" s="217"/>
      <c r="D96" s="218">
        <v>10</v>
      </c>
      <c r="E96" s="219"/>
      <c r="F96" s="217"/>
      <c r="G96" s="220">
        <v>149.19999999999999</v>
      </c>
      <c r="H96" s="221"/>
      <c r="I96" s="222"/>
    </row>
    <row r="97" spans="2:9" ht="18.95" customHeight="1">
      <c r="B97" s="216" t="s">
        <v>243</v>
      </c>
      <c r="C97" s="217"/>
      <c r="D97" s="218">
        <v>20</v>
      </c>
      <c r="E97" s="219"/>
      <c r="F97" s="217"/>
      <c r="G97" s="220">
        <v>168.1</v>
      </c>
      <c r="H97" s="221"/>
      <c r="I97" s="222"/>
    </row>
    <row r="98" spans="2:9" ht="18.95" customHeight="1">
      <c r="B98" s="216" t="s">
        <v>243</v>
      </c>
      <c r="C98" s="217"/>
      <c r="D98" s="218">
        <v>30</v>
      </c>
      <c r="E98" s="219"/>
      <c r="F98" s="217"/>
      <c r="G98" s="220">
        <v>179.1</v>
      </c>
      <c r="H98" s="221"/>
      <c r="I98" s="222"/>
    </row>
    <row r="99" spans="2:9" ht="18.95" customHeight="1">
      <c r="B99" s="216" t="s">
        <v>243</v>
      </c>
      <c r="C99" s="217"/>
      <c r="D99" s="218">
        <v>50</v>
      </c>
      <c r="E99" s="219"/>
      <c r="F99" s="217"/>
      <c r="G99" s="220">
        <v>192.7</v>
      </c>
      <c r="H99" s="221"/>
      <c r="I99" s="222"/>
    </row>
    <row r="100" spans="2:9" ht="18.95" customHeight="1">
      <c r="B100" s="216" t="s">
        <v>243</v>
      </c>
      <c r="C100" s="217"/>
      <c r="D100" s="218">
        <v>70</v>
      </c>
      <c r="E100" s="219"/>
      <c r="F100" s="217"/>
      <c r="G100" s="220">
        <v>201.6</v>
      </c>
      <c r="H100" s="221"/>
      <c r="I100" s="222"/>
    </row>
    <row r="101" spans="2:9" ht="18.95" customHeight="1">
      <c r="B101" s="216" t="s">
        <v>243</v>
      </c>
      <c r="C101" s="217"/>
      <c r="D101" s="218">
        <v>80</v>
      </c>
      <c r="E101" s="219"/>
      <c r="F101" s="217"/>
      <c r="G101" s="220">
        <v>205.2</v>
      </c>
      <c r="H101" s="221"/>
      <c r="I101" s="222"/>
    </row>
    <row r="102" spans="2:9" ht="18.95" customHeight="1">
      <c r="B102" s="216" t="s">
        <v>243</v>
      </c>
      <c r="C102" s="217"/>
      <c r="D102" s="218">
        <v>100</v>
      </c>
      <c r="E102" s="219"/>
      <c r="F102" s="217"/>
      <c r="G102" s="220">
        <v>211.1</v>
      </c>
      <c r="H102" s="221"/>
      <c r="I102" s="222"/>
    </row>
    <row r="103" spans="2:9" ht="18.95" customHeight="1">
      <c r="B103" s="216" t="s">
        <v>244</v>
      </c>
      <c r="C103" s="217"/>
      <c r="D103" s="218">
        <v>10</v>
      </c>
      <c r="E103" s="219"/>
      <c r="F103" s="217"/>
      <c r="G103" s="220">
        <v>147.4</v>
      </c>
      <c r="H103" s="221"/>
      <c r="I103" s="222"/>
    </row>
    <row r="104" spans="2:9" ht="18.95" customHeight="1">
      <c r="B104" s="216" t="s">
        <v>244</v>
      </c>
      <c r="C104" s="217"/>
      <c r="D104" s="218">
        <v>20</v>
      </c>
      <c r="E104" s="219"/>
      <c r="F104" s="217"/>
      <c r="G104" s="220">
        <v>164.7</v>
      </c>
      <c r="H104" s="221"/>
      <c r="I104" s="222"/>
    </row>
    <row r="105" spans="2:9" ht="18.95" customHeight="1">
      <c r="B105" s="216" t="s">
        <v>244</v>
      </c>
      <c r="C105" s="217"/>
      <c r="D105" s="218">
        <v>30</v>
      </c>
      <c r="E105" s="219"/>
      <c r="F105" s="217"/>
      <c r="G105" s="220">
        <v>174.6</v>
      </c>
      <c r="H105" s="221"/>
      <c r="I105" s="222"/>
    </row>
    <row r="106" spans="2:9" ht="18.95" customHeight="1">
      <c r="B106" s="216" t="s">
        <v>244</v>
      </c>
      <c r="C106" s="217"/>
      <c r="D106" s="218">
        <v>50</v>
      </c>
      <c r="E106" s="219"/>
      <c r="F106" s="217"/>
      <c r="G106" s="220">
        <v>187</v>
      </c>
      <c r="H106" s="221"/>
      <c r="I106" s="222"/>
    </row>
    <row r="107" spans="2:9" ht="18.95" customHeight="1">
      <c r="B107" s="216" t="s">
        <v>244</v>
      </c>
      <c r="C107" s="217"/>
      <c r="D107" s="218">
        <v>70</v>
      </c>
      <c r="E107" s="219"/>
      <c r="F107" s="217"/>
      <c r="G107" s="220">
        <v>195.2</v>
      </c>
      <c r="H107" s="221"/>
      <c r="I107" s="222"/>
    </row>
    <row r="108" spans="2:9" ht="18.95" customHeight="1">
      <c r="B108" s="216" t="s">
        <v>244</v>
      </c>
      <c r="C108" s="217"/>
      <c r="D108" s="218">
        <v>80</v>
      </c>
      <c r="E108" s="219"/>
      <c r="F108" s="217"/>
      <c r="G108" s="220">
        <v>198.4</v>
      </c>
      <c r="H108" s="221"/>
      <c r="I108" s="222"/>
    </row>
    <row r="109" spans="2:9" ht="18.95" customHeight="1">
      <c r="B109" s="216" t="s">
        <v>244</v>
      </c>
      <c r="C109" s="217"/>
      <c r="D109" s="218">
        <v>100</v>
      </c>
      <c r="E109" s="219"/>
      <c r="F109" s="217"/>
      <c r="G109" s="220">
        <v>203.8</v>
      </c>
      <c r="H109" s="221"/>
      <c r="I109" s="222"/>
    </row>
    <row r="110" spans="2:9" ht="18.95" customHeight="1">
      <c r="B110" s="216" t="s">
        <v>245</v>
      </c>
      <c r="C110" s="217"/>
      <c r="D110" s="218">
        <v>10</v>
      </c>
      <c r="E110" s="219"/>
      <c r="F110" s="217"/>
      <c r="G110" s="220">
        <v>168.1</v>
      </c>
      <c r="H110" s="221"/>
      <c r="I110" s="222"/>
    </row>
    <row r="111" spans="2:9" ht="18.95" customHeight="1">
      <c r="B111" s="216" t="s">
        <v>245</v>
      </c>
      <c r="C111" s="217"/>
      <c r="D111" s="218">
        <v>20</v>
      </c>
      <c r="E111" s="219"/>
      <c r="F111" s="217"/>
      <c r="G111" s="220">
        <v>188.2</v>
      </c>
      <c r="H111" s="221"/>
      <c r="I111" s="222"/>
    </row>
    <row r="112" spans="2:9" ht="18.95" customHeight="1">
      <c r="B112" s="216" t="s">
        <v>245</v>
      </c>
      <c r="C112" s="217"/>
      <c r="D112" s="218">
        <v>30</v>
      </c>
      <c r="E112" s="219"/>
      <c r="F112" s="217"/>
      <c r="G112" s="220">
        <v>199.7</v>
      </c>
      <c r="H112" s="221"/>
      <c r="I112" s="222"/>
    </row>
    <row r="113" spans="2:9" ht="18.95" customHeight="1">
      <c r="B113" s="216" t="s">
        <v>245</v>
      </c>
      <c r="C113" s="217"/>
      <c r="D113" s="218">
        <v>50</v>
      </c>
      <c r="E113" s="219"/>
      <c r="F113" s="217"/>
      <c r="G113" s="220">
        <v>214.2</v>
      </c>
      <c r="H113" s="221"/>
      <c r="I113" s="222"/>
    </row>
    <row r="114" spans="2:9" ht="18.95" customHeight="1">
      <c r="B114" s="216" t="s">
        <v>245</v>
      </c>
      <c r="C114" s="217"/>
      <c r="D114" s="218">
        <v>70</v>
      </c>
      <c r="E114" s="219"/>
      <c r="F114" s="217"/>
      <c r="G114" s="220">
        <v>223.6</v>
      </c>
      <c r="H114" s="221"/>
      <c r="I114" s="222"/>
    </row>
    <row r="115" spans="2:9" ht="18.95" customHeight="1">
      <c r="B115" s="216" t="s">
        <v>245</v>
      </c>
      <c r="C115" s="217"/>
      <c r="D115" s="218">
        <v>80</v>
      </c>
      <c r="E115" s="219"/>
      <c r="F115" s="217"/>
      <c r="G115" s="220">
        <v>227.4</v>
      </c>
      <c r="H115" s="221"/>
      <c r="I115" s="222"/>
    </row>
    <row r="116" spans="2:9" ht="18.95" customHeight="1">
      <c r="B116" s="216" t="s">
        <v>245</v>
      </c>
      <c r="C116" s="217"/>
      <c r="D116" s="218">
        <v>100</v>
      </c>
      <c r="E116" s="219"/>
      <c r="F116" s="217"/>
      <c r="G116" s="220">
        <v>233.6</v>
      </c>
      <c r="H116" s="221"/>
      <c r="I116" s="222"/>
    </row>
    <row r="117" spans="2:9" ht="18.95" customHeight="1"/>
    <row r="118" spans="2:9" ht="18.95" customHeight="1"/>
  </sheetData>
  <mergeCells count="7">
    <mergeCell ref="R22:V22"/>
    <mergeCell ref="D32:F32"/>
    <mergeCell ref="G32:I32"/>
    <mergeCell ref="L2:O2"/>
    <mergeCell ref="P3:Q3"/>
    <mergeCell ref="J6:K6"/>
    <mergeCell ref="J21:K21"/>
  </mergeCells>
  <phoneticPr fontId="4" type="noConversion"/>
  <dataValidations count="2">
    <dataValidation type="list" allowBlank="1" showInputMessage="1" showErrorMessage="1" sqref="M22:M23">
      <formula1>"울진,추풍령,안동,포항,대구,춘양,영주,문경,영덕,의성,구미,영천, "</formula1>
    </dataValidation>
    <dataValidation type="list" allowBlank="1" showInputMessage="1" showErrorMessage="1" sqref="N22:N23">
      <formula1>"10,20,30,50,70,80,100"</formula1>
    </dataValidation>
  </dataValidations>
  <pageMargins left="0.74" right="0.2" top="0.71" bottom="0.34" header="0.28000000000000003" footer="0.35"/>
  <pageSetup paperSize="9" orientation="landscape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B1:BK127"/>
  <sheetViews>
    <sheetView showGridLines="0" view="pageBreakPreview" topLeftCell="A6" zoomScaleNormal="100" zoomScaleSheetLayoutView="100" workbookViewId="0">
      <selection activeCell="F34" sqref="F34"/>
    </sheetView>
  </sheetViews>
  <sheetFormatPr defaultColWidth="8" defaultRowHeight="13.5"/>
  <cols>
    <col min="1" max="1" width="8" style="337" customWidth="1"/>
    <col min="2" max="6" width="3.25" style="337" customWidth="1"/>
    <col min="7" max="7" width="7.875" style="337" customWidth="1"/>
    <col min="8" max="8" width="6" style="337" customWidth="1"/>
    <col min="9" max="14" width="3.25" style="337" customWidth="1"/>
    <col min="15" max="16" width="9.375" style="337" customWidth="1"/>
    <col min="17" max="19" width="3.25" style="337" customWidth="1"/>
    <col min="20" max="20" width="4.25" style="469" customWidth="1"/>
    <col min="21" max="26" width="11.375" style="469" customWidth="1"/>
    <col min="27" max="27" width="7.25" style="469" customWidth="1"/>
    <col min="28" max="28" width="4.25" style="469" customWidth="1"/>
    <col min="29" max="29" width="8" style="337" customWidth="1"/>
    <col min="30" max="38" width="9.75" style="472" hidden="1" customWidth="1"/>
    <col min="39" max="39" width="0" style="337" hidden="1" customWidth="1"/>
    <col min="40" max="48" width="9.75" style="473" hidden="1" customWidth="1"/>
    <col min="49" max="62" width="0" style="337" hidden="1" customWidth="1"/>
    <col min="63" max="16384" width="8" style="337"/>
  </cols>
  <sheetData>
    <row r="1" spans="3:63" ht="18.95" customHeight="1"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9"/>
      <c r="U1" s="339"/>
      <c r="V1" s="339"/>
      <c r="W1" s="339"/>
      <c r="X1" s="339"/>
      <c r="Y1" s="339"/>
      <c r="Z1" s="339"/>
      <c r="AA1" s="339"/>
      <c r="AB1" s="339"/>
      <c r="AC1" s="338"/>
      <c r="AD1" s="1306"/>
      <c r="AE1" s="1306"/>
      <c r="AF1" s="1306"/>
      <c r="AG1" s="1306"/>
      <c r="AH1" s="1306"/>
      <c r="AI1" s="1306"/>
      <c r="AJ1" s="1306"/>
      <c r="AK1" s="1306"/>
      <c r="AL1" s="1306"/>
      <c r="AM1" s="338"/>
      <c r="AN1" s="340"/>
      <c r="AO1" s="340"/>
      <c r="AP1" s="340"/>
      <c r="AQ1" s="340"/>
      <c r="AR1" s="340"/>
      <c r="AS1" s="340"/>
      <c r="AT1" s="340"/>
      <c r="AU1" s="340"/>
      <c r="AV1" s="340"/>
      <c r="AW1" s="338"/>
      <c r="AX1" s="338"/>
      <c r="AY1" s="338"/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</row>
    <row r="2" spans="3:63" ht="18.95" customHeight="1"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9"/>
      <c r="U2" s="339"/>
      <c r="V2" s="339"/>
      <c r="W2" s="339"/>
      <c r="X2" s="339"/>
      <c r="Y2" s="339"/>
      <c r="Z2" s="339"/>
      <c r="AA2" s="339"/>
      <c r="AB2" s="339"/>
      <c r="AC2" s="338"/>
      <c r="AD2" s="1307"/>
      <c r="AE2" s="1307"/>
      <c r="AF2" s="1307"/>
      <c r="AG2" s="1307"/>
      <c r="AH2" s="1307"/>
      <c r="AI2" s="1307"/>
      <c r="AJ2" s="1307"/>
      <c r="AK2" s="1307"/>
      <c r="AL2" s="1307"/>
      <c r="AM2" s="338"/>
      <c r="AN2" s="340"/>
      <c r="AO2" s="340"/>
      <c r="AP2" s="340"/>
      <c r="AQ2" s="340"/>
      <c r="AR2" s="340"/>
      <c r="AS2" s="340"/>
      <c r="AT2" s="340"/>
      <c r="AU2" s="340"/>
      <c r="AV2" s="340"/>
      <c r="AW2" s="338"/>
      <c r="AX2" s="338"/>
      <c r="AY2" s="338"/>
      <c r="AZ2" s="338"/>
      <c r="BA2" s="338"/>
      <c r="BB2" s="338"/>
      <c r="BC2" s="338"/>
      <c r="BD2" s="338"/>
      <c r="BE2" s="338"/>
      <c r="BF2" s="338"/>
      <c r="BG2" s="338"/>
      <c r="BH2" s="338"/>
      <c r="BI2" s="338"/>
      <c r="BJ2" s="338"/>
      <c r="BK2" s="338"/>
    </row>
    <row r="3" spans="3:63" ht="18.95" customHeight="1"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42"/>
      <c r="U3" s="343" t="s">
        <v>261</v>
      </c>
      <c r="V3" s="342"/>
      <c r="W3" s="342"/>
      <c r="X3" s="344"/>
      <c r="Y3" s="342"/>
      <c r="Z3" s="342"/>
      <c r="AA3" s="342"/>
      <c r="AB3" s="342"/>
      <c r="AC3" s="338"/>
      <c r="AD3" s="343" t="s">
        <v>261</v>
      </c>
      <c r="AE3" s="341"/>
      <c r="AF3" s="341"/>
      <c r="AG3" s="341"/>
      <c r="AH3" s="341"/>
      <c r="AI3" s="341"/>
      <c r="AJ3" s="341"/>
      <c r="AK3" s="341"/>
      <c r="AL3" s="341"/>
      <c r="AM3" s="338"/>
      <c r="AN3" s="343" t="s">
        <v>261</v>
      </c>
      <c r="AO3" s="341"/>
      <c r="AP3" s="341"/>
      <c r="AQ3" s="341"/>
      <c r="AR3" s="341"/>
      <c r="AS3" s="341"/>
      <c r="AT3" s="341"/>
      <c r="AU3" s="341"/>
      <c r="AV3" s="341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</row>
    <row r="4" spans="3:63" ht="18.95" customHeight="1" thickBot="1">
      <c r="C4" s="345" t="s">
        <v>262</v>
      </c>
      <c r="D4" s="338"/>
      <c r="E4" s="338"/>
      <c r="F4" s="338"/>
      <c r="G4" s="338"/>
      <c r="H4" s="346"/>
      <c r="I4" s="338"/>
      <c r="J4" s="338"/>
      <c r="K4" s="338"/>
      <c r="L4" s="338"/>
      <c r="M4" s="338"/>
      <c r="N4" s="338"/>
      <c r="O4" s="1308"/>
      <c r="P4" s="1308"/>
      <c r="Q4" s="1308"/>
      <c r="R4" s="1308"/>
      <c r="S4" s="1308"/>
      <c r="T4" s="339"/>
      <c r="U4" s="347"/>
      <c r="V4" s="339"/>
      <c r="W4" s="339"/>
      <c r="X4" s="339"/>
      <c r="Y4" s="339"/>
      <c r="Z4" s="339"/>
      <c r="AA4" s="339"/>
      <c r="AB4" s="339"/>
      <c r="AC4" s="338"/>
      <c r="AD4" s="341"/>
      <c r="AE4" s="341"/>
      <c r="AF4" s="341"/>
      <c r="AG4" s="341"/>
      <c r="AH4" s="341"/>
      <c r="AI4" s="341"/>
      <c r="AJ4" s="341"/>
      <c r="AK4" s="341"/>
      <c r="AL4" s="341"/>
      <c r="AM4" s="338"/>
      <c r="AN4" s="341"/>
      <c r="AO4" s="341"/>
      <c r="AP4" s="341"/>
      <c r="AQ4" s="341"/>
      <c r="AR4" s="341"/>
      <c r="AS4" s="341"/>
      <c r="AT4" s="341"/>
      <c r="AU4" s="341"/>
      <c r="AV4" s="341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</row>
    <row r="5" spans="3:63" ht="18.95" customHeight="1"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48"/>
      <c r="U5" s="1309" t="s">
        <v>263</v>
      </c>
      <c r="V5" s="1309"/>
      <c r="W5" s="349"/>
      <c r="X5" s="349"/>
      <c r="Y5" s="349"/>
      <c r="Z5" s="349"/>
      <c r="AA5" s="349"/>
      <c r="AB5" s="350"/>
      <c r="AC5" s="338"/>
      <c r="AD5" s="351"/>
      <c r="AE5" s="352"/>
      <c r="AF5" s="352"/>
      <c r="AG5" s="352"/>
      <c r="AH5" s="352"/>
      <c r="AI5" s="352"/>
      <c r="AJ5" s="352"/>
      <c r="AK5" s="352"/>
      <c r="AL5" s="353"/>
      <c r="AM5" s="338"/>
      <c r="AN5" s="351"/>
      <c r="AO5" s="352"/>
      <c r="AP5" s="352"/>
      <c r="AQ5" s="352"/>
      <c r="AR5" s="352"/>
      <c r="AS5" s="352"/>
      <c r="AT5" s="352"/>
      <c r="AU5" s="352"/>
      <c r="AV5" s="353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</row>
    <row r="6" spans="3:63" ht="18.95" customHeight="1">
      <c r="D6" s="354" t="s">
        <v>264</v>
      </c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55"/>
      <c r="U6" s="347"/>
      <c r="V6" s="347"/>
      <c r="W6" s="339"/>
      <c r="X6" s="339"/>
      <c r="Y6" s="339"/>
      <c r="Z6" s="339"/>
      <c r="AA6" s="339"/>
      <c r="AB6" s="356"/>
      <c r="AC6" s="338"/>
      <c r="AD6" s="1310" t="s">
        <v>265</v>
      </c>
      <c r="AE6" s="1301"/>
      <c r="AF6" s="341"/>
      <c r="AG6" s="341"/>
      <c r="AH6" s="341"/>
      <c r="AI6" s="341"/>
      <c r="AJ6" s="341"/>
      <c r="AK6" s="341"/>
      <c r="AL6" s="359"/>
      <c r="AM6" s="338"/>
      <c r="AN6" s="1310" t="s">
        <v>266</v>
      </c>
      <c r="AO6" s="1301"/>
      <c r="AP6" s="341"/>
      <c r="AQ6" s="341"/>
      <c r="AR6" s="341"/>
      <c r="AS6" s="341"/>
      <c r="AT6" s="341"/>
      <c r="AU6" s="341"/>
      <c r="AV6" s="359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8"/>
      <c r="BH6" s="338"/>
      <c r="BI6" s="338"/>
      <c r="BJ6" s="338"/>
      <c r="BK6" s="338"/>
    </row>
    <row r="7" spans="3:63" ht="18.95" customHeight="1"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55"/>
      <c r="U7" s="360"/>
      <c r="V7" s="361"/>
      <c r="W7" s="339"/>
      <c r="X7" s="362">
        <v>10</v>
      </c>
      <c r="Y7" s="339"/>
      <c r="Z7" s="361"/>
      <c r="AA7" s="363"/>
      <c r="AB7" s="356"/>
      <c r="AC7" s="338"/>
      <c r="AD7" s="364" t="s">
        <v>267</v>
      </c>
      <c r="AE7" s="358"/>
      <c r="AF7" s="365">
        <f>+O9</f>
        <v>4.28</v>
      </c>
      <c r="AG7" s="358" t="s">
        <v>268</v>
      </c>
      <c r="AH7" s="358"/>
      <c r="AI7" s="366"/>
      <c r="AJ7" s="366"/>
      <c r="AK7" s="366"/>
      <c r="AL7" s="367"/>
      <c r="AM7" s="338"/>
      <c r="AN7" s="364" t="s">
        <v>269</v>
      </c>
      <c r="AO7" s="358"/>
      <c r="AP7" s="365">
        <f>+O9</f>
        <v>4.28</v>
      </c>
      <c r="AQ7" s="358" t="s">
        <v>268</v>
      </c>
      <c r="AR7" s="358"/>
      <c r="AS7" s="366"/>
      <c r="AT7" s="366"/>
      <c r="AU7" s="366"/>
      <c r="AV7" s="367"/>
      <c r="AW7" s="338"/>
      <c r="AX7" s="338"/>
      <c r="AY7" s="338"/>
      <c r="AZ7" s="338"/>
      <c r="BA7" s="338"/>
      <c r="BB7" s="338"/>
      <c r="BC7" s="338"/>
      <c r="BD7" s="338"/>
      <c r="BE7" s="338"/>
      <c r="BF7" s="338"/>
      <c r="BG7" s="338"/>
      <c r="BH7" s="338"/>
      <c r="BI7" s="338"/>
      <c r="BJ7" s="338"/>
      <c r="BK7" s="338"/>
    </row>
    <row r="8" spans="3:63" ht="18.95" customHeight="1"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55"/>
      <c r="U8" s="360"/>
      <c r="V8" s="368"/>
      <c r="W8" s="368"/>
      <c r="X8" s="360"/>
      <c r="Y8" s="369"/>
      <c r="Z8" s="369"/>
      <c r="AA8" s="360"/>
      <c r="AB8" s="356"/>
      <c r="AC8" s="338"/>
      <c r="AD8" s="355"/>
      <c r="AE8" s="366"/>
      <c r="AF8" s="370"/>
      <c r="AG8" s="339"/>
      <c r="AH8" s="371"/>
      <c r="AI8" s="371"/>
      <c r="AJ8" s="366"/>
      <c r="AK8" s="371"/>
      <c r="AL8" s="372"/>
      <c r="AM8" s="338"/>
      <c r="AN8" s="355"/>
      <c r="AO8" s="366"/>
      <c r="AP8" s="370"/>
      <c r="AQ8" s="339"/>
      <c r="AR8" s="371"/>
      <c r="AS8" s="371"/>
      <c r="AT8" s="366"/>
      <c r="AU8" s="371"/>
      <c r="AV8" s="372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</row>
    <row r="9" spans="3:63" ht="18.95" customHeight="1">
      <c r="D9" s="338"/>
      <c r="E9" s="338"/>
      <c r="F9" s="338" t="s">
        <v>270</v>
      </c>
      <c r="G9" s="338" t="s">
        <v>271</v>
      </c>
      <c r="H9" s="338"/>
      <c r="I9" s="338"/>
      <c r="J9" s="338"/>
      <c r="K9" s="338"/>
      <c r="L9" s="338"/>
      <c r="M9" s="338"/>
      <c r="N9" s="338"/>
      <c r="O9" s="373">
        <f>ROUND(O10*1.2,2)</f>
        <v>4.28</v>
      </c>
      <c r="P9" s="374"/>
      <c r="Q9" s="374"/>
      <c r="R9" s="338"/>
      <c r="S9" s="338"/>
      <c r="T9" s="355"/>
      <c r="U9" s="360"/>
      <c r="V9" s="375"/>
      <c r="W9" s="1302">
        <v>0.3</v>
      </c>
      <c r="X9" s="361">
        <f>W9*0.1</f>
        <v>0.03</v>
      </c>
      <c r="Y9" s="360" t="s">
        <v>272</v>
      </c>
      <c r="Z9" s="360"/>
      <c r="AA9" s="339"/>
      <c r="AB9" s="356"/>
      <c r="AC9" s="338"/>
      <c r="AD9" s="355"/>
      <c r="AE9" s="366"/>
      <c r="AF9" s="370"/>
      <c r="AG9" s="339"/>
      <c r="AH9" s="371"/>
      <c r="AI9" s="371"/>
      <c r="AJ9" s="366"/>
      <c r="AK9" s="371"/>
      <c r="AL9" s="372"/>
      <c r="AM9" s="338"/>
      <c r="AN9" s="355"/>
      <c r="AO9" s="366"/>
      <c r="AP9" s="370"/>
      <c r="AQ9" s="339"/>
      <c r="AR9" s="371"/>
      <c r="AS9" s="371"/>
      <c r="AT9" s="366"/>
      <c r="AU9" s="371"/>
      <c r="AV9" s="372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</row>
    <row r="10" spans="3:63" ht="18.95" customHeight="1">
      <c r="D10" s="338"/>
      <c r="E10" s="338"/>
      <c r="F10" s="338" t="s">
        <v>273</v>
      </c>
      <c r="G10" s="338"/>
      <c r="H10" s="338"/>
      <c r="I10" s="338"/>
      <c r="J10" s="338"/>
      <c r="K10" s="338"/>
      <c r="L10" s="338"/>
      <c r="M10" s="338"/>
      <c r="N10" s="338"/>
      <c r="O10" s="376">
        <f>ROUND(0.2778*O11*O12*O13,2)</f>
        <v>3.57</v>
      </c>
      <c r="P10" s="338"/>
      <c r="Q10" s="338"/>
      <c r="R10" s="338"/>
      <c r="S10" s="338"/>
      <c r="T10" s="355"/>
      <c r="U10" s="360"/>
      <c r="V10" s="360"/>
      <c r="W10" s="1302"/>
      <c r="X10" s="1303">
        <f>W9*0.9</f>
        <v>0.27</v>
      </c>
      <c r="Y10" s="360"/>
      <c r="Z10" s="339"/>
      <c r="AA10" s="339"/>
      <c r="AB10" s="356"/>
      <c r="AC10" s="338"/>
      <c r="AD10" s="364" t="s">
        <v>274</v>
      </c>
      <c r="AE10" s="358"/>
      <c r="AF10" s="358"/>
      <c r="AG10" s="358"/>
      <c r="AH10" s="358"/>
      <c r="AI10" s="371"/>
      <c r="AJ10" s="371"/>
      <c r="AK10" s="366"/>
      <c r="AL10" s="367"/>
      <c r="AM10" s="338"/>
      <c r="AN10" s="364" t="s">
        <v>275</v>
      </c>
      <c r="AO10" s="358"/>
      <c r="AP10" s="358"/>
      <c r="AQ10" s="358"/>
      <c r="AR10" s="358"/>
      <c r="AS10" s="366"/>
      <c r="AT10" s="366"/>
      <c r="AU10" s="366"/>
      <c r="AV10" s="367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</row>
    <row r="11" spans="3:63" ht="18.95" customHeight="1">
      <c r="D11" s="338"/>
      <c r="E11" s="338"/>
      <c r="F11" s="338" t="s">
        <v>276</v>
      </c>
      <c r="G11" s="338"/>
      <c r="H11" s="338"/>
      <c r="I11" s="338"/>
      <c r="J11" s="1304"/>
      <c r="K11" s="1304"/>
      <c r="L11" s="338"/>
      <c r="M11" s="338"/>
      <c r="N11" s="338"/>
      <c r="O11" s="378">
        <v>0.8</v>
      </c>
      <c r="P11" s="338"/>
      <c r="Q11" s="338"/>
      <c r="R11" s="338"/>
      <c r="S11" s="338"/>
      <c r="T11" s="355"/>
      <c r="U11" s="360"/>
      <c r="V11" s="360"/>
      <c r="W11" s="1302"/>
      <c r="X11" s="1303"/>
      <c r="Y11" s="360"/>
      <c r="Z11" s="375"/>
      <c r="AA11" s="339"/>
      <c r="AB11" s="356"/>
      <c r="AC11" s="338"/>
      <c r="AD11" s="379"/>
      <c r="AE11" s="380"/>
      <c r="AF11" s="380"/>
      <c r="AG11" s="381" t="s">
        <v>277</v>
      </c>
      <c r="AH11" s="382">
        <v>5</v>
      </c>
      <c r="AI11" s="383">
        <v>2.6</v>
      </c>
      <c r="AJ11" s="384">
        <v>1</v>
      </c>
      <c r="AK11" s="366"/>
      <c r="AL11" s="372"/>
      <c r="AM11" s="338"/>
      <c r="AN11" s="385"/>
      <c r="AO11" s="366"/>
      <c r="AP11" s="366"/>
      <c r="AQ11" s="339" t="s">
        <v>278</v>
      </c>
      <c r="AR11" s="366"/>
      <c r="AS11" s="386">
        <v>1000</v>
      </c>
      <c r="AT11" s="387" t="s">
        <v>202</v>
      </c>
      <c r="AU11" s="339"/>
      <c r="AV11" s="367"/>
      <c r="AW11" s="338"/>
      <c r="AX11" s="338"/>
      <c r="AY11" s="338"/>
      <c r="AZ11" s="338"/>
      <c r="BA11" s="338"/>
      <c r="BB11" s="338"/>
      <c r="BC11" s="338"/>
      <c r="BD11" s="338"/>
      <c r="BE11" s="338"/>
      <c r="BF11" s="338"/>
      <c r="BG11" s="338"/>
      <c r="BH11" s="338"/>
      <c r="BI11" s="338"/>
      <c r="BJ11" s="338"/>
      <c r="BK11" s="338"/>
    </row>
    <row r="12" spans="3:63" ht="18.95" customHeight="1">
      <c r="D12" s="338"/>
      <c r="E12" s="338"/>
      <c r="F12" s="338" t="s">
        <v>279</v>
      </c>
      <c r="G12" s="338"/>
      <c r="H12" s="338"/>
      <c r="I12" s="338"/>
      <c r="J12" s="338"/>
      <c r="K12" s="338"/>
      <c r="L12" s="338"/>
      <c r="M12" s="338"/>
      <c r="N12" s="338"/>
      <c r="O12" s="376">
        <f>O29</f>
        <v>124.42</v>
      </c>
      <c r="P12" s="338"/>
      <c r="Q12" s="338"/>
      <c r="R12" s="338"/>
      <c r="S12" s="338"/>
      <c r="T12" s="355"/>
      <c r="U12" s="360"/>
      <c r="V12" s="360"/>
      <c r="W12" s="360"/>
      <c r="X12" s="361"/>
      <c r="Y12" s="360"/>
      <c r="Z12" s="360"/>
      <c r="AA12" s="360"/>
      <c r="AB12" s="356"/>
      <c r="AC12" s="338"/>
      <c r="AD12" s="388" t="s">
        <v>189</v>
      </c>
      <c r="AE12" s="389">
        <v>80</v>
      </c>
      <c r="AF12" s="366"/>
      <c r="AG12" s="381"/>
      <c r="AH12" s="366"/>
      <c r="AI12" s="366"/>
      <c r="AJ12" s="366"/>
      <c r="AK12" s="366"/>
      <c r="AL12" s="367"/>
      <c r="AM12" s="338"/>
      <c r="AN12" s="385"/>
      <c r="AO12" s="366"/>
      <c r="AP12" s="366"/>
      <c r="AQ12" s="339" t="s">
        <v>280</v>
      </c>
      <c r="AR12" s="366"/>
      <c r="AS12" s="339"/>
      <c r="AT12" s="339"/>
      <c r="AU12" s="339"/>
      <c r="AV12" s="356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</row>
    <row r="13" spans="3:63" ht="18.95" customHeight="1">
      <c r="D13" s="338"/>
      <c r="E13" s="338"/>
      <c r="F13" s="390" t="s">
        <v>281</v>
      </c>
      <c r="G13" s="390"/>
      <c r="H13" s="390"/>
      <c r="I13" s="390"/>
      <c r="J13" s="390"/>
      <c r="K13" s="390"/>
      <c r="L13" s="390"/>
      <c r="M13" s="390"/>
      <c r="N13" s="390"/>
      <c r="O13" s="521">
        <v>0.129</v>
      </c>
      <c r="P13" s="252">
        <f>O13*100</f>
        <v>12.9</v>
      </c>
      <c r="Q13" s="338"/>
      <c r="R13" s="338"/>
      <c r="S13" s="338"/>
      <c r="T13" s="355"/>
      <c r="U13" s="360"/>
      <c r="V13" s="392"/>
      <c r="W13" s="360"/>
      <c r="X13" s="339"/>
      <c r="Y13" s="361"/>
      <c r="Z13" s="360"/>
      <c r="AA13" s="360"/>
      <c r="AB13" s="356"/>
      <c r="AC13" s="338"/>
      <c r="AD13" s="393"/>
      <c r="AE13" s="371"/>
      <c r="AF13" s="366"/>
      <c r="AG13" s="381" t="s">
        <v>282</v>
      </c>
      <c r="AH13" s="366" t="s">
        <v>283</v>
      </c>
      <c r="AI13" s="394">
        <f>AE18</f>
        <v>3</v>
      </c>
      <c r="AJ13" s="395">
        <f>AF14*AE12%</f>
        <v>1.2000000000000002</v>
      </c>
      <c r="AK13" s="396">
        <f>ROUND(IF(AJ11=1,AI13*AJ13,IF(AJ11=2,AI13*AJ13*AJ11,"")),3)</f>
        <v>3.6</v>
      </c>
      <c r="AL13" s="356" t="s">
        <v>35</v>
      </c>
      <c r="AM13" s="338"/>
      <c r="AN13" s="385"/>
      <c r="AO13" s="366"/>
      <c r="AP13" s="366"/>
      <c r="AQ13" s="339"/>
      <c r="AR13" s="339" t="s">
        <v>284</v>
      </c>
      <c r="AS13" s="366"/>
      <c r="AT13" s="366" t="s">
        <v>207</v>
      </c>
      <c r="AU13" s="396">
        <f>ROUND(0.63185*(AS11/1000)^2,3)</f>
        <v>0.63200000000000001</v>
      </c>
      <c r="AV13" s="397" t="s">
        <v>35</v>
      </c>
      <c r="AW13" s="338"/>
      <c r="AX13" s="338"/>
      <c r="AY13" s="338"/>
      <c r="AZ13" s="338"/>
      <c r="BA13" s="338"/>
      <c r="BB13" s="338"/>
      <c r="BC13" s="338"/>
      <c r="BD13" s="338"/>
      <c r="BE13" s="338"/>
      <c r="BF13" s="338"/>
      <c r="BG13" s="338"/>
      <c r="BH13" s="338"/>
      <c r="BI13" s="338"/>
      <c r="BJ13" s="338"/>
      <c r="BK13" s="338"/>
    </row>
    <row r="14" spans="3:63" ht="8.25" customHeight="1">
      <c r="D14" s="338"/>
      <c r="E14" s="338"/>
      <c r="F14" s="338"/>
      <c r="G14" s="338"/>
      <c r="H14" s="338"/>
      <c r="I14" s="338"/>
      <c r="J14" s="338"/>
      <c r="K14" s="338"/>
      <c r="L14" s="338"/>
      <c r="M14" s="338"/>
      <c r="N14" s="338"/>
      <c r="O14" s="338"/>
      <c r="P14" s="338"/>
      <c r="Q14" s="338"/>
      <c r="R14" s="338"/>
      <c r="S14" s="338"/>
      <c r="T14" s="355"/>
      <c r="U14" s="360"/>
      <c r="V14" s="392"/>
      <c r="W14" s="360"/>
      <c r="X14" s="361"/>
      <c r="Y14" s="361"/>
      <c r="Z14" s="360"/>
      <c r="AA14" s="360"/>
      <c r="AB14" s="356"/>
      <c r="AC14" s="338"/>
      <c r="AD14" s="385"/>
      <c r="AE14" s="366"/>
      <c r="AF14" s="398">
        <v>1.5</v>
      </c>
      <c r="AG14" s="381" t="s">
        <v>285</v>
      </c>
      <c r="AH14" s="366" t="s">
        <v>286</v>
      </c>
      <c r="AI14" s="399">
        <f>AF14*AE12%*2</f>
        <v>2.4000000000000004</v>
      </c>
      <c r="AJ14" s="395">
        <f>AE18</f>
        <v>3</v>
      </c>
      <c r="AK14" s="396">
        <f>ROUND(IF(AJ11=1,AI14+AJ14,IF(AJ11=2,AI14+AJ14*AJ11,"")),3)</f>
        <v>5.4</v>
      </c>
      <c r="AL14" s="356" t="s">
        <v>34</v>
      </c>
      <c r="AM14" s="338"/>
      <c r="AN14" s="385"/>
      <c r="AO14" s="366"/>
      <c r="AP14" s="366"/>
      <c r="AQ14" s="339" t="s">
        <v>287</v>
      </c>
      <c r="AR14" s="366"/>
      <c r="AS14" s="366"/>
      <c r="AT14" s="339"/>
      <c r="AU14" s="339"/>
      <c r="AV14" s="356"/>
      <c r="AW14" s="338"/>
      <c r="AX14" s="338"/>
      <c r="AY14" s="338"/>
      <c r="AZ14" s="338"/>
      <c r="BA14" s="338"/>
      <c r="BB14" s="338"/>
      <c r="BC14" s="338"/>
      <c r="BD14" s="338"/>
      <c r="BE14" s="338"/>
      <c r="BF14" s="338"/>
      <c r="BG14" s="338"/>
      <c r="BH14" s="338"/>
      <c r="BI14" s="338"/>
      <c r="BJ14" s="338"/>
      <c r="BK14" s="338"/>
    </row>
    <row r="15" spans="3:63" ht="18.95" customHeight="1">
      <c r="D15" s="354" t="s">
        <v>288</v>
      </c>
      <c r="E15" s="338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55"/>
      <c r="U15" s="360"/>
      <c r="V15" s="392"/>
      <c r="W15" s="360"/>
      <c r="X15" s="361"/>
      <c r="Y15" s="361"/>
      <c r="Z15" s="360"/>
      <c r="AA15" s="360"/>
      <c r="AB15" s="356"/>
      <c r="AC15" s="338"/>
      <c r="AD15" s="385"/>
      <c r="AE15" s="366"/>
      <c r="AF15" s="371"/>
      <c r="AG15" s="381" t="s">
        <v>289</v>
      </c>
      <c r="AH15" s="366" t="s">
        <v>290</v>
      </c>
      <c r="AI15" s="366" t="s">
        <v>291</v>
      </c>
      <c r="AJ15" s="361">
        <f>ROUND(AK13/AK14,2)</f>
        <v>0.67</v>
      </c>
      <c r="AK15" s="339" t="s">
        <v>34</v>
      </c>
      <c r="AL15" s="372"/>
      <c r="AM15" s="338"/>
      <c r="AN15" s="385"/>
      <c r="AO15" s="366"/>
      <c r="AP15" s="366"/>
      <c r="AQ15" s="339"/>
      <c r="AR15" s="339" t="s">
        <v>292</v>
      </c>
      <c r="AS15" s="366"/>
      <c r="AT15" s="366" t="s">
        <v>207</v>
      </c>
      <c r="AU15" s="396">
        <f>ROUND(2.0944*(AS11/1000),3)</f>
        <v>2.0939999999999999</v>
      </c>
      <c r="AV15" s="397" t="s">
        <v>34</v>
      </c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</row>
    <row r="16" spans="3:63" ht="18.95" customHeight="1"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55"/>
      <c r="U16" s="339"/>
      <c r="V16" s="400" t="s">
        <v>293</v>
      </c>
      <c r="W16" s="401" t="str">
        <f>FIXED(X10,2)&amp;" × 2 + "&amp;FIXED(X7,2)&amp;" ="</f>
        <v>0.27 × 2 + 10.00 =</v>
      </c>
      <c r="X16" s="402"/>
      <c r="Y16" s="403">
        <f>ROUND(X10*2+X7,2)</f>
        <v>10.54</v>
      </c>
      <c r="Z16" s="339"/>
      <c r="AA16" s="360"/>
      <c r="AB16" s="356"/>
      <c r="AC16" s="338"/>
      <c r="AD16" s="385"/>
      <c r="AE16" s="366"/>
      <c r="AF16" s="366"/>
      <c r="AG16" s="381" t="s">
        <v>294</v>
      </c>
      <c r="AH16" s="366" t="s">
        <v>295</v>
      </c>
      <c r="AI16" s="366" t="s">
        <v>296</v>
      </c>
      <c r="AJ16" s="404">
        <v>50</v>
      </c>
      <c r="AK16" s="396">
        <f>1/AJ16*100</f>
        <v>2</v>
      </c>
      <c r="AL16" s="356" t="s">
        <v>190</v>
      </c>
      <c r="AM16" s="338"/>
      <c r="AN16" s="385"/>
      <c r="AO16" s="366"/>
      <c r="AP16" s="366"/>
      <c r="AQ16" s="339" t="s">
        <v>297</v>
      </c>
      <c r="AR16" s="339"/>
      <c r="AS16" s="339"/>
      <c r="AT16" s="366" t="s">
        <v>207</v>
      </c>
      <c r="AU16" s="396">
        <f>ROUND(AU13/AU15,3)</f>
        <v>0.30199999999999999</v>
      </c>
      <c r="AV16" s="397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</row>
    <row r="17" spans="4:63" ht="18.95" customHeight="1">
      <c r="D17" s="338"/>
      <c r="E17" s="340" t="s">
        <v>298</v>
      </c>
      <c r="F17" s="340"/>
      <c r="G17" s="340"/>
      <c r="H17" s="340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55"/>
      <c r="U17" s="339"/>
      <c r="V17" s="400" t="s">
        <v>299</v>
      </c>
      <c r="W17" s="405" t="s">
        <v>300</v>
      </c>
      <c r="X17" s="406">
        <f>ROUND(1/MID(W17,4,4),4)</f>
        <v>0.1</v>
      </c>
      <c r="Y17" s="407"/>
      <c r="Z17" s="339"/>
      <c r="AA17" s="339"/>
      <c r="AB17" s="356"/>
      <c r="AC17" s="338"/>
      <c r="AD17" s="385"/>
      <c r="AE17" s="366"/>
      <c r="AF17" s="366"/>
      <c r="AG17" s="366"/>
      <c r="AH17" s="366" t="s">
        <v>301</v>
      </c>
      <c r="AI17" s="396">
        <v>1.2999999999999999E-2</v>
      </c>
      <c r="AJ17" s="366" t="s">
        <v>302</v>
      </c>
      <c r="AK17" s="366">
        <f>IF(AI17=0.013,75,IF(AI17=0.022,45,IF(AI17=0.025,40,IF(AI17=0.03,35,IF(AI17=0.035,30,IF(AI17=0.04,25,))))))</f>
        <v>75</v>
      </c>
      <c r="AL17" s="356" t="s">
        <v>303</v>
      </c>
      <c r="AM17" s="338"/>
      <c r="AN17" s="385"/>
      <c r="AO17" s="366"/>
      <c r="AP17" s="366"/>
      <c r="AQ17" s="339" t="s">
        <v>304</v>
      </c>
      <c r="AR17" s="366"/>
      <c r="AS17" s="408">
        <v>150</v>
      </c>
      <c r="AT17" s="366" t="s">
        <v>305</v>
      </c>
      <c r="AU17" s="361">
        <f>ROUND(1/AS17*100,2)</f>
        <v>0.67</v>
      </c>
      <c r="AV17" s="356" t="s">
        <v>306</v>
      </c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</row>
    <row r="18" spans="4:63" ht="18.95" customHeight="1">
      <c r="D18" s="338"/>
      <c r="E18" s="340"/>
      <c r="F18" s="409"/>
      <c r="G18" s="410"/>
      <c r="H18" s="410"/>
      <c r="I18" s="33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55"/>
      <c r="U18" s="339"/>
      <c r="V18" s="400" t="s">
        <v>307</v>
      </c>
      <c r="W18" s="411">
        <v>1.7000000000000001E-2</v>
      </c>
      <c r="X18" s="406"/>
      <c r="Y18" s="412"/>
      <c r="Z18" s="339"/>
      <c r="AA18" s="339"/>
      <c r="AB18" s="356"/>
      <c r="AC18" s="338"/>
      <c r="AD18" s="385"/>
      <c r="AE18" s="413">
        <v>3</v>
      </c>
      <c r="AF18" s="366"/>
      <c r="AG18" s="414"/>
      <c r="AH18" s="371"/>
      <c r="AI18" s="371"/>
      <c r="AJ18" s="371"/>
      <c r="AK18" s="371"/>
      <c r="AL18" s="372"/>
      <c r="AM18" s="338"/>
      <c r="AN18" s="385"/>
      <c r="AO18" s="366"/>
      <c r="AP18" s="366"/>
      <c r="AQ18" s="366"/>
      <c r="AR18" s="339" t="s">
        <v>308</v>
      </c>
      <c r="AS18" s="387">
        <v>1.2999999999999999E-2</v>
      </c>
      <c r="AT18" s="339"/>
      <c r="AU18" s="366"/>
      <c r="AV18" s="367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</row>
    <row r="19" spans="4:63" ht="18.95" customHeight="1">
      <c r="D19" s="338"/>
      <c r="E19" s="410" t="s">
        <v>309</v>
      </c>
      <c r="F19" s="409"/>
      <c r="G19" s="410"/>
      <c r="H19" s="410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55"/>
      <c r="U19" s="339"/>
      <c r="V19" s="366"/>
      <c r="W19" s="366"/>
      <c r="X19" s="387"/>
      <c r="Y19" s="366"/>
      <c r="Z19" s="339"/>
      <c r="AA19" s="339"/>
      <c r="AB19" s="356"/>
      <c r="AC19" s="338"/>
      <c r="AD19" s="393"/>
      <c r="AE19" s="371"/>
      <c r="AF19" s="371"/>
      <c r="AG19" s="371"/>
      <c r="AH19" s="371"/>
      <c r="AI19" s="371"/>
      <c r="AJ19" s="371"/>
      <c r="AK19" s="371"/>
      <c r="AL19" s="372"/>
      <c r="AM19" s="338"/>
      <c r="AN19" s="355"/>
      <c r="AO19" s="339"/>
      <c r="AP19" s="339"/>
      <c r="AQ19" s="339"/>
      <c r="AR19" s="339"/>
      <c r="AS19" s="339"/>
      <c r="AT19" s="339"/>
      <c r="AU19" s="339"/>
      <c r="AV19" s="356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</row>
    <row r="20" spans="4:63" ht="18.95" customHeight="1">
      <c r="D20" s="338"/>
      <c r="E20" s="410"/>
      <c r="F20" s="409"/>
      <c r="G20" s="410"/>
      <c r="H20" s="410"/>
      <c r="I20" s="338"/>
      <c r="J20" s="338"/>
      <c r="K20" s="338"/>
      <c r="L20" s="338"/>
      <c r="M20" s="338"/>
      <c r="N20" s="338"/>
      <c r="O20" s="338"/>
      <c r="P20" s="338"/>
      <c r="Q20" s="338"/>
      <c r="R20" s="338"/>
      <c r="S20" s="338"/>
      <c r="T20" s="415"/>
      <c r="U20" s="416"/>
      <c r="V20" s="417"/>
      <c r="W20" s="418"/>
      <c r="X20" s="419"/>
      <c r="Y20" s="416"/>
      <c r="Z20" s="420"/>
      <c r="AA20" s="419"/>
      <c r="AB20" s="421"/>
      <c r="AC20" s="338"/>
      <c r="AD20" s="393"/>
      <c r="AE20" s="358" t="s">
        <v>310</v>
      </c>
      <c r="AF20" s="422" t="str">
        <f>"V = 1 / n × R⅔ × I½  = 75 × "&amp;FIXED(AJ15,3)&amp;"^⅔ × "&amp;FIXED(ROUND(AK16/100,3),3)&amp;"^⅔  ="</f>
        <v>V = 1 / n × R⅔ × I½  = 75 × 0.670^⅔ × 0.020^⅔  =</v>
      </c>
      <c r="AG20" s="371"/>
      <c r="AH20" s="371"/>
      <c r="AI20" s="339"/>
      <c r="AJ20" s="366"/>
      <c r="AK20" s="371"/>
      <c r="AL20" s="372"/>
      <c r="AM20" s="338"/>
      <c r="AN20" s="355"/>
      <c r="AO20" s="423" t="s">
        <v>311</v>
      </c>
      <c r="AP20" s="422" t="str">
        <f>"V = 1 / n × R⅔ × I½  = 75 × "&amp;FIXED(AU16,3)&amp;"^⅔ × "&amp;FIXED(ROUND(1/AS17,3),3)&amp;"^⅔  ="</f>
        <v>V = 1 / n × R⅔ × I½  = 75 × 0.302^⅔ × 0.007^⅔  =</v>
      </c>
      <c r="AQ20" s="358"/>
      <c r="AR20" s="339"/>
      <c r="AS20" s="387"/>
      <c r="AT20" s="339"/>
      <c r="AU20" s="339"/>
      <c r="AV20" s="356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</row>
    <row r="21" spans="4:63" ht="18.95" customHeight="1">
      <c r="D21" s="338"/>
      <c r="E21" s="340"/>
      <c r="F21" s="410" t="s">
        <v>312</v>
      </c>
      <c r="G21" s="410"/>
      <c r="H21" s="410"/>
      <c r="I21" s="338"/>
      <c r="J21" s="338"/>
      <c r="K21" s="338"/>
      <c r="L21" s="338"/>
      <c r="M21" s="338"/>
      <c r="N21" s="338"/>
      <c r="O21" s="424">
        <f>ROUND(((2/3*3.28*O22*(O24/O23^0.5))^0.467/60),2)</f>
        <v>0.41</v>
      </c>
      <c r="P21" s="338"/>
      <c r="Q21" s="338"/>
      <c r="R21" s="338"/>
      <c r="S21" s="338"/>
      <c r="T21" s="425"/>
      <c r="U21" s="426"/>
      <c r="V21" s="426"/>
      <c r="W21" s="426"/>
      <c r="X21" s="426"/>
      <c r="Y21" s="426"/>
      <c r="Z21" s="426"/>
      <c r="AA21" s="426"/>
      <c r="AB21" s="427"/>
      <c r="AC21" s="338"/>
      <c r="AD21" s="379"/>
      <c r="AE21" s="380"/>
      <c r="AF21" s="380"/>
      <c r="AG21" s="380"/>
      <c r="AH21" s="371"/>
      <c r="AI21" s="371"/>
      <c r="AJ21" s="366">
        <f>ROUND(AK17*AJ15^(2/3)*(AK16/100)^(1/2),3)</f>
        <v>8.1210000000000004</v>
      </c>
      <c r="AK21" s="387" t="s">
        <v>313</v>
      </c>
      <c r="AL21" s="428"/>
      <c r="AM21" s="338"/>
      <c r="AN21" s="355"/>
      <c r="AO21" s="423"/>
      <c r="AP21" s="339"/>
      <c r="AQ21" s="358"/>
      <c r="AR21" s="387"/>
      <c r="AS21" s="339"/>
      <c r="AT21" s="396">
        <f>ROUND(75*AU16^(2/3)*(1/AS17)^(1/2),3)</f>
        <v>2.7559999999999998</v>
      </c>
      <c r="AU21" s="339" t="s">
        <v>314</v>
      </c>
      <c r="AV21" s="356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</row>
    <row r="22" spans="4:63" ht="18.95" customHeight="1">
      <c r="D22" s="338"/>
      <c r="E22" s="340"/>
      <c r="F22" s="429" t="s">
        <v>315</v>
      </c>
      <c r="G22" s="429"/>
      <c r="H22" s="429"/>
      <c r="I22" s="390"/>
      <c r="J22" s="390"/>
      <c r="K22" s="390"/>
      <c r="L22" s="390"/>
      <c r="M22" s="390"/>
      <c r="N22" s="390"/>
      <c r="O22" s="430">
        <v>460</v>
      </c>
      <c r="P22" s="338"/>
      <c r="Q22" s="338"/>
      <c r="R22" s="338"/>
      <c r="S22" s="338"/>
      <c r="T22" s="355"/>
      <c r="U22" s="339" t="s">
        <v>316</v>
      </c>
      <c r="V22" s="339"/>
      <c r="W22" s="339"/>
      <c r="X22" s="339"/>
      <c r="Y22" s="339"/>
      <c r="Z22" s="339"/>
      <c r="AA22" s="339"/>
      <c r="AB22" s="356"/>
      <c r="AC22" s="338"/>
      <c r="AD22" s="379"/>
      <c r="AE22" s="380"/>
      <c r="AF22" s="380"/>
      <c r="AG22" s="380"/>
      <c r="AH22" s="371"/>
      <c r="AI22" s="380"/>
      <c r="AJ22" s="380"/>
      <c r="AK22" s="380"/>
      <c r="AL22" s="428"/>
      <c r="AM22" s="338"/>
      <c r="AN22" s="355"/>
      <c r="AO22" s="423"/>
      <c r="AP22" s="339"/>
      <c r="AQ22" s="358"/>
      <c r="AR22" s="387"/>
      <c r="AS22" s="339"/>
      <c r="AT22" s="396"/>
      <c r="AU22" s="339"/>
      <c r="AV22" s="356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</row>
    <row r="23" spans="4:63" ht="18.95" customHeight="1">
      <c r="D23" s="338"/>
      <c r="E23" s="340"/>
      <c r="F23" s="410" t="s">
        <v>317</v>
      </c>
      <c r="G23" s="410"/>
      <c r="H23" s="410"/>
      <c r="I23" s="338"/>
      <c r="J23" s="338"/>
      <c r="K23" s="338"/>
      <c r="L23" s="338"/>
      <c r="M23" s="338"/>
      <c r="N23" s="338"/>
      <c r="O23" s="376">
        <f>O25/O22</f>
        <v>0.57608695652173914</v>
      </c>
      <c r="P23" s="338"/>
      <c r="Q23" s="338"/>
      <c r="R23" s="338"/>
      <c r="S23" s="338"/>
      <c r="T23" s="355"/>
      <c r="U23" s="366" t="s">
        <v>318</v>
      </c>
      <c r="V23" s="339" t="str">
        <f>" ( "&amp;FIXED(X10,2)&amp;" × 2 EA ) + "&amp;FIXED(X7,2)&amp;"  ="</f>
        <v xml:space="preserve"> ( 0.27 × 2 EA ) + 10.00  =</v>
      </c>
      <c r="W23" s="339"/>
      <c r="X23" s="339"/>
      <c r="Y23" s="431">
        <f>ROUND(X10*2+X7,3)</f>
        <v>10.54</v>
      </c>
      <c r="Z23" s="339"/>
      <c r="AA23" s="339"/>
      <c r="AB23" s="356"/>
      <c r="AC23" s="338"/>
      <c r="AD23" s="393"/>
      <c r="AE23" s="358" t="s">
        <v>319</v>
      </c>
      <c r="AF23" s="339" t="str">
        <f>"Q  =  A × V  =  "&amp;FIXED(AK13,3)&amp;" × "&amp;FIXED(AJ21,3)&amp;"  ="</f>
        <v>Q  =  A × V  =  3.600 × 8.121  =</v>
      </c>
      <c r="AG23" s="358"/>
      <c r="AH23" s="394"/>
      <c r="AI23" s="339"/>
      <c r="AJ23" s="358">
        <f>ROUND(AK13*AJ21,3)</f>
        <v>29.236000000000001</v>
      </c>
      <c r="AK23" s="432" t="s">
        <v>320</v>
      </c>
      <c r="AL23" s="372"/>
      <c r="AM23" s="338"/>
      <c r="AN23" s="355"/>
      <c r="AO23" s="423" t="s">
        <v>321</v>
      </c>
      <c r="AP23" s="339" t="str">
        <f>"Q = A × V   = "&amp;FIXED(AU13,3)&amp;" × "&amp;FIXED(AT21,3)&amp;"  ="</f>
        <v>Q = A × V   = 0.632 × 2.756  =</v>
      </c>
      <c r="AQ23" s="339"/>
      <c r="AR23" s="433"/>
      <c r="AS23" s="387"/>
      <c r="AT23" s="396">
        <f>ROUND(AU13*AT21,3)</f>
        <v>1.742</v>
      </c>
      <c r="AU23" s="339" t="s">
        <v>322</v>
      </c>
      <c r="AV23" s="356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</row>
    <row r="24" spans="4:63" ht="18.95" customHeight="1" thickBot="1">
      <c r="D24" s="338"/>
      <c r="E24" s="338"/>
      <c r="F24" s="410" t="s">
        <v>323</v>
      </c>
      <c r="G24" s="338"/>
      <c r="H24" s="338"/>
      <c r="I24" s="338"/>
      <c r="J24" s="338"/>
      <c r="K24" s="338"/>
      <c r="L24" s="338"/>
      <c r="M24" s="338"/>
      <c r="N24" s="338"/>
      <c r="O24" s="378">
        <v>0.7</v>
      </c>
      <c r="P24" s="338"/>
      <c r="Q24" s="338"/>
      <c r="R24" s="338"/>
      <c r="S24" s="338"/>
      <c r="T24" s="355"/>
      <c r="U24" s="366"/>
      <c r="V24" s="339"/>
      <c r="W24" s="339"/>
      <c r="X24" s="339"/>
      <c r="Y24" s="431"/>
      <c r="Z24" s="339"/>
      <c r="AA24" s="339"/>
      <c r="AB24" s="356"/>
      <c r="AC24" s="338"/>
      <c r="AD24" s="357"/>
      <c r="AE24" s="358"/>
      <c r="AF24" s="358"/>
      <c r="AG24" s="366"/>
      <c r="AH24" s="366"/>
      <c r="AI24" s="366"/>
      <c r="AJ24" s="366"/>
      <c r="AK24" s="366"/>
      <c r="AL24" s="367"/>
      <c r="AM24" s="338"/>
      <c r="AN24" s="355"/>
      <c r="AO24" s="381"/>
      <c r="AP24" s="366"/>
      <c r="AQ24" s="366"/>
      <c r="AR24" s="366"/>
      <c r="AS24" s="366"/>
      <c r="AT24" s="366"/>
      <c r="AU24" s="366"/>
      <c r="AV24" s="356"/>
      <c r="AW24" s="338"/>
      <c r="AX24" s="338"/>
      <c r="AY24" s="338"/>
      <c r="AZ24" s="338"/>
      <c r="BA24" s="338"/>
      <c r="BB24" s="338"/>
      <c r="BC24" s="338"/>
      <c r="BD24" s="338"/>
      <c r="BE24" s="338"/>
      <c r="BF24" s="338"/>
      <c r="BG24" s="338"/>
      <c r="BH24" s="338"/>
      <c r="BI24" s="338"/>
      <c r="BJ24" s="338"/>
      <c r="BK24" s="338"/>
    </row>
    <row r="25" spans="4:63" ht="18.95" customHeight="1" thickBot="1">
      <c r="D25" s="338"/>
      <c r="E25" s="338"/>
      <c r="F25" s="429" t="s">
        <v>324</v>
      </c>
      <c r="G25" s="390"/>
      <c r="H25" s="390"/>
      <c r="I25" s="390"/>
      <c r="J25" s="390"/>
      <c r="K25" s="390"/>
      <c r="L25" s="390"/>
      <c r="M25" s="390"/>
      <c r="N25" s="390"/>
      <c r="O25" s="391">
        <v>265</v>
      </c>
      <c r="P25" s="338"/>
      <c r="Q25" s="338"/>
      <c r="R25" s="338"/>
      <c r="S25" s="338"/>
      <c r="T25" s="355"/>
      <c r="U25" s="339" t="s">
        <v>325</v>
      </c>
      <c r="V25" s="339"/>
      <c r="W25" s="339"/>
      <c r="X25" s="339"/>
      <c r="Y25" s="431"/>
      <c r="Z25" s="339"/>
      <c r="AA25" s="339"/>
      <c r="AB25" s="356"/>
      <c r="AC25" s="338"/>
      <c r="AD25" s="385"/>
      <c r="AE25" s="371"/>
      <c r="AF25" s="1305" t="str">
        <f>AJ23&amp;"㎥/s &gt; Qd = "&amp;AF7&amp;"㎥/s "&amp;IF(AJ23&gt;AF7," -  O K  - "," -  N O  - ")</f>
        <v xml:space="preserve">29.236㎥/s &gt; Qd = 4.28㎥/s  -  O K  - </v>
      </c>
      <c r="AG25" s="1305"/>
      <c r="AH25" s="1305"/>
      <c r="AI25" s="1305"/>
      <c r="AJ25" s="1305"/>
      <c r="AK25" s="366"/>
      <c r="AL25" s="367"/>
      <c r="AM25" s="338"/>
      <c r="AN25" s="355"/>
      <c r="AO25" s="381"/>
      <c r="AP25" s="1305" t="str">
        <f>AT23&amp;"㎥/s &gt; Qd = "&amp;AP7&amp;"㎥/s "&amp;IF(AT23&gt;AP7," -  O K  - "," -  N O  - ")</f>
        <v xml:space="preserve">1.742㎥/s &gt; Qd = 4.28㎥/s  -  N O  - </v>
      </c>
      <c r="AQ25" s="1305"/>
      <c r="AR25" s="1305"/>
      <c r="AS25" s="1305"/>
      <c r="AT25" s="1305"/>
      <c r="AU25" s="434"/>
      <c r="AV25" s="367"/>
      <c r="AW25" s="338"/>
      <c r="AX25" s="338"/>
      <c r="AY25" s="338"/>
      <c r="AZ25" s="338"/>
      <c r="BA25" s="338"/>
      <c r="BB25" s="338"/>
      <c r="BC25" s="338"/>
      <c r="BD25" s="338"/>
      <c r="BE25" s="338"/>
      <c r="BF25" s="338"/>
      <c r="BG25" s="338"/>
      <c r="BH25" s="338"/>
      <c r="BI25" s="338"/>
      <c r="BJ25" s="338"/>
      <c r="BK25" s="338"/>
    </row>
    <row r="26" spans="4:63" ht="18.95" customHeight="1"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  <c r="O26" s="338"/>
      <c r="P26" s="338"/>
      <c r="Q26" s="338"/>
      <c r="R26" s="338"/>
      <c r="S26" s="338"/>
      <c r="T26" s="355"/>
      <c r="U26" s="366" t="s">
        <v>326</v>
      </c>
      <c r="V26" s="339" t="str">
        <f>FIXED(X7,2)&amp;" × "&amp;FIXED(X10,2)&amp;"  ="</f>
        <v>10.00 × 0.27  =</v>
      </c>
      <c r="W26" s="339"/>
      <c r="X26" s="339"/>
      <c r="Y26" s="431">
        <f>ROUND(X7*X10,3)</f>
        <v>2.7</v>
      </c>
      <c r="Z26" s="339"/>
      <c r="AA26" s="339"/>
      <c r="AB26" s="356"/>
      <c r="AC26" s="338"/>
      <c r="AD26" s="393"/>
      <c r="AE26" s="371"/>
      <c r="AF26" s="339"/>
      <c r="AG26" s="371"/>
      <c r="AH26" s="380"/>
      <c r="AI26" s="366"/>
      <c r="AJ26" s="380"/>
      <c r="AK26" s="366"/>
      <c r="AL26" s="367"/>
      <c r="AM26" s="338"/>
      <c r="AN26" s="355"/>
      <c r="AO26" s="381"/>
      <c r="AP26" s="339"/>
      <c r="AQ26" s="435"/>
      <c r="AR26" s="366"/>
      <c r="AS26" s="436"/>
      <c r="AT26" s="366"/>
      <c r="AU26" s="339"/>
      <c r="AV26" s="367"/>
      <c r="AW26" s="338"/>
      <c r="AX26" s="338"/>
      <c r="AY26" s="338"/>
      <c r="AZ26" s="338"/>
      <c r="BA26" s="338"/>
      <c r="BB26" s="338"/>
      <c r="BC26" s="338"/>
      <c r="BD26" s="338"/>
      <c r="BE26" s="338"/>
      <c r="BF26" s="338"/>
      <c r="BG26" s="338"/>
      <c r="BH26" s="338"/>
      <c r="BI26" s="338"/>
      <c r="BJ26" s="338"/>
      <c r="BK26" s="338"/>
    </row>
    <row r="27" spans="4:63" ht="18.95" customHeight="1">
      <c r="D27" s="354" t="s">
        <v>327</v>
      </c>
      <c r="E27" s="338"/>
      <c r="F27" s="338"/>
      <c r="G27" s="338"/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55"/>
      <c r="U27" s="366"/>
      <c r="V27" s="339"/>
      <c r="W27" s="339"/>
      <c r="X27" s="339"/>
      <c r="Y27" s="431"/>
      <c r="Z27" s="339"/>
      <c r="AA27" s="339"/>
      <c r="AB27" s="356"/>
      <c r="AC27" s="338"/>
      <c r="AD27" s="385"/>
      <c r="AE27" s="358" t="s">
        <v>328</v>
      </c>
      <c r="AF27" s="366" t="str">
        <f>ROUND(AJ23/AF7*100,)&amp;" % "</f>
        <v xml:space="preserve">683 % </v>
      </c>
      <c r="AG27" s="371"/>
      <c r="AH27" s="380"/>
      <c r="AI27" s="366"/>
      <c r="AJ27" s="380"/>
      <c r="AK27" s="366"/>
      <c r="AL27" s="367"/>
      <c r="AM27" s="338"/>
      <c r="AN27" s="355"/>
      <c r="AO27" s="423" t="s">
        <v>329</v>
      </c>
      <c r="AP27" s="366">
        <f>ROUND(AT23/AP7*100,)</f>
        <v>41</v>
      </c>
      <c r="AQ27" s="339" t="s">
        <v>306</v>
      </c>
      <c r="AR27" s="366"/>
      <c r="AS27" s="436"/>
      <c r="AT27" s="366"/>
      <c r="AU27" s="339"/>
      <c r="AV27" s="367"/>
      <c r="AW27" s="338"/>
      <c r="AX27" s="338"/>
      <c r="AY27" s="338"/>
      <c r="AZ27" s="338"/>
      <c r="BA27" s="338"/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</row>
    <row r="28" spans="4:63" ht="18.95" customHeight="1" thickBot="1">
      <c r="D28" s="338"/>
      <c r="E28" s="338"/>
      <c r="F28" s="338"/>
      <c r="G28" s="338"/>
      <c r="H28" s="338"/>
      <c r="I28" s="338"/>
      <c r="J28" s="338"/>
      <c r="K28" s="338"/>
      <c r="L28" s="338"/>
      <c r="M28" s="338"/>
      <c r="N28" s="338"/>
      <c r="O28" s="338"/>
      <c r="P28" s="338"/>
      <c r="Q28" s="338"/>
      <c r="R28" s="338"/>
      <c r="S28" s="338"/>
      <c r="T28" s="355"/>
      <c r="U28" s="339" t="s">
        <v>330</v>
      </c>
      <c r="V28" s="339"/>
      <c r="W28" s="339"/>
      <c r="X28" s="339"/>
      <c r="Y28" s="431"/>
      <c r="Z28" s="339"/>
      <c r="AA28" s="339"/>
      <c r="AB28" s="356"/>
      <c r="AC28" s="338"/>
      <c r="AD28" s="437"/>
      <c r="AE28" s="438"/>
      <c r="AF28" s="438"/>
      <c r="AG28" s="438"/>
      <c r="AH28" s="439"/>
      <c r="AI28" s="439"/>
      <c r="AJ28" s="439"/>
      <c r="AK28" s="438"/>
      <c r="AL28" s="440"/>
      <c r="AM28" s="338"/>
      <c r="AN28" s="441"/>
      <c r="AO28" s="442"/>
      <c r="AP28" s="442"/>
      <c r="AQ28" s="442"/>
      <c r="AR28" s="442"/>
      <c r="AS28" s="442"/>
      <c r="AT28" s="442"/>
      <c r="AU28" s="442"/>
      <c r="AV28" s="443"/>
      <c r="AW28" s="338"/>
      <c r="AX28" s="338"/>
      <c r="AY28" s="338"/>
      <c r="AZ28" s="338"/>
      <c r="BA28" s="338"/>
      <c r="BB28" s="338"/>
      <c r="BC28" s="338"/>
      <c r="BD28" s="338"/>
      <c r="BE28" s="338"/>
      <c r="BF28" s="338"/>
      <c r="BG28" s="338"/>
      <c r="BH28" s="338"/>
      <c r="BI28" s="338"/>
      <c r="BJ28" s="338"/>
      <c r="BK28" s="338"/>
    </row>
    <row r="29" spans="4:63" ht="18.95" customHeight="1">
      <c r="D29" s="338"/>
      <c r="E29" s="338" t="s">
        <v>331</v>
      </c>
      <c r="F29" s="338"/>
      <c r="G29" s="338"/>
      <c r="H29" s="338"/>
      <c r="I29" s="338"/>
      <c r="J29" s="338"/>
      <c r="K29" s="338"/>
      <c r="L29" s="338"/>
      <c r="M29" s="338"/>
      <c r="N29" s="338"/>
      <c r="O29" s="444">
        <f>ROUND((H31/24)*(24/O21)^0.557,2)</f>
        <v>124.42</v>
      </c>
      <c r="P29" s="338"/>
      <c r="Q29" s="338"/>
      <c r="R29" s="338"/>
      <c r="S29" s="338"/>
      <c r="T29" s="355"/>
      <c r="U29" s="366" t="s">
        <v>332</v>
      </c>
      <c r="V29" s="339" t="str">
        <f>" ( "&amp;FIXED(Y26,3)&amp;" / "&amp;FIXED(Y23,3)&amp;" )  ="</f>
        <v xml:space="preserve"> ( 2.700 / 10.540 )  =</v>
      </c>
      <c r="W29" s="339"/>
      <c r="X29" s="339"/>
      <c r="Y29" s="431">
        <f>ROUND(Y26/Y23,3)</f>
        <v>0.25600000000000001</v>
      </c>
      <c r="Z29" s="339"/>
      <c r="AA29" s="339"/>
      <c r="AB29" s="356"/>
      <c r="AC29" s="338"/>
      <c r="AD29" s="445"/>
      <c r="AE29" s="445"/>
      <c r="AF29" s="445"/>
      <c r="AG29" s="445"/>
      <c r="AH29" s="445"/>
      <c r="AI29" s="445"/>
      <c r="AJ29" s="445"/>
      <c r="AK29" s="445"/>
      <c r="AL29" s="445"/>
      <c r="AM29" s="338"/>
      <c r="AN29" s="340"/>
      <c r="AO29" s="340"/>
      <c r="AP29" s="340"/>
      <c r="AQ29" s="340"/>
      <c r="AR29" s="340"/>
      <c r="AS29" s="340"/>
      <c r="AT29" s="340"/>
      <c r="AU29" s="340"/>
      <c r="AV29" s="340"/>
      <c r="AW29" s="338"/>
      <c r="AX29" s="338"/>
      <c r="AY29" s="338"/>
      <c r="AZ29" s="338"/>
      <c r="BA29" s="338"/>
      <c r="BB29" s="338"/>
      <c r="BC29" s="338"/>
      <c r="BD29" s="338"/>
      <c r="BE29" s="338"/>
      <c r="BF29" s="338"/>
      <c r="BG29" s="338"/>
      <c r="BH29" s="338"/>
      <c r="BI29" s="338"/>
      <c r="BJ29" s="338"/>
      <c r="BK29" s="338"/>
    </row>
    <row r="30" spans="4:63" ht="18.95" customHeight="1"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38"/>
      <c r="O30" s="338"/>
      <c r="P30" s="338"/>
      <c r="Q30" s="338"/>
      <c r="R30" s="338"/>
      <c r="S30" s="338"/>
      <c r="T30" s="355"/>
      <c r="U30" s="366"/>
      <c r="V30" s="339"/>
      <c r="W30" s="339"/>
      <c r="X30" s="339"/>
      <c r="Y30" s="431"/>
      <c r="Z30" s="339"/>
      <c r="AA30" s="339"/>
      <c r="AB30" s="356"/>
      <c r="AC30" s="338"/>
      <c r="AD30" s="445"/>
      <c r="AE30" s="445"/>
      <c r="AF30" s="445"/>
      <c r="AG30" s="445"/>
      <c r="AH30" s="445"/>
      <c r="AI30" s="445"/>
      <c r="AJ30" s="445"/>
      <c r="AK30" s="445"/>
      <c r="AL30" s="445"/>
      <c r="AM30" s="338"/>
      <c r="AN30" s="340"/>
      <c r="AO30" s="340"/>
      <c r="AP30" s="340"/>
      <c r="AQ30" s="340"/>
      <c r="AR30" s="340"/>
      <c r="AS30" s="340"/>
      <c r="AT30" s="340"/>
      <c r="AU30" s="340"/>
      <c r="AV30" s="340"/>
      <c r="AW30" s="338"/>
      <c r="AX30" s="338"/>
      <c r="AY30" s="338"/>
      <c r="AZ30" s="338"/>
      <c r="BA30" s="338"/>
      <c r="BB30" s="338"/>
      <c r="BC30" s="338"/>
      <c r="BD30" s="338"/>
      <c r="BE30" s="338"/>
      <c r="BF30" s="338"/>
      <c r="BG30" s="338"/>
      <c r="BH30" s="338"/>
      <c r="BI30" s="338"/>
      <c r="BJ30" s="338"/>
      <c r="BK30" s="338"/>
    </row>
    <row r="31" spans="4:63" ht="18.95" customHeight="1">
      <c r="D31" s="338"/>
      <c r="E31" s="338"/>
      <c r="F31" s="338" t="s">
        <v>333</v>
      </c>
      <c r="G31" s="338"/>
      <c r="H31" s="446">
        <v>309.5</v>
      </c>
      <c r="I31" s="447"/>
      <c r="J31" s="1304" t="s">
        <v>334</v>
      </c>
      <c r="K31" s="1304"/>
      <c r="L31" s="338"/>
      <c r="M31" s="338"/>
      <c r="N31" s="338"/>
      <c r="O31" s="448" t="s">
        <v>335</v>
      </c>
      <c r="P31" s="448" t="s">
        <v>336</v>
      </c>
      <c r="Q31" s="338"/>
      <c r="R31" s="338"/>
      <c r="S31" s="374"/>
      <c r="T31" s="355"/>
      <c r="U31" s="339" t="s">
        <v>337</v>
      </c>
      <c r="V31" s="339"/>
      <c r="W31" s="339"/>
      <c r="X31" s="339"/>
      <c r="Y31" s="431"/>
      <c r="Z31" s="339"/>
      <c r="AA31" s="339"/>
      <c r="AB31" s="356"/>
      <c r="AC31" s="338"/>
      <c r="AD31" s="445"/>
      <c r="AE31" s="445"/>
      <c r="AF31" s="445"/>
      <c r="AG31" s="445"/>
      <c r="AH31" s="445"/>
      <c r="AI31" s="445"/>
      <c r="AJ31" s="445"/>
      <c r="AK31" s="445"/>
      <c r="AL31" s="445"/>
      <c r="AM31" s="338"/>
      <c r="AN31" s="340"/>
      <c r="AO31" s="340"/>
      <c r="AP31" s="340"/>
      <c r="AQ31" s="340"/>
      <c r="AR31" s="340"/>
      <c r="AS31" s="340"/>
      <c r="AT31" s="340"/>
      <c r="AU31" s="340"/>
      <c r="AV31" s="340"/>
      <c r="AW31" s="338"/>
      <c r="AX31" s="338"/>
      <c r="AY31" s="338"/>
      <c r="AZ31" s="338"/>
      <c r="BA31" s="338"/>
      <c r="BB31" s="338"/>
      <c r="BC31" s="338"/>
      <c r="BD31" s="338"/>
      <c r="BE31" s="338"/>
      <c r="BF31" s="338"/>
      <c r="BG31" s="338"/>
      <c r="BH31" s="338"/>
      <c r="BI31" s="338"/>
      <c r="BJ31" s="338"/>
      <c r="BK31" s="338"/>
    </row>
    <row r="32" spans="4:63" ht="18.95" customHeight="1">
      <c r="D32" s="338"/>
      <c r="E32" s="338"/>
      <c r="F32" s="338"/>
      <c r="G32" s="338"/>
      <c r="H32" s="447"/>
      <c r="I32" s="447"/>
      <c r="J32" s="377"/>
      <c r="K32" s="377"/>
      <c r="L32" s="338"/>
      <c r="M32" s="338"/>
      <c r="N32" s="338"/>
      <c r="O32" s="449" t="s">
        <v>503</v>
      </c>
      <c r="P32" s="449">
        <v>100</v>
      </c>
      <c r="Q32" s="338"/>
      <c r="R32" s="338"/>
      <c r="S32" s="374"/>
      <c r="T32" s="355"/>
      <c r="U32" s="366" t="s">
        <v>338</v>
      </c>
      <c r="V32" s="339" t="str">
        <f>" 1/"&amp;W18&amp;"×"&amp;Y29&amp;"^ ⅔×"&amp;X17&amp;" ^½ ="</f>
        <v xml:space="preserve"> 1/0.017×0.256^ ⅔×0.1 ^½ =</v>
      </c>
      <c r="W32" s="339"/>
      <c r="X32" s="339"/>
      <c r="Y32" s="431">
        <f>ROUND(1/W18*Y29^(2/3)*X17^(1/2),3)</f>
        <v>7.5</v>
      </c>
      <c r="Z32" s="339" t="s">
        <v>313</v>
      </c>
      <c r="AA32" s="339"/>
      <c r="AB32" s="356"/>
      <c r="AC32" s="338"/>
      <c r="AD32" s="445"/>
      <c r="AE32" s="445"/>
      <c r="AF32" s="445"/>
      <c r="AG32" s="445"/>
      <c r="AH32" s="445"/>
      <c r="AI32" s="445"/>
      <c r="AJ32" s="445"/>
      <c r="AK32" s="445"/>
      <c r="AL32" s="445"/>
      <c r="AM32" s="338"/>
      <c r="AN32" s="340"/>
      <c r="AO32" s="340"/>
      <c r="AP32" s="340"/>
      <c r="AQ32" s="340"/>
      <c r="AR32" s="340"/>
      <c r="AS32" s="340"/>
      <c r="AT32" s="340"/>
      <c r="AU32" s="340"/>
      <c r="AV32" s="340"/>
      <c r="AW32" s="338"/>
      <c r="AX32" s="338"/>
      <c r="AY32" s="338"/>
      <c r="AZ32" s="338"/>
      <c r="BA32" s="338"/>
      <c r="BB32" s="338"/>
      <c r="BC32" s="338"/>
      <c r="BD32" s="338"/>
      <c r="BE32" s="338"/>
      <c r="BF32" s="338"/>
      <c r="BG32" s="338"/>
      <c r="BH32" s="338"/>
      <c r="BI32" s="338"/>
      <c r="BJ32" s="338"/>
      <c r="BK32" s="338"/>
    </row>
    <row r="33" spans="2:63" ht="18.95" customHeight="1">
      <c r="D33" s="338"/>
      <c r="E33" s="338"/>
      <c r="F33" s="338"/>
      <c r="G33" s="338"/>
      <c r="H33" s="447"/>
      <c r="I33" s="447"/>
      <c r="J33" s="377"/>
      <c r="K33" s="377"/>
      <c r="L33" s="338"/>
      <c r="M33" s="338"/>
      <c r="N33" s="338"/>
      <c r="O33" s="450"/>
      <c r="P33" s="450">
        <v>100</v>
      </c>
      <c r="Q33" s="338"/>
      <c r="R33" s="338"/>
      <c r="S33" s="374"/>
      <c r="T33" s="355"/>
      <c r="U33" s="366"/>
      <c r="V33" s="339"/>
      <c r="W33" s="339"/>
      <c r="X33" s="339"/>
      <c r="Y33" s="339"/>
      <c r="Z33" s="339"/>
      <c r="AA33" s="339"/>
      <c r="AB33" s="356"/>
      <c r="AC33" s="338"/>
      <c r="AD33" s="445"/>
      <c r="AE33" s="445"/>
      <c r="AF33" s="445"/>
      <c r="AG33" s="445"/>
      <c r="AH33" s="445"/>
      <c r="AI33" s="445"/>
      <c r="AJ33" s="445"/>
      <c r="AK33" s="445"/>
      <c r="AL33" s="445"/>
      <c r="AM33" s="338"/>
      <c r="AN33" s="340"/>
      <c r="AO33" s="340"/>
      <c r="AP33" s="340"/>
      <c r="AQ33" s="340"/>
      <c r="AR33" s="340"/>
      <c r="AS33" s="340"/>
      <c r="AT33" s="340"/>
      <c r="AU33" s="340"/>
      <c r="AV33" s="340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</row>
    <row r="34" spans="2:63" ht="18.95" customHeight="1">
      <c r="D34" s="338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415"/>
      <c r="U34" s="420"/>
      <c r="V34" s="419"/>
      <c r="W34" s="419"/>
      <c r="X34" s="419"/>
      <c r="Y34" s="419"/>
      <c r="Z34" s="419"/>
      <c r="AA34" s="419"/>
      <c r="AB34" s="421"/>
      <c r="AC34" s="338"/>
      <c r="AD34" s="445"/>
      <c r="AE34" s="445"/>
      <c r="AF34" s="445"/>
      <c r="AG34" s="445"/>
      <c r="AH34" s="445"/>
      <c r="AI34" s="445"/>
      <c r="AJ34" s="445"/>
      <c r="AK34" s="445"/>
      <c r="AL34" s="445"/>
      <c r="AM34" s="338"/>
      <c r="AN34" s="340"/>
      <c r="AO34" s="340"/>
      <c r="AP34" s="340"/>
      <c r="AQ34" s="340"/>
      <c r="AR34" s="340"/>
      <c r="AS34" s="340"/>
      <c r="AT34" s="340"/>
      <c r="AU34" s="340"/>
      <c r="AV34" s="340"/>
      <c r="AW34" s="338"/>
      <c r="AX34" s="338"/>
      <c r="AY34" s="338"/>
      <c r="AZ34" s="338"/>
      <c r="BA34" s="338"/>
      <c r="BB34" s="338"/>
      <c r="BC34" s="338"/>
      <c r="BD34" s="338"/>
      <c r="BE34" s="338"/>
      <c r="BF34" s="338"/>
      <c r="BG34" s="338"/>
      <c r="BH34" s="338"/>
      <c r="BI34" s="338"/>
      <c r="BJ34" s="338"/>
      <c r="BK34" s="338"/>
    </row>
    <row r="35" spans="2:63" ht="18.95" customHeight="1"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425"/>
      <c r="U35" s="451"/>
      <c r="V35" s="426"/>
      <c r="W35" s="426"/>
      <c r="X35" s="426"/>
      <c r="Y35" s="426"/>
      <c r="Z35" s="426"/>
      <c r="AA35" s="426"/>
      <c r="AB35" s="427"/>
      <c r="AC35" s="338"/>
      <c r="AD35" s="445"/>
      <c r="AE35" s="445"/>
      <c r="AF35" s="445"/>
      <c r="AG35" s="445"/>
      <c r="AH35" s="445"/>
      <c r="AI35" s="445"/>
      <c r="AJ35" s="445"/>
      <c r="AK35" s="445"/>
      <c r="AL35" s="445"/>
      <c r="AM35" s="338"/>
      <c r="AN35" s="340"/>
      <c r="AO35" s="340"/>
      <c r="AP35" s="340"/>
      <c r="AQ35" s="340"/>
      <c r="AR35" s="340"/>
      <c r="AS35" s="340"/>
      <c r="AT35" s="340"/>
      <c r="AU35" s="340"/>
      <c r="AV35" s="340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</row>
    <row r="36" spans="2:63" ht="18.95" customHeight="1"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55"/>
      <c r="U36" s="339" t="s">
        <v>339</v>
      </c>
      <c r="V36" s="339"/>
      <c r="W36" s="339"/>
      <c r="X36" s="339"/>
      <c r="Y36" s="339"/>
      <c r="Z36" s="339"/>
      <c r="AA36" s="339"/>
      <c r="AB36" s="356"/>
      <c r="AC36" s="338"/>
      <c r="AD36" s="445"/>
      <c r="AE36" s="445"/>
      <c r="AF36" s="445"/>
      <c r="AG36" s="445"/>
      <c r="AH36" s="445"/>
      <c r="AI36" s="445"/>
      <c r="AJ36" s="445"/>
      <c r="AK36" s="445"/>
      <c r="AL36" s="445"/>
      <c r="AM36" s="338"/>
      <c r="AN36" s="340"/>
      <c r="AO36" s="340"/>
      <c r="AP36" s="340"/>
      <c r="AQ36" s="340"/>
      <c r="AR36" s="340"/>
      <c r="AS36" s="340"/>
      <c r="AT36" s="340"/>
      <c r="AU36" s="340"/>
      <c r="AV36" s="340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</row>
    <row r="37" spans="2:63" ht="18.95" customHeight="1"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55"/>
      <c r="U37" s="339" t="str">
        <f>"  Q  =  A × V  =  "&amp;FIXED(Y26,3)&amp;" × "&amp;FIXED(Y32,3)&amp;"  ="</f>
        <v xml:space="preserve">  Q  =  A × V  =  2.700 × 7.500  =</v>
      </c>
      <c r="V37" s="339"/>
      <c r="W37" s="339"/>
      <c r="X37" s="452">
        <f>ROUND(Y26*Y32,2)</f>
        <v>20.25</v>
      </c>
      <c r="Y37" s="347" t="str">
        <f>"㎥/s &gt; Qd = "&amp;O9&amp;" ㎥/s "</f>
        <v xml:space="preserve">㎥/s &gt; Qd = 4.28 ㎥/s </v>
      </c>
      <c r="Z37" s="365"/>
      <c r="AA37" s="347"/>
      <c r="AB37" s="356"/>
      <c r="AC37" s="338"/>
      <c r="AD37" s="445"/>
      <c r="AE37" s="445"/>
      <c r="AF37" s="445"/>
      <c r="AG37" s="445"/>
      <c r="AH37" s="445"/>
      <c r="AI37" s="445"/>
      <c r="AJ37" s="445"/>
      <c r="AK37" s="445"/>
      <c r="AL37" s="445"/>
      <c r="AM37" s="338"/>
      <c r="AN37" s="340"/>
      <c r="AO37" s="340"/>
      <c r="AP37" s="340"/>
      <c r="AQ37" s="340"/>
      <c r="AR37" s="340"/>
      <c r="AS37" s="340"/>
      <c r="AT37" s="340"/>
      <c r="AU37" s="340"/>
      <c r="AV37" s="340"/>
      <c r="AW37" s="338"/>
      <c r="AX37" s="338"/>
      <c r="AY37" s="338"/>
      <c r="AZ37" s="338"/>
      <c r="BA37" s="338"/>
      <c r="BB37" s="338"/>
      <c r="BC37" s="338"/>
      <c r="BD37" s="338"/>
      <c r="BE37" s="338"/>
      <c r="BF37" s="338"/>
      <c r="BG37" s="338"/>
      <c r="BH37" s="338"/>
      <c r="BI37" s="338"/>
      <c r="BJ37" s="338"/>
      <c r="BK37" s="338"/>
    </row>
    <row r="38" spans="2:63" ht="18.95" customHeight="1" thickBot="1"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441"/>
      <c r="U38" s="442"/>
      <c r="V38" s="442"/>
      <c r="W38" s="442"/>
      <c r="X38" s="442"/>
      <c r="Y38" s="453" t="str">
        <f>"( "&amp;ROUND(X37/O9*100,)&amp;" "</f>
        <v xml:space="preserve">( 473 </v>
      </c>
      <c r="Z38" s="454" t="s">
        <v>340</v>
      </c>
      <c r="AA38" s="442"/>
      <c r="AB38" s="443"/>
      <c r="AC38" s="338"/>
      <c r="AD38" s="445"/>
      <c r="AE38" s="445"/>
      <c r="AF38" s="445"/>
      <c r="AG38" s="445"/>
      <c r="AH38" s="445"/>
      <c r="AI38" s="445"/>
      <c r="AJ38" s="445"/>
      <c r="AK38" s="445"/>
      <c r="AL38" s="445"/>
      <c r="AM38" s="338"/>
      <c r="AN38" s="340"/>
      <c r="AO38" s="340"/>
      <c r="AP38" s="340"/>
      <c r="AQ38" s="340"/>
      <c r="AR38" s="340"/>
      <c r="AS38" s="340"/>
      <c r="AT38" s="340"/>
      <c r="AU38" s="340"/>
      <c r="AV38" s="340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  <c r="BG38" s="338"/>
      <c r="BH38" s="338"/>
      <c r="BI38" s="338"/>
      <c r="BJ38" s="338"/>
      <c r="BK38" s="338"/>
    </row>
    <row r="39" spans="2:63" ht="18.95" customHeight="1"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40"/>
      <c r="U39" s="340"/>
      <c r="V39" s="340"/>
      <c r="W39" s="340"/>
      <c r="X39" s="340"/>
      <c r="Y39" s="358"/>
      <c r="Z39" s="347"/>
      <c r="AA39" s="347"/>
      <c r="AB39" s="339"/>
      <c r="AC39" s="338"/>
      <c r="AD39" s="445"/>
      <c r="AE39" s="445"/>
      <c r="AF39" s="445"/>
      <c r="AG39" s="445"/>
      <c r="AH39" s="445"/>
      <c r="AI39" s="445"/>
      <c r="AJ39" s="445"/>
      <c r="AK39" s="445"/>
      <c r="AL39" s="445"/>
      <c r="AM39" s="338"/>
      <c r="AN39" s="340"/>
      <c r="AO39" s="340"/>
      <c r="AP39" s="340"/>
      <c r="AQ39" s="340"/>
      <c r="AR39" s="340"/>
      <c r="AS39" s="340"/>
      <c r="AT39" s="340"/>
      <c r="AU39" s="340"/>
      <c r="AV39" s="340"/>
      <c r="AW39" s="338"/>
      <c r="AX39" s="338"/>
      <c r="AY39" s="338"/>
      <c r="AZ39" s="338"/>
      <c r="BA39" s="338"/>
      <c r="BB39" s="338"/>
      <c r="BC39" s="338"/>
      <c r="BD39" s="338"/>
      <c r="BE39" s="338"/>
      <c r="BF39" s="338"/>
      <c r="BG39" s="338"/>
      <c r="BH39" s="338"/>
      <c r="BI39" s="338"/>
      <c r="BJ39" s="338"/>
      <c r="BK39" s="338"/>
    </row>
    <row r="40" spans="2:63" ht="18.95" customHeight="1"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42"/>
      <c r="U40" s="344"/>
      <c r="V40" s="342"/>
      <c r="W40" s="342"/>
      <c r="X40" s="342"/>
      <c r="Y40" s="342"/>
      <c r="Z40" s="342"/>
      <c r="AA40" s="342"/>
      <c r="AB40" s="342"/>
      <c r="AC40" s="338"/>
      <c r="AD40" s="445"/>
      <c r="AE40" s="445"/>
      <c r="AF40" s="445"/>
      <c r="AG40" s="445"/>
      <c r="AH40" s="445"/>
      <c r="AI40" s="445"/>
      <c r="AJ40" s="445"/>
      <c r="AK40" s="445"/>
      <c r="AL40" s="445"/>
      <c r="AM40" s="338"/>
      <c r="AN40" s="340"/>
      <c r="AO40" s="340"/>
      <c r="AP40" s="340"/>
      <c r="AQ40" s="340"/>
      <c r="AR40" s="340"/>
      <c r="AS40" s="340"/>
      <c r="AT40" s="340"/>
      <c r="AU40" s="340"/>
      <c r="AV40" s="340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</row>
    <row r="41" spans="2:63" ht="18.95" customHeight="1">
      <c r="B41" s="455" t="s">
        <v>341</v>
      </c>
      <c r="C41" s="456"/>
      <c r="D41" s="1295" t="s">
        <v>336</v>
      </c>
      <c r="E41" s="1296"/>
      <c r="F41" s="1297"/>
      <c r="G41" s="1298" t="s">
        <v>342</v>
      </c>
      <c r="H41" s="1299"/>
      <c r="I41" s="1300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9"/>
      <c r="U41" s="347"/>
      <c r="V41" s="339"/>
      <c r="W41" s="339"/>
      <c r="X41" s="339"/>
      <c r="Y41" s="339"/>
      <c r="Z41" s="339"/>
      <c r="AA41" s="339"/>
      <c r="AB41" s="339"/>
      <c r="AC41" s="338"/>
      <c r="AD41" s="445"/>
      <c r="AE41" s="445"/>
      <c r="AF41" s="445"/>
      <c r="AG41" s="445"/>
      <c r="AH41" s="445"/>
      <c r="AI41" s="445"/>
      <c r="AJ41" s="445"/>
      <c r="AK41" s="445"/>
      <c r="AL41" s="445"/>
      <c r="AM41" s="338"/>
      <c r="AN41" s="340"/>
      <c r="AO41" s="340"/>
      <c r="AP41" s="340"/>
      <c r="AQ41" s="340"/>
      <c r="AR41" s="340"/>
      <c r="AS41" s="340"/>
      <c r="AT41" s="340"/>
      <c r="AU41" s="340"/>
      <c r="AV41" s="340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</row>
    <row r="42" spans="2:63" ht="18.95" customHeight="1">
      <c r="B42" s="455" t="s">
        <v>343</v>
      </c>
      <c r="C42" s="456"/>
      <c r="D42" s="457">
        <v>10</v>
      </c>
      <c r="E42" s="458"/>
      <c r="F42" s="459"/>
      <c r="G42" s="460">
        <v>199.6</v>
      </c>
      <c r="H42" s="461"/>
      <c r="I42" s="462"/>
      <c r="J42" s="338"/>
      <c r="K42" s="338"/>
      <c r="L42" s="338"/>
      <c r="M42" s="338"/>
      <c r="N42" s="338"/>
      <c r="O42" s="338"/>
      <c r="P42" s="338"/>
      <c r="Q42" s="338"/>
      <c r="R42" s="338"/>
      <c r="S42" s="338"/>
      <c r="T42" s="339"/>
      <c r="U42" s="347"/>
      <c r="V42" s="339"/>
      <c r="W42" s="339"/>
      <c r="X42" s="339"/>
      <c r="Y42" s="339"/>
      <c r="Z42" s="339"/>
      <c r="AA42" s="339"/>
      <c r="AB42" s="339"/>
      <c r="AC42" s="338"/>
      <c r="AD42" s="445"/>
      <c r="AE42" s="445"/>
      <c r="AF42" s="445"/>
      <c r="AG42" s="445"/>
      <c r="AH42" s="445"/>
      <c r="AI42" s="445"/>
      <c r="AJ42" s="445"/>
      <c r="AK42" s="445"/>
      <c r="AL42" s="445"/>
      <c r="AM42" s="338"/>
      <c r="AN42" s="340"/>
      <c r="AO42" s="340"/>
      <c r="AP42" s="340"/>
      <c r="AQ42" s="340"/>
      <c r="AR42" s="340"/>
      <c r="AS42" s="340"/>
      <c r="AT42" s="340"/>
      <c r="AU42" s="340"/>
      <c r="AV42" s="340"/>
      <c r="AW42" s="338"/>
      <c r="AX42" s="338"/>
      <c r="AY42" s="338"/>
      <c r="AZ42" s="338"/>
      <c r="BA42" s="338"/>
      <c r="BB42" s="338"/>
      <c r="BC42" s="338"/>
      <c r="BD42" s="338"/>
      <c r="BE42" s="338"/>
      <c r="BF42" s="338"/>
      <c r="BG42" s="338"/>
      <c r="BH42" s="338"/>
      <c r="BI42" s="338"/>
      <c r="BJ42" s="338"/>
      <c r="BK42" s="338"/>
    </row>
    <row r="43" spans="2:63" ht="18.95" customHeight="1">
      <c r="B43" s="455" t="s">
        <v>343</v>
      </c>
      <c r="C43" s="456"/>
      <c r="D43" s="457">
        <v>20</v>
      </c>
      <c r="E43" s="458"/>
      <c r="F43" s="459"/>
      <c r="G43" s="460">
        <v>233.2</v>
      </c>
      <c r="H43" s="461"/>
      <c r="I43" s="462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9"/>
      <c r="U43" s="1301"/>
      <c r="V43" s="1301"/>
      <c r="W43" s="339"/>
      <c r="X43" s="339"/>
      <c r="Y43" s="339"/>
      <c r="Z43" s="339"/>
      <c r="AA43" s="339"/>
      <c r="AB43" s="339"/>
      <c r="AC43" s="338"/>
      <c r="AD43" s="445"/>
      <c r="AE43" s="445"/>
      <c r="AF43" s="445"/>
      <c r="AG43" s="445"/>
      <c r="AH43" s="445"/>
      <c r="AI43" s="445"/>
      <c r="AJ43" s="445"/>
      <c r="AK43" s="445"/>
      <c r="AL43" s="445"/>
      <c r="AM43" s="338"/>
      <c r="AN43" s="340"/>
      <c r="AO43" s="340"/>
      <c r="AP43" s="340"/>
      <c r="AQ43" s="340"/>
      <c r="AR43" s="340"/>
      <c r="AS43" s="340"/>
      <c r="AT43" s="340"/>
      <c r="AU43" s="340"/>
      <c r="AV43" s="340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</row>
    <row r="44" spans="2:63" ht="18.95" customHeight="1">
      <c r="B44" s="455" t="s">
        <v>343</v>
      </c>
      <c r="C44" s="456"/>
      <c r="D44" s="457">
        <v>30</v>
      </c>
      <c r="E44" s="458"/>
      <c r="F44" s="459"/>
      <c r="G44" s="460">
        <v>252.6</v>
      </c>
      <c r="H44" s="461"/>
      <c r="I44" s="462"/>
      <c r="J44" s="338"/>
      <c r="K44" s="338"/>
      <c r="L44" s="338"/>
      <c r="M44" s="338"/>
      <c r="N44" s="338"/>
      <c r="O44" s="338"/>
      <c r="P44" s="338"/>
      <c r="Q44" s="338"/>
      <c r="R44" s="338"/>
      <c r="S44" s="338"/>
      <c r="T44" s="339"/>
      <c r="U44" s="347"/>
      <c r="V44" s="339"/>
      <c r="W44" s="339"/>
      <c r="X44" s="339"/>
      <c r="Y44" s="339"/>
      <c r="Z44" s="339"/>
      <c r="AA44" s="339"/>
      <c r="AB44" s="339"/>
      <c r="AC44" s="338"/>
      <c r="AD44" s="445"/>
      <c r="AE44" s="445"/>
      <c r="AF44" s="445"/>
      <c r="AG44" s="445"/>
      <c r="AH44" s="445"/>
      <c r="AI44" s="445"/>
      <c r="AJ44" s="445"/>
      <c r="AK44" s="445"/>
      <c r="AL44" s="445"/>
      <c r="AM44" s="338"/>
      <c r="AN44" s="340"/>
      <c r="AO44" s="340"/>
      <c r="AP44" s="340"/>
      <c r="AQ44" s="340"/>
      <c r="AR44" s="340"/>
      <c r="AS44" s="340"/>
      <c r="AT44" s="340"/>
      <c r="AU44" s="340"/>
      <c r="AV44" s="340"/>
      <c r="AW44" s="338"/>
      <c r="AX44" s="338"/>
      <c r="AY44" s="338"/>
      <c r="AZ44" s="338"/>
      <c r="BA44" s="338"/>
      <c r="BB44" s="338"/>
      <c r="BC44" s="338"/>
      <c r="BD44" s="338"/>
      <c r="BE44" s="338"/>
      <c r="BF44" s="338"/>
      <c r="BG44" s="338"/>
      <c r="BH44" s="338"/>
      <c r="BI44" s="338"/>
      <c r="BJ44" s="338"/>
      <c r="BK44" s="338"/>
    </row>
    <row r="45" spans="2:63" ht="18.95" customHeight="1">
      <c r="B45" s="455" t="s">
        <v>343</v>
      </c>
      <c r="C45" s="456"/>
      <c r="D45" s="457">
        <v>50</v>
      </c>
      <c r="E45" s="458"/>
      <c r="F45" s="459"/>
      <c r="G45" s="460">
        <v>276.8</v>
      </c>
      <c r="H45" s="461"/>
      <c r="I45" s="462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9"/>
      <c r="U45" s="360"/>
      <c r="V45" s="360"/>
      <c r="W45" s="360"/>
      <c r="X45" s="361"/>
      <c r="Y45" s="361"/>
      <c r="Z45" s="360"/>
      <c r="AA45" s="360"/>
      <c r="AB45" s="339"/>
      <c r="AC45" s="338"/>
      <c r="AD45" s="445"/>
      <c r="AE45" s="445"/>
      <c r="AF45" s="445"/>
      <c r="AG45" s="445"/>
      <c r="AH45" s="445"/>
      <c r="AI45" s="445"/>
      <c r="AJ45" s="445"/>
      <c r="AK45" s="445"/>
      <c r="AL45" s="445"/>
      <c r="AM45" s="338"/>
      <c r="AN45" s="340"/>
      <c r="AO45" s="340"/>
      <c r="AP45" s="340"/>
      <c r="AQ45" s="340"/>
      <c r="AR45" s="340"/>
      <c r="AS45" s="340"/>
      <c r="AT45" s="340"/>
      <c r="AU45" s="340"/>
      <c r="AV45" s="340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8"/>
    </row>
    <row r="46" spans="2:63" ht="18.95" customHeight="1">
      <c r="B46" s="455"/>
      <c r="C46" s="456"/>
      <c r="D46" s="457"/>
      <c r="E46" s="458"/>
      <c r="F46" s="459"/>
      <c r="G46" s="460"/>
      <c r="H46" s="461"/>
      <c r="I46" s="462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9"/>
      <c r="U46" s="360"/>
      <c r="V46" s="368"/>
      <c r="W46" s="463"/>
      <c r="X46" s="368"/>
      <c r="Y46" s="368"/>
      <c r="Z46" s="368"/>
      <c r="AA46" s="363"/>
      <c r="AB46" s="339"/>
      <c r="AC46" s="338"/>
      <c r="AD46" s="445"/>
      <c r="AE46" s="445"/>
      <c r="AF46" s="445"/>
      <c r="AG46" s="445"/>
      <c r="AH46" s="445"/>
      <c r="AI46" s="445"/>
      <c r="AJ46" s="445"/>
      <c r="AK46" s="445"/>
      <c r="AL46" s="445"/>
      <c r="AM46" s="338"/>
      <c r="AN46" s="340"/>
      <c r="AO46" s="340"/>
      <c r="AP46" s="340"/>
      <c r="AQ46" s="340"/>
      <c r="AR46" s="340"/>
      <c r="AS46" s="340"/>
      <c r="AT46" s="340"/>
      <c r="AU46" s="340"/>
      <c r="AV46" s="340"/>
      <c r="AW46" s="338"/>
      <c r="AX46" s="338"/>
      <c r="AY46" s="338"/>
      <c r="AZ46" s="338"/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</row>
    <row r="47" spans="2:63" ht="18.95" customHeight="1">
      <c r="B47" s="455"/>
      <c r="C47" s="456"/>
      <c r="D47" s="457"/>
      <c r="E47" s="458"/>
      <c r="F47" s="459"/>
      <c r="G47" s="460"/>
      <c r="H47" s="461"/>
      <c r="I47" s="462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9"/>
      <c r="U47" s="360"/>
      <c r="V47" s="360"/>
      <c r="W47" s="360"/>
      <c r="X47" s="360"/>
      <c r="Y47" s="360"/>
      <c r="Z47" s="360"/>
      <c r="AA47" s="360"/>
      <c r="AB47" s="339"/>
      <c r="AC47" s="338"/>
      <c r="AD47" s="445"/>
      <c r="AE47" s="445"/>
      <c r="AF47" s="445"/>
      <c r="AG47" s="445"/>
      <c r="AH47" s="445"/>
      <c r="AI47" s="445"/>
      <c r="AJ47" s="445"/>
      <c r="AK47" s="445"/>
      <c r="AL47" s="445"/>
      <c r="AM47" s="338"/>
      <c r="AN47" s="340"/>
      <c r="AO47" s="340"/>
      <c r="AP47" s="340"/>
      <c r="AQ47" s="340"/>
      <c r="AR47" s="340"/>
      <c r="AS47" s="340"/>
      <c r="AT47" s="340"/>
      <c r="AU47" s="340"/>
      <c r="AV47" s="340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</row>
    <row r="48" spans="2:63" ht="18.95" customHeight="1">
      <c r="B48" s="455"/>
      <c r="C48" s="456"/>
      <c r="D48" s="457"/>
      <c r="E48" s="458"/>
      <c r="F48" s="459"/>
      <c r="G48" s="460"/>
      <c r="H48" s="461"/>
      <c r="I48" s="462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9"/>
      <c r="U48" s="360"/>
      <c r="V48" s="360"/>
      <c r="W48" s="360"/>
      <c r="X48" s="360"/>
      <c r="Y48" s="360"/>
      <c r="Z48" s="360"/>
      <c r="AA48" s="360"/>
      <c r="AB48" s="339"/>
      <c r="AC48" s="338"/>
      <c r="AD48" s="445"/>
      <c r="AE48" s="445"/>
      <c r="AF48" s="445"/>
      <c r="AG48" s="445"/>
      <c r="AH48" s="445"/>
      <c r="AI48" s="445"/>
      <c r="AJ48" s="445"/>
      <c r="AK48" s="445"/>
      <c r="AL48" s="445"/>
      <c r="AM48" s="338"/>
      <c r="AN48" s="340"/>
      <c r="AO48" s="340"/>
      <c r="AP48" s="340"/>
      <c r="AQ48" s="340"/>
      <c r="AR48" s="340"/>
      <c r="AS48" s="340"/>
      <c r="AT48" s="340"/>
      <c r="AU48" s="340"/>
      <c r="AV48" s="340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</row>
    <row r="49" spans="2:63" ht="18.95" customHeight="1">
      <c r="B49" s="455"/>
      <c r="C49" s="456"/>
      <c r="D49" s="457"/>
      <c r="E49" s="458"/>
      <c r="F49" s="459"/>
      <c r="G49" s="460"/>
      <c r="H49" s="461"/>
      <c r="I49" s="462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9"/>
      <c r="U49" s="360"/>
      <c r="V49" s="360"/>
      <c r="W49" s="360"/>
      <c r="X49" s="360"/>
      <c r="Y49" s="360"/>
      <c r="Z49" s="360"/>
      <c r="AA49" s="360"/>
      <c r="AB49" s="339"/>
      <c r="AC49" s="338"/>
      <c r="AD49" s="445"/>
      <c r="AE49" s="445"/>
      <c r="AF49" s="445"/>
      <c r="AG49" s="445"/>
      <c r="AH49" s="445"/>
      <c r="AI49" s="445"/>
      <c r="AJ49" s="445"/>
      <c r="AK49" s="445"/>
      <c r="AL49" s="445"/>
      <c r="AM49" s="338"/>
      <c r="AN49" s="340"/>
      <c r="AO49" s="340"/>
      <c r="AP49" s="340"/>
      <c r="AQ49" s="340"/>
      <c r="AR49" s="340"/>
      <c r="AS49" s="340"/>
      <c r="AT49" s="340"/>
      <c r="AU49" s="340"/>
      <c r="AV49" s="340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  <c r="BG49" s="338"/>
      <c r="BH49" s="338"/>
      <c r="BI49" s="338"/>
      <c r="BJ49" s="338"/>
      <c r="BK49" s="338"/>
    </row>
    <row r="50" spans="2:63" ht="18.95" customHeight="1">
      <c r="B50" s="455"/>
      <c r="C50" s="456"/>
      <c r="D50" s="457"/>
      <c r="E50" s="458"/>
      <c r="F50" s="459"/>
      <c r="G50" s="460"/>
      <c r="H50" s="461"/>
      <c r="I50" s="462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9"/>
      <c r="U50" s="360"/>
      <c r="V50" s="360"/>
      <c r="W50" s="360"/>
      <c r="X50" s="360"/>
      <c r="Y50" s="360"/>
      <c r="Z50" s="360"/>
      <c r="AA50" s="360"/>
      <c r="AB50" s="339"/>
      <c r="AC50" s="338"/>
      <c r="AD50" s="445"/>
      <c r="AE50" s="445"/>
      <c r="AF50" s="445"/>
      <c r="AG50" s="445"/>
      <c r="AH50" s="445"/>
      <c r="AI50" s="445"/>
      <c r="AJ50" s="445"/>
      <c r="AK50" s="445"/>
      <c r="AL50" s="445"/>
      <c r="AM50" s="338"/>
      <c r="AN50" s="340"/>
      <c r="AO50" s="340"/>
      <c r="AP50" s="340"/>
      <c r="AQ50" s="340"/>
      <c r="AR50" s="340"/>
      <c r="AS50" s="340"/>
      <c r="AT50" s="340"/>
      <c r="AU50" s="340"/>
      <c r="AV50" s="340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  <c r="BG50" s="338"/>
      <c r="BH50" s="338"/>
      <c r="BI50" s="338"/>
      <c r="BJ50" s="338"/>
      <c r="BK50" s="338"/>
    </row>
    <row r="51" spans="2:63" ht="18.95" customHeight="1">
      <c r="B51" s="455" t="s">
        <v>344</v>
      </c>
      <c r="C51" s="456"/>
      <c r="D51" s="457">
        <v>30</v>
      </c>
      <c r="E51" s="458"/>
      <c r="F51" s="459"/>
      <c r="G51" s="460">
        <v>200.9</v>
      </c>
      <c r="H51" s="461"/>
      <c r="I51" s="462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9"/>
      <c r="U51" s="360"/>
      <c r="V51" s="360"/>
      <c r="W51" s="360"/>
      <c r="X51" s="360"/>
      <c r="Y51" s="360"/>
      <c r="Z51" s="360"/>
      <c r="AA51" s="360"/>
      <c r="AB51" s="339"/>
      <c r="AC51" s="338"/>
      <c r="AD51" s="445"/>
      <c r="AE51" s="445"/>
      <c r="AF51" s="445"/>
      <c r="AG51" s="445"/>
      <c r="AH51" s="445"/>
      <c r="AI51" s="445"/>
      <c r="AJ51" s="445"/>
      <c r="AK51" s="445"/>
      <c r="AL51" s="445"/>
      <c r="AM51" s="338"/>
      <c r="AN51" s="340"/>
      <c r="AO51" s="340"/>
      <c r="AP51" s="340"/>
      <c r="AQ51" s="340"/>
      <c r="AR51" s="340"/>
      <c r="AS51" s="340"/>
      <c r="AT51" s="340"/>
      <c r="AU51" s="340"/>
      <c r="AV51" s="340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</row>
    <row r="52" spans="2:63" ht="18.95" customHeight="1">
      <c r="B52" s="455" t="s">
        <v>344</v>
      </c>
      <c r="C52" s="456"/>
      <c r="D52" s="457">
        <v>50</v>
      </c>
      <c r="E52" s="458"/>
      <c r="F52" s="459"/>
      <c r="G52" s="460">
        <v>216.5</v>
      </c>
      <c r="H52" s="461"/>
      <c r="I52" s="462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9"/>
      <c r="U52" s="360"/>
      <c r="V52" s="392"/>
      <c r="W52" s="392"/>
      <c r="X52" s="392"/>
      <c r="Y52" s="392"/>
      <c r="Z52" s="392"/>
      <c r="AA52" s="392"/>
      <c r="AB52" s="339"/>
      <c r="AC52" s="338"/>
      <c r="AD52" s="445"/>
      <c r="AE52" s="445"/>
      <c r="AF52" s="445"/>
      <c r="AG52" s="445"/>
      <c r="AH52" s="445"/>
      <c r="AI52" s="445"/>
      <c r="AJ52" s="445"/>
      <c r="AK52" s="445"/>
      <c r="AL52" s="445"/>
      <c r="AM52" s="338"/>
      <c r="AN52" s="340"/>
      <c r="AO52" s="340"/>
      <c r="AP52" s="340"/>
      <c r="AQ52" s="340"/>
      <c r="AR52" s="340"/>
      <c r="AS52" s="340"/>
      <c r="AT52" s="340"/>
      <c r="AU52" s="340"/>
      <c r="AV52" s="340"/>
      <c r="AW52" s="338"/>
      <c r="AX52" s="338"/>
      <c r="AY52" s="338"/>
      <c r="AZ52" s="338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</row>
    <row r="53" spans="2:63" ht="18.95" customHeight="1">
      <c r="B53" s="455" t="s">
        <v>344</v>
      </c>
      <c r="C53" s="456"/>
      <c r="D53" s="457">
        <v>70</v>
      </c>
      <c r="E53" s="458"/>
      <c r="F53" s="459"/>
      <c r="G53" s="460">
        <v>226.7</v>
      </c>
      <c r="H53" s="461"/>
      <c r="I53" s="462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9"/>
      <c r="U53" s="360"/>
      <c r="V53" s="392"/>
      <c r="W53" s="392"/>
      <c r="X53" s="392"/>
      <c r="Y53" s="392"/>
      <c r="Z53" s="392"/>
      <c r="AA53" s="392"/>
      <c r="AB53" s="339"/>
      <c r="AC53" s="338"/>
      <c r="AD53" s="445"/>
      <c r="AE53" s="445"/>
      <c r="AF53" s="445"/>
      <c r="AG53" s="445"/>
      <c r="AH53" s="445"/>
      <c r="AI53" s="445"/>
      <c r="AJ53" s="445"/>
      <c r="AK53" s="445"/>
      <c r="AL53" s="445"/>
      <c r="AM53" s="338"/>
      <c r="AN53" s="340"/>
      <c r="AO53" s="340"/>
      <c r="AP53" s="340"/>
      <c r="AQ53" s="340"/>
      <c r="AR53" s="340"/>
      <c r="AS53" s="340"/>
      <c r="AT53" s="340"/>
      <c r="AU53" s="340"/>
      <c r="AV53" s="340"/>
      <c r="AW53" s="338"/>
      <c r="AX53" s="338"/>
      <c r="AY53" s="338"/>
      <c r="AZ53" s="338"/>
      <c r="BA53" s="338"/>
      <c r="BB53" s="338"/>
      <c r="BC53" s="338"/>
      <c r="BD53" s="338"/>
      <c r="BE53" s="338"/>
      <c r="BF53" s="338"/>
      <c r="BG53" s="338"/>
      <c r="BH53" s="338"/>
      <c r="BI53" s="338"/>
      <c r="BJ53" s="338"/>
      <c r="BK53" s="338"/>
    </row>
    <row r="54" spans="2:63" ht="18.95" customHeight="1">
      <c r="B54" s="455" t="s">
        <v>344</v>
      </c>
      <c r="C54" s="456"/>
      <c r="D54" s="464">
        <v>80</v>
      </c>
      <c r="E54" s="465"/>
      <c r="F54" s="456"/>
      <c r="G54" s="466">
        <v>230.8</v>
      </c>
      <c r="H54" s="467"/>
      <c r="I54" s="468"/>
      <c r="U54" s="470"/>
      <c r="V54" s="471"/>
      <c r="W54" s="471"/>
      <c r="X54" s="471"/>
      <c r="Y54" s="471"/>
      <c r="Z54" s="471"/>
      <c r="AA54" s="471"/>
    </row>
    <row r="55" spans="2:63" ht="18.95" customHeight="1">
      <c r="B55" s="455" t="s">
        <v>344</v>
      </c>
      <c r="C55" s="456"/>
      <c r="D55" s="464">
        <v>100</v>
      </c>
      <c r="E55" s="465"/>
      <c r="F55" s="456"/>
      <c r="G55" s="466">
        <v>237.5</v>
      </c>
      <c r="H55" s="467"/>
      <c r="I55" s="468"/>
      <c r="V55" s="474"/>
      <c r="W55" s="474"/>
      <c r="X55" s="474"/>
      <c r="Y55" s="474"/>
      <c r="Z55" s="474"/>
      <c r="AA55" s="474"/>
    </row>
    <row r="56" spans="2:63" ht="18.95" customHeight="1">
      <c r="B56" s="455" t="s">
        <v>345</v>
      </c>
      <c r="C56" s="456"/>
      <c r="D56" s="464">
        <v>10</v>
      </c>
      <c r="E56" s="465"/>
      <c r="F56" s="456"/>
      <c r="G56" s="466">
        <v>122.2</v>
      </c>
      <c r="H56" s="467"/>
      <c r="I56" s="468"/>
      <c r="U56" s="475"/>
      <c r="V56" s="474"/>
      <c r="W56" s="474"/>
      <c r="X56" s="474"/>
      <c r="Y56" s="474"/>
      <c r="Z56" s="474"/>
      <c r="AA56" s="474"/>
    </row>
    <row r="57" spans="2:63" ht="18.95" customHeight="1">
      <c r="B57" s="455" t="s">
        <v>345</v>
      </c>
      <c r="C57" s="456"/>
      <c r="D57" s="464">
        <v>20</v>
      </c>
      <c r="E57" s="465"/>
      <c r="F57" s="456"/>
      <c r="G57" s="466">
        <v>135.30000000000001</v>
      </c>
      <c r="H57" s="467"/>
      <c r="I57" s="468"/>
      <c r="V57" s="474"/>
      <c r="W57" s="474"/>
      <c r="X57" s="474"/>
      <c r="Y57" s="474"/>
      <c r="Z57" s="474"/>
      <c r="AA57" s="474"/>
    </row>
    <row r="58" spans="2:63" ht="18.95" customHeight="1">
      <c r="B58" s="455" t="s">
        <v>345</v>
      </c>
      <c r="C58" s="456"/>
      <c r="D58" s="464">
        <v>30</v>
      </c>
      <c r="E58" s="465"/>
      <c r="F58" s="456"/>
      <c r="G58" s="466">
        <v>142.9</v>
      </c>
      <c r="H58" s="467"/>
      <c r="I58" s="468"/>
      <c r="U58" s="475"/>
      <c r="V58" s="476"/>
      <c r="W58" s="477"/>
      <c r="Y58" s="475"/>
      <c r="Z58" s="474"/>
    </row>
    <row r="59" spans="2:63" ht="18.95" customHeight="1">
      <c r="B59" s="455" t="s">
        <v>345</v>
      </c>
      <c r="C59" s="456"/>
      <c r="D59" s="464">
        <v>50</v>
      </c>
      <c r="E59" s="465"/>
      <c r="F59" s="456"/>
      <c r="G59" s="466">
        <v>152.30000000000001</v>
      </c>
      <c r="H59" s="467"/>
      <c r="I59" s="468"/>
      <c r="U59" s="475"/>
      <c r="V59" s="476"/>
      <c r="W59" s="477"/>
      <c r="Y59" s="475"/>
      <c r="Z59" s="474"/>
    </row>
    <row r="60" spans="2:63" ht="18.95" customHeight="1">
      <c r="B60" s="455" t="s">
        <v>345</v>
      </c>
      <c r="C60" s="456"/>
      <c r="D60" s="464">
        <v>70</v>
      </c>
      <c r="E60" s="465"/>
      <c r="F60" s="456"/>
      <c r="G60" s="466">
        <v>158.5</v>
      </c>
      <c r="H60" s="467"/>
      <c r="I60" s="468"/>
      <c r="V60" s="476"/>
      <c r="W60" s="477"/>
      <c r="Y60" s="475"/>
      <c r="Z60" s="474"/>
    </row>
    <row r="61" spans="2:63" ht="18.95" customHeight="1">
      <c r="B61" s="455" t="s">
        <v>345</v>
      </c>
      <c r="C61" s="456"/>
      <c r="D61" s="464">
        <v>80</v>
      </c>
      <c r="E61" s="465"/>
      <c r="F61" s="456"/>
      <c r="G61" s="466">
        <v>160.9</v>
      </c>
      <c r="H61" s="467"/>
      <c r="I61" s="468"/>
      <c r="U61" s="474"/>
      <c r="Y61" s="478"/>
    </row>
    <row r="62" spans="2:63" ht="18.95" customHeight="1">
      <c r="B62" s="455" t="s">
        <v>345</v>
      </c>
      <c r="C62" s="456"/>
      <c r="D62" s="464">
        <v>100</v>
      </c>
      <c r="E62" s="465"/>
      <c r="F62" s="456"/>
      <c r="G62" s="466">
        <v>165</v>
      </c>
      <c r="H62" s="467"/>
      <c r="I62" s="468"/>
      <c r="U62" s="474"/>
      <c r="Y62" s="478"/>
    </row>
    <row r="63" spans="2:63" ht="18.95" customHeight="1">
      <c r="B63" s="455" t="s">
        <v>346</v>
      </c>
      <c r="C63" s="456"/>
      <c r="D63" s="464">
        <v>10</v>
      </c>
      <c r="E63" s="465"/>
      <c r="F63" s="456"/>
      <c r="G63" s="466">
        <v>217.1</v>
      </c>
      <c r="H63" s="467"/>
      <c r="I63" s="468"/>
      <c r="Y63" s="478"/>
    </row>
    <row r="64" spans="2:63" ht="18.95" customHeight="1">
      <c r="B64" s="455" t="s">
        <v>346</v>
      </c>
      <c r="C64" s="456"/>
      <c r="D64" s="464">
        <v>20</v>
      </c>
      <c r="E64" s="465"/>
      <c r="F64" s="456"/>
      <c r="G64" s="466">
        <v>254</v>
      </c>
      <c r="H64" s="467"/>
      <c r="I64" s="468"/>
      <c r="U64" s="474"/>
      <c r="Y64" s="478"/>
    </row>
    <row r="65" spans="2:27" ht="18.95" customHeight="1">
      <c r="B65" s="455" t="s">
        <v>346</v>
      </c>
      <c r="C65" s="456"/>
      <c r="D65" s="464">
        <v>30</v>
      </c>
      <c r="E65" s="465"/>
      <c r="F65" s="456"/>
      <c r="G65" s="466">
        <v>275.2</v>
      </c>
      <c r="H65" s="467"/>
      <c r="I65" s="468"/>
      <c r="U65" s="474"/>
      <c r="Y65" s="478"/>
    </row>
    <row r="66" spans="2:27" ht="18.95" customHeight="1">
      <c r="B66" s="455" t="s">
        <v>346</v>
      </c>
      <c r="C66" s="456"/>
      <c r="D66" s="464">
        <v>50</v>
      </c>
      <c r="E66" s="465"/>
      <c r="F66" s="456"/>
      <c r="G66" s="466">
        <v>301.7</v>
      </c>
      <c r="H66" s="467"/>
      <c r="I66" s="468"/>
      <c r="Y66" s="478"/>
    </row>
    <row r="67" spans="2:27" ht="18.95" customHeight="1">
      <c r="B67" s="455" t="s">
        <v>346</v>
      </c>
      <c r="C67" s="456"/>
      <c r="D67" s="464">
        <v>70</v>
      </c>
      <c r="E67" s="465"/>
      <c r="F67" s="456"/>
      <c r="G67" s="466">
        <v>319.10000000000002</v>
      </c>
      <c r="H67" s="467"/>
      <c r="I67" s="468"/>
      <c r="U67" s="474"/>
      <c r="Y67" s="478"/>
    </row>
    <row r="68" spans="2:27" ht="18.95" customHeight="1">
      <c r="B68" s="455" t="s">
        <v>346</v>
      </c>
      <c r="C68" s="456"/>
      <c r="D68" s="464">
        <v>80</v>
      </c>
      <c r="E68" s="465"/>
      <c r="F68" s="456"/>
      <c r="G68" s="466">
        <v>326</v>
      </c>
      <c r="H68" s="467"/>
      <c r="I68" s="468"/>
      <c r="U68" s="474"/>
      <c r="Y68" s="478"/>
    </row>
    <row r="69" spans="2:27" ht="18.95" customHeight="1">
      <c r="B69" s="455" t="s">
        <v>346</v>
      </c>
      <c r="C69" s="456"/>
      <c r="D69" s="464">
        <v>100</v>
      </c>
      <c r="E69" s="465"/>
      <c r="F69" s="456"/>
      <c r="G69" s="466">
        <v>337.5</v>
      </c>
      <c r="H69" s="467"/>
      <c r="I69" s="468"/>
      <c r="Y69" s="478"/>
    </row>
    <row r="70" spans="2:27" ht="18.95" customHeight="1">
      <c r="B70" s="455" t="s">
        <v>347</v>
      </c>
      <c r="C70" s="456"/>
      <c r="D70" s="464">
        <v>10</v>
      </c>
      <c r="E70" s="465"/>
      <c r="F70" s="456"/>
      <c r="G70" s="466">
        <v>170.1</v>
      </c>
      <c r="H70" s="467"/>
      <c r="I70" s="468"/>
      <c r="U70" s="474"/>
      <c r="Y70" s="478"/>
    </row>
    <row r="71" spans="2:27" ht="18.95" customHeight="1">
      <c r="B71" s="455" t="s">
        <v>347</v>
      </c>
      <c r="C71" s="456"/>
      <c r="D71" s="464">
        <v>20</v>
      </c>
      <c r="E71" s="465"/>
      <c r="F71" s="456"/>
      <c r="G71" s="466">
        <v>196.1</v>
      </c>
      <c r="H71" s="467"/>
      <c r="I71" s="468"/>
      <c r="U71" s="474"/>
      <c r="Y71" s="478"/>
    </row>
    <row r="72" spans="2:27" ht="18.95" customHeight="1">
      <c r="B72" s="455" t="s">
        <v>347</v>
      </c>
      <c r="C72" s="456"/>
      <c r="D72" s="464">
        <v>30</v>
      </c>
      <c r="E72" s="465"/>
      <c r="F72" s="456"/>
      <c r="G72" s="466">
        <v>211</v>
      </c>
      <c r="H72" s="467"/>
      <c r="I72" s="468"/>
      <c r="U72" s="474"/>
      <c r="Y72" s="478"/>
    </row>
    <row r="73" spans="2:27" ht="18.95" customHeight="1">
      <c r="B73" s="455" t="s">
        <v>347</v>
      </c>
      <c r="C73" s="456"/>
      <c r="D73" s="464">
        <v>50</v>
      </c>
      <c r="E73" s="465"/>
      <c r="F73" s="456"/>
      <c r="G73" s="466">
        <v>229.8</v>
      </c>
      <c r="H73" s="467"/>
      <c r="I73" s="468"/>
      <c r="U73" s="474"/>
      <c r="Y73" s="478"/>
    </row>
    <row r="74" spans="2:27" ht="18.95" customHeight="1">
      <c r="B74" s="455" t="s">
        <v>347</v>
      </c>
      <c r="C74" s="456"/>
      <c r="D74" s="464">
        <v>70</v>
      </c>
      <c r="E74" s="465"/>
      <c r="F74" s="456"/>
      <c r="G74" s="466">
        <v>242</v>
      </c>
      <c r="H74" s="467"/>
      <c r="I74" s="468"/>
    </row>
    <row r="75" spans="2:27" ht="18.95" customHeight="1">
      <c r="B75" s="455" t="s">
        <v>347</v>
      </c>
      <c r="C75" s="456"/>
      <c r="D75" s="464">
        <v>80</v>
      </c>
      <c r="E75" s="465"/>
      <c r="F75" s="456"/>
      <c r="G75" s="466">
        <v>246.9</v>
      </c>
      <c r="H75" s="467"/>
      <c r="I75" s="468"/>
      <c r="U75" s="474"/>
      <c r="X75" s="479"/>
      <c r="Y75" s="480"/>
      <c r="Z75" s="480"/>
    </row>
    <row r="76" spans="2:27" ht="18.95" customHeight="1">
      <c r="B76" s="455" t="s">
        <v>347</v>
      </c>
      <c r="C76" s="456"/>
      <c r="D76" s="464">
        <v>100</v>
      </c>
      <c r="E76" s="465"/>
      <c r="F76" s="456"/>
      <c r="G76" s="466">
        <v>255</v>
      </c>
      <c r="H76" s="467"/>
      <c r="I76" s="468"/>
      <c r="U76" s="475"/>
      <c r="X76" s="470"/>
    </row>
    <row r="77" spans="2:27" ht="18.95" customHeight="1">
      <c r="B77" s="455" t="s">
        <v>348</v>
      </c>
      <c r="C77" s="456"/>
      <c r="D77" s="464">
        <v>10</v>
      </c>
      <c r="E77" s="465"/>
      <c r="F77" s="456"/>
      <c r="G77" s="466">
        <v>233.5</v>
      </c>
      <c r="H77" s="467"/>
      <c r="I77" s="468"/>
    </row>
    <row r="78" spans="2:27" ht="18.95" customHeight="1">
      <c r="B78" s="455" t="s">
        <v>348</v>
      </c>
      <c r="C78" s="456"/>
      <c r="D78" s="464">
        <v>20</v>
      </c>
      <c r="E78" s="465"/>
      <c r="F78" s="456"/>
      <c r="G78" s="466">
        <v>273.89999999999998</v>
      </c>
      <c r="H78" s="467"/>
      <c r="I78" s="468"/>
      <c r="Y78" s="481"/>
      <c r="Z78" s="480"/>
      <c r="AA78" s="480"/>
    </row>
    <row r="79" spans="2:27" ht="18.95" customHeight="1">
      <c r="B79" s="455" t="s">
        <v>348</v>
      </c>
      <c r="C79" s="456"/>
      <c r="D79" s="464">
        <v>30</v>
      </c>
      <c r="E79" s="465"/>
      <c r="F79" s="456"/>
      <c r="G79" s="466">
        <v>297.2</v>
      </c>
      <c r="H79" s="467"/>
      <c r="I79" s="468"/>
      <c r="Y79" s="481"/>
      <c r="Z79" s="480"/>
      <c r="AA79" s="480"/>
    </row>
    <row r="80" spans="2:27" ht="18.95" customHeight="1">
      <c r="B80" s="455" t="s">
        <v>348</v>
      </c>
      <c r="C80" s="456"/>
      <c r="D80" s="464">
        <v>50</v>
      </c>
      <c r="E80" s="465"/>
      <c r="F80" s="456"/>
      <c r="G80" s="466">
        <v>326.3</v>
      </c>
      <c r="H80" s="467"/>
      <c r="I80" s="468"/>
    </row>
    <row r="81" spans="2:9" ht="18.95" customHeight="1">
      <c r="B81" s="455" t="s">
        <v>348</v>
      </c>
      <c r="C81" s="456"/>
      <c r="D81" s="464">
        <v>70</v>
      </c>
      <c r="E81" s="465"/>
      <c r="F81" s="456"/>
      <c r="G81" s="466">
        <v>345.3</v>
      </c>
      <c r="H81" s="467"/>
      <c r="I81" s="468"/>
    </row>
    <row r="82" spans="2:9" ht="18.95" customHeight="1">
      <c r="B82" s="455" t="s">
        <v>348</v>
      </c>
      <c r="C82" s="456"/>
      <c r="D82" s="464">
        <v>80</v>
      </c>
      <c r="E82" s="465"/>
      <c r="F82" s="456"/>
      <c r="G82" s="466">
        <v>352.9</v>
      </c>
      <c r="H82" s="467"/>
      <c r="I82" s="468"/>
    </row>
    <row r="83" spans="2:9" ht="18.95" customHeight="1">
      <c r="B83" s="455" t="s">
        <v>348</v>
      </c>
      <c r="C83" s="456"/>
      <c r="D83" s="464">
        <v>100</v>
      </c>
      <c r="E83" s="465"/>
      <c r="F83" s="456"/>
      <c r="G83" s="466">
        <v>365.5</v>
      </c>
      <c r="H83" s="467"/>
      <c r="I83" s="468"/>
    </row>
    <row r="84" spans="2:9" ht="18.95" customHeight="1">
      <c r="B84" s="455" t="s">
        <v>349</v>
      </c>
      <c r="C84" s="456"/>
      <c r="D84" s="464">
        <v>10</v>
      </c>
      <c r="E84" s="465"/>
      <c r="F84" s="456"/>
      <c r="G84" s="466">
        <v>213.4</v>
      </c>
      <c r="H84" s="467"/>
      <c r="I84" s="468"/>
    </row>
    <row r="85" spans="2:9" ht="18.95" customHeight="1">
      <c r="B85" s="455" t="s">
        <v>349</v>
      </c>
      <c r="C85" s="456"/>
      <c r="D85" s="464">
        <v>20</v>
      </c>
      <c r="E85" s="465"/>
      <c r="F85" s="456"/>
      <c r="G85" s="466">
        <v>245.8</v>
      </c>
      <c r="H85" s="467"/>
      <c r="I85" s="468"/>
    </row>
    <row r="86" spans="2:9" ht="18.95" customHeight="1">
      <c r="B86" s="455" t="s">
        <v>349</v>
      </c>
      <c r="C86" s="456"/>
      <c r="D86" s="464">
        <v>30</v>
      </c>
      <c r="E86" s="465"/>
      <c r="F86" s="456"/>
      <c r="G86" s="466">
        <v>264.39999999999998</v>
      </c>
      <c r="H86" s="467"/>
      <c r="I86" s="468"/>
    </row>
    <row r="87" spans="2:9" ht="18.95" customHeight="1">
      <c r="B87" s="455" t="s">
        <v>349</v>
      </c>
      <c r="C87" s="456"/>
      <c r="D87" s="464">
        <v>50</v>
      </c>
      <c r="E87" s="465"/>
      <c r="F87" s="456"/>
      <c r="G87" s="466">
        <v>287.7</v>
      </c>
      <c r="H87" s="467"/>
      <c r="I87" s="468"/>
    </row>
    <row r="88" spans="2:9" ht="18.95" customHeight="1">
      <c r="B88" s="455" t="s">
        <v>349</v>
      </c>
      <c r="C88" s="456"/>
      <c r="D88" s="464">
        <v>70</v>
      </c>
      <c r="E88" s="465"/>
      <c r="F88" s="456"/>
      <c r="G88" s="466">
        <v>302.89999999999998</v>
      </c>
      <c r="H88" s="467"/>
      <c r="I88" s="468"/>
    </row>
    <row r="89" spans="2:9" ht="18.95" customHeight="1">
      <c r="B89" s="455" t="s">
        <v>349</v>
      </c>
      <c r="C89" s="456"/>
      <c r="D89" s="464">
        <v>80</v>
      </c>
      <c r="E89" s="465"/>
      <c r="F89" s="456"/>
      <c r="G89" s="466">
        <v>309</v>
      </c>
      <c r="H89" s="467"/>
      <c r="I89" s="468"/>
    </row>
    <row r="90" spans="2:9" ht="18.95" customHeight="1">
      <c r="B90" s="455" t="s">
        <v>349</v>
      </c>
      <c r="C90" s="456"/>
      <c r="D90" s="464">
        <v>100</v>
      </c>
      <c r="E90" s="465"/>
      <c r="F90" s="456"/>
      <c r="G90" s="466">
        <v>319.10000000000002</v>
      </c>
      <c r="H90" s="467"/>
      <c r="I90" s="468"/>
    </row>
    <row r="91" spans="2:9" ht="18.95" customHeight="1">
      <c r="B91" s="455" t="s">
        <v>350</v>
      </c>
      <c r="C91" s="456"/>
      <c r="D91" s="464">
        <v>10</v>
      </c>
      <c r="E91" s="465"/>
      <c r="F91" s="456"/>
      <c r="G91" s="466">
        <v>154.5</v>
      </c>
      <c r="H91" s="467"/>
      <c r="I91" s="468"/>
    </row>
    <row r="92" spans="2:9" ht="18.95" customHeight="1">
      <c r="B92" s="455" t="s">
        <v>350</v>
      </c>
      <c r="C92" s="456"/>
      <c r="D92" s="464">
        <v>20</v>
      </c>
      <c r="E92" s="465"/>
      <c r="F92" s="456"/>
      <c r="G92" s="466">
        <v>173.6</v>
      </c>
      <c r="H92" s="467"/>
      <c r="I92" s="468"/>
    </row>
    <row r="93" spans="2:9" ht="18.95" customHeight="1">
      <c r="B93" s="455" t="s">
        <v>350</v>
      </c>
      <c r="C93" s="456"/>
      <c r="D93" s="464">
        <v>30</v>
      </c>
      <c r="E93" s="465"/>
      <c r="F93" s="456"/>
      <c r="G93" s="466">
        <v>184.6</v>
      </c>
      <c r="H93" s="467"/>
      <c r="I93" s="468"/>
    </row>
    <row r="94" spans="2:9" ht="18.95" customHeight="1">
      <c r="B94" s="455" t="s">
        <v>350</v>
      </c>
      <c r="C94" s="456"/>
      <c r="D94" s="464">
        <v>50</v>
      </c>
      <c r="E94" s="465"/>
      <c r="F94" s="456"/>
      <c r="G94" s="466">
        <v>198.3</v>
      </c>
      <c r="H94" s="467"/>
      <c r="I94" s="468"/>
    </row>
    <row r="95" spans="2:9" ht="18.95" customHeight="1">
      <c r="B95" s="455" t="s">
        <v>350</v>
      </c>
      <c r="C95" s="456"/>
      <c r="D95" s="464">
        <v>70</v>
      </c>
      <c r="E95" s="465"/>
      <c r="F95" s="456"/>
      <c r="G95" s="466">
        <v>207.3</v>
      </c>
      <c r="H95" s="467"/>
      <c r="I95" s="468"/>
    </row>
    <row r="96" spans="2:9" ht="18.95" customHeight="1">
      <c r="B96" s="455" t="s">
        <v>350</v>
      </c>
      <c r="C96" s="456"/>
      <c r="D96" s="464">
        <v>80</v>
      </c>
      <c r="E96" s="465"/>
      <c r="F96" s="456"/>
      <c r="G96" s="466">
        <v>210.9</v>
      </c>
      <c r="H96" s="467"/>
      <c r="I96" s="468"/>
    </row>
    <row r="97" spans="2:9" ht="18.95" customHeight="1">
      <c r="B97" s="455" t="s">
        <v>350</v>
      </c>
      <c r="C97" s="456"/>
      <c r="D97" s="464">
        <v>100</v>
      </c>
      <c r="E97" s="465"/>
      <c r="F97" s="456"/>
      <c r="G97" s="466">
        <v>216.8</v>
      </c>
      <c r="H97" s="467"/>
      <c r="I97" s="468"/>
    </row>
    <row r="98" spans="2:9" ht="18.95" customHeight="1">
      <c r="B98" s="455" t="s">
        <v>351</v>
      </c>
      <c r="C98" s="456"/>
      <c r="D98" s="464">
        <v>10</v>
      </c>
      <c r="E98" s="465"/>
      <c r="F98" s="456"/>
      <c r="G98" s="466">
        <v>172.2</v>
      </c>
      <c r="H98" s="467"/>
      <c r="I98" s="468"/>
    </row>
    <row r="99" spans="2:9" ht="18.95" customHeight="1">
      <c r="B99" s="455" t="s">
        <v>351</v>
      </c>
      <c r="C99" s="456"/>
      <c r="D99" s="464">
        <v>20</v>
      </c>
      <c r="E99" s="465"/>
      <c r="F99" s="456"/>
      <c r="G99" s="466">
        <v>197.2</v>
      </c>
      <c r="H99" s="467"/>
      <c r="I99" s="468"/>
    </row>
    <row r="100" spans="2:9" ht="18.95" customHeight="1">
      <c r="B100" s="455" t="s">
        <v>351</v>
      </c>
      <c r="C100" s="456"/>
      <c r="D100" s="464">
        <v>30</v>
      </c>
      <c r="E100" s="465"/>
      <c r="F100" s="456"/>
      <c r="G100" s="466">
        <v>211.6</v>
      </c>
      <c r="H100" s="467"/>
      <c r="I100" s="468"/>
    </row>
    <row r="101" spans="2:9" ht="18.95" customHeight="1">
      <c r="B101" s="455" t="s">
        <v>351</v>
      </c>
      <c r="C101" s="456"/>
      <c r="D101" s="464">
        <v>50</v>
      </c>
      <c r="E101" s="465"/>
      <c r="F101" s="456"/>
      <c r="G101" s="466">
        <v>229.6</v>
      </c>
      <c r="H101" s="467"/>
      <c r="I101" s="468"/>
    </row>
    <row r="102" spans="2:9" ht="18.95" customHeight="1">
      <c r="B102" s="455" t="s">
        <v>351</v>
      </c>
      <c r="C102" s="456"/>
      <c r="D102" s="464">
        <v>70</v>
      </c>
      <c r="E102" s="465"/>
      <c r="F102" s="456"/>
      <c r="G102" s="466">
        <v>241.4</v>
      </c>
      <c r="H102" s="467"/>
      <c r="I102" s="468"/>
    </row>
    <row r="103" spans="2:9" ht="18.95" customHeight="1">
      <c r="B103" s="455" t="s">
        <v>351</v>
      </c>
      <c r="C103" s="456"/>
      <c r="D103" s="464">
        <v>80</v>
      </c>
      <c r="E103" s="465"/>
      <c r="F103" s="456"/>
      <c r="G103" s="466">
        <v>246.1</v>
      </c>
      <c r="H103" s="467"/>
      <c r="I103" s="468"/>
    </row>
    <row r="104" spans="2:9" ht="18.95" customHeight="1">
      <c r="B104" s="455" t="s">
        <v>351</v>
      </c>
      <c r="C104" s="456"/>
      <c r="D104" s="464">
        <v>100</v>
      </c>
      <c r="E104" s="465"/>
      <c r="F104" s="456"/>
      <c r="G104" s="466">
        <v>253.9</v>
      </c>
      <c r="H104" s="467"/>
      <c r="I104" s="468"/>
    </row>
    <row r="105" spans="2:9" ht="18.95" customHeight="1">
      <c r="B105" s="455" t="s">
        <v>352</v>
      </c>
      <c r="C105" s="456"/>
      <c r="D105" s="464">
        <v>10</v>
      </c>
      <c r="E105" s="465"/>
      <c r="F105" s="456"/>
      <c r="G105" s="466">
        <v>149.19999999999999</v>
      </c>
      <c r="H105" s="467"/>
      <c r="I105" s="468"/>
    </row>
    <row r="106" spans="2:9" ht="18.95" customHeight="1">
      <c r="B106" s="455" t="s">
        <v>352</v>
      </c>
      <c r="C106" s="456"/>
      <c r="D106" s="464">
        <v>20</v>
      </c>
      <c r="E106" s="465"/>
      <c r="F106" s="456"/>
      <c r="G106" s="466">
        <v>168.1</v>
      </c>
      <c r="H106" s="467"/>
      <c r="I106" s="468"/>
    </row>
    <row r="107" spans="2:9" ht="18.95" customHeight="1">
      <c r="B107" s="455" t="s">
        <v>352</v>
      </c>
      <c r="C107" s="456"/>
      <c r="D107" s="464">
        <v>30</v>
      </c>
      <c r="E107" s="465"/>
      <c r="F107" s="456"/>
      <c r="G107" s="466">
        <v>179.1</v>
      </c>
      <c r="H107" s="467"/>
      <c r="I107" s="468"/>
    </row>
    <row r="108" spans="2:9" ht="18.95" customHeight="1">
      <c r="B108" s="455" t="s">
        <v>352</v>
      </c>
      <c r="C108" s="456"/>
      <c r="D108" s="464">
        <v>50</v>
      </c>
      <c r="E108" s="465"/>
      <c r="F108" s="456"/>
      <c r="G108" s="466">
        <v>192.7</v>
      </c>
      <c r="H108" s="467"/>
      <c r="I108" s="468"/>
    </row>
    <row r="109" spans="2:9" ht="18.95" customHeight="1">
      <c r="B109" s="455" t="s">
        <v>352</v>
      </c>
      <c r="C109" s="456"/>
      <c r="D109" s="464">
        <v>70</v>
      </c>
      <c r="E109" s="465"/>
      <c r="F109" s="456"/>
      <c r="G109" s="466">
        <v>201.6</v>
      </c>
      <c r="H109" s="467"/>
      <c r="I109" s="468"/>
    </row>
    <row r="110" spans="2:9" ht="18.95" customHeight="1">
      <c r="B110" s="455" t="s">
        <v>352</v>
      </c>
      <c r="C110" s="456"/>
      <c r="D110" s="464">
        <v>80</v>
      </c>
      <c r="E110" s="465"/>
      <c r="F110" s="456"/>
      <c r="G110" s="466">
        <v>205.2</v>
      </c>
      <c r="H110" s="467"/>
      <c r="I110" s="468"/>
    </row>
    <row r="111" spans="2:9" ht="18.95" customHeight="1">
      <c r="B111" s="455" t="s">
        <v>352</v>
      </c>
      <c r="C111" s="456"/>
      <c r="D111" s="464">
        <v>100</v>
      </c>
      <c r="E111" s="465"/>
      <c r="F111" s="456"/>
      <c r="G111" s="466">
        <v>211.1</v>
      </c>
      <c r="H111" s="467"/>
      <c r="I111" s="468"/>
    </row>
    <row r="112" spans="2:9" ht="18.95" customHeight="1">
      <c r="B112" s="455" t="s">
        <v>353</v>
      </c>
      <c r="C112" s="456"/>
      <c r="D112" s="464">
        <v>10</v>
      </c>
      <c r="E112" s="465"/>
      <c r="F112" s="456"/>
      <c r="G112" s="466">
        <v>147.4</v>
      </c>
      <c r="H112" s="467"/>
      <c r="I112" s="468"/>
    </row>
    <row r="113" spans="2:9" ht="18.95" customHeight="1">
      <c r="B113" s="455" t="s">
        <v>353</v>
      </c>
      <c r="C113" s="456"/>
      <c r="D113" s="464">
        <v>20</v>
      </c>
      <c r="E113" s="465"/>
      <c r="F113" s="456"/>
      <c r="G113" s="466">
        <v>164.7</v>
      </c>
      <c r="H113" s="467"/>
      <c r="I113" s="468"/>
    </row>
    <row r="114" spans="2:9" ht="18.95" customHeight="1">
      <c r="B114" s="455" t="s">
        <v>353</v>
      </c>
      <c r="C114" s="456"/>
      <c r="D114" s="464">
        <v>30</v>
      </c>
      <c r="E114" s="465"/>
      <c r="F114" s="456"/>
      <c r="G114" s="466">
        <v>174.6</v>
      </c>
      <c r="H114" s="467"/>
      <c r="I114" s="468"/>
    </row>
    <row r="115" spans="2:9" ht="18.95" customHeight="1">
      <c r="B115" s="455" t="s">
        <v>353</v>
      </c>
      <c r="C115" s="456"/>
      <c r="D115" s="464">
        <v>50</v>
      </c>
      <c r="E115" s="465"/>
      <c r="F115" s="456"/>
      <c r="G115" s="466">
        <v>187</v>
      </c>
      <c r="H115" s="467"/>
      <c r="I115" s="468"/>
    </row>
    <row r="116" spans="2:9" ht="18.95" customHeight="1">
      <c r="B116" s="455" t="s">
        <v>353</v>
      </c>
      <c r="C116" s="456"/>
      <c r="D116" s="464">
        <v>70</v>
      </c>
      <c r="E116" s="465"/>
      <c r="F116" s="456"/>
      <c r="G116" s="466">
        <v>195.2</v>
      </c>
      <c r="H116" s="467"/>
      <c r="I116" s="468"/>
    </row>
    <row r="117" spans="2:9" ht="18.95" customHeight="1">
      <c r="B117" s="455" t="s">
        <v>353</v>
      </c>
      <c r="C117" s="456"/>
      <c r="D117" s="464">
        <v>80</v>
      </c>
      <c r="E117" s="465"/>
      <c r="F117" s="456"/>
      <c r="G117" s="466">
        <v>198.4</v>
      </c>
      <c r="H117" s="467"/>
      <c r="I117" s="468"/>
    </row>
    <row r="118" spans="2:9" ht="18.95" customHeight="1">
      <c r="B118" s="455" t="s">
        <v>353</v>
      </c>
      <c r="C118" s="456"/>
      <c r="D118" s="464">
        <v>100</v>
      </c>
      <c r="E118" s="465"/>
      <c r="F118" s="456"/>
      <c r="G118" s="466">
        <v>203.8</v>
      </c>
      <c r="H118" s="467"/>
      <c r="I118" s="468"/>
    </row>
    <row r="119" spans="2:9" ht="18.95" customHeight="1">
      <c r="B119" s="455" t="s">
        <v>354</v>
      </c>
      <c r="C119" s="456"/>
      <c r="D119" s="464">
        <v>10</v>
      </c>
      <c r="E119" s="465"/>
      <c r="F119" s="456"/>
      <c r="G119" s="466">
        <v>168.1</v>
      </c>
      <c r="H119" s="467"/>
      <c r="I119" s="468"/>
    </row>
    <row r="120" spans="2:9" ht="18.95" customHeight="1">
      <c r="B120" s="455" t="s">
        <v>354</v>
      </c>
      <c r="C120" s="456"/>
      <c r="D120" s="464">
        <v>20</v>
      </c>
      <c r="E120" s="465"/>
      <c r="F120" s="456"/>
      <c r="G120" s="466">
        <v>188.2</v>
      </c>
      <c r="H120" s="467"/>
      <c r="I120" s="468"/>
    </row>
    <row r="121" spans="2:9" ht="18.95" customHeight="1">
      <c r="B121" s="455" t="s">
        <v>354</v>
      </c>
      <c r="C121" s="456"/>
      <c r="D121" s="464">
        <v>30</v>
      </c>
      <c r="E121" s="465"/>
      <c r="F121" s="456"/>
      <c r="G121" s="466">
        <v>199.7</v>
      </c>
      <c r="H121" s="467"/>
      <c r="I121" s="468"/>
    </row>
    <row r="122" spans="2:9" ht="18.95" customHeight="1">
      <c r="B122" s="455" t="s">
        <v>354</v>
      </c>
      <c r="C122" s="456"/>
      <c r="D122" s="464">
        <v>50</v>
      </c>
      <c r="E122" s="465"/>
      <c r="F122" s="456"/>
      <c r="G122" s="466">
        <v>214.2</v>
      </c>
      <c r="H122" s="467"/>
      <c r="I122" s="468"/>
    </row>
    <row r="123" spans="2:9" ht="18.95" customHeight="1">
      <c r="B123" s="455" t="s">
        <v>354</v>
      </c>
      <c r="C123" s="456"/>
      <c r="D123" s="464">
        <v>70</v>
      </c>
      <c r="E123" s="465"/>
      <c r="F123" s="456"/>
      <c r="G123" s="466">
        <v>223.6</v>
      </c>
      <c r="H123" s="467"/>
      <c r="I123" s="468"/>
    </row>
    <row r="124" spans="2:9" ht="18.95" customHeight="1">
      <c r="B124" s="455" t="s">
        <v>354</v>
      </c>
      <c r="C124" s="456"/>
      <c r="D124" s="464">
        <v>80</v>
      </c>
      <c r="E124" s="465"/>
      <c r="F124" s="456"/>
      <c r="G124" s="466">
        <v>227.4</v>
      </c>
      <c r="H124" s="467"/>
      <c r="I124" s="468"/>
    </row>
    <row r="125" spans="2:9" ht="18.95" customHeight="1">
      <c r="B125" s="455" t="s">
        <v>354</v>
      </c>
      <c r="C125" s="456"/>
      <c r="D125" s="464">
        <v>100</v>
      </c>
      <c r="E125" s="465"/>
      <c r="F125" s="456"/>
      <c r="G125" s="466">
        <v>233.6</v>
      </c>
      <c r="H125" s="467"/>
      <c r="I125" s="468"/>
    </row>
    <row r="126" spans="2:9" ht="18.95" customHeight="1"/>
    <row r="127" spans="2:9" ht="18.95" customHeight="1"/>
  </sheetData>
  <mergeCells count="15">
    <mergeCell ref="AF25:AJ25"/>
    <mergeCell ref="AP25:AT25"/>
    <mergeCell ref="J31:K31"/>
    <mergeCell ref="AD1:AL1"/>
    <mergeCell ref="AD2:AL2"/>
    <mergeCell ref="O4:S4"/>
    <mergeCell ref="U5:V5"/>
    <mergeCell ref="AD6:AE6"/>
    <mergeCell ref="AN6:AO6"/>
    <mergeCell ref="D41:F41"/>
    <mergeCell ref="G41:I41"/>
    <mergeCell ref="U43:V43"/>
    <mergeCell ref="W9:W11"/>
    <mergeCell ref="X10:X11"/>
    <mergeCell ref="J11:K11"/>
  </mergeCells>
  <phoneticPr fontId="4" type="noConversion"/>
  <dataValidations count="2">
    <dataValidation type="list" allowBlank="1" showInputMessage="1" showErrorMessage="1" sqref="O32:O33">
      <formula1>"울진,추풍령,안동,포항,대구,춘양,영주,문경,영덕,의성,구미,영천, "</formula1>
    </dataValidation>
    <dataValidation type="list" allowBlank="1" showInputMessage="1" showErrorMessage="1" sqref="P32:P33">
      <formula1>"10,20,30,50,70,80,100"</formula1>
    </dataValidation>
  </dataValidations>
  <pageMargins left="1.06" right="0.38" top="0.5" bottom="0.34" header="0.26" footer="0.2"/>
  <pageSetup paperSize="9" scale="75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7" shapeId="56321" r:id="rId4">
          <objectPr defaultSize="0" autoPict="0" r:id="rId5">
            <anchor moveWithCells="1">
              <from>
                <xdr:col>0</xdr:col>
                <xdr:colOff>133350</xdr:colOff>
                <xdr:row>0</xdr:row>
                <xdr:rowOff>47625</xdr:rowOff>
              </from>
              <to>
                <xdr:col>0</xdr:col>
                <xdr:colOff>228600</xdr:colOff>
                <xdr:row>0</xdr:row>
                <xdr:rowOff>57150</xdr:rowOff>
              </to>
            </anchor>
          </objectPr>
        </oleObject>
      </mc:Choice>
      <mc:Fallback>
        <oleObject progId="AutoCAD.Drawing.17" shapeId="56321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</sheetPr>
  <dimension ref="A1"/>
  <sheetViews>
    <sheetView workbookViewId="0"/>
  </sheetViews>
  <sheetFormatPr defaultRowHeight="14.25"/>
  <sheetData/>
  <phoneticPr fontId="4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15"/>
  <sheetViews>
    <sheetView showGridLines="0" zoomScale="115" zoomScaleNormal="115" workbookViewId="0">
      <selection activeCell="D12" sqref="D12"/>
    </sheetView>
  </sheetViews>
  <sheetFormatPr defaultRowHeight="17.25" customHeight="1"/>
  <cols>
    <col min="1" max="1" width="6.375" style="73" customWidth="1"/>
    <col min="2" max="2" width="11" style="73" customWidth="1"/>
    <col min="3" max="9" width="11.25" style="13" customWidth="1"/>
    <col min="10" max="10" width="10.75" style="31" customWidth="1"/>
    <col min="11" max="33" width="9.125" style="13" customWidth="1"/>
    <col min="34" max="16384" width="9" style="13"/>
  </cols>
  <sheetData>
    <row r="1" spans="1:12" ht="27.75" customHeight="1">
      <c r="A1" s="64" t="s">
        <v>29</v>
      </c>
      <c r="B1" s="65"/>
      <c r="C1" s="66"/>
      <c r="D1" s="66"/>
      <c r="E1" s="66"/>
      <c r="F1" s="66"/>
      <c r="G1" s="66"/>
      <c r="H1" s="66"/>
      <c r="I1" s="66"/>
      <c r="J1" s="67"/>
      <c r="K1" s="66"/>
      <c r="L1" s="66"/>
    </row>
    <row r="2" spans="1:12" ht="18" customHeight="1">
      <c r="A2" s="68"/>
      <c r="B2" s="68"/>
      <c r="C2" s="68"/>
      <c r="D2" s="68"/>
      <c r="E2" s="68"/>
      <c r="F2" s="68"/>
      <c r="G2" s="68"/>
      <c r="H2" s="68"/>
      <c r="J2" s="36"/>
      <c r="K2" s="68"/>
      <c r="L2" s="68"/>
    </row>
    <row r="3" spans="1:12" s="12" customFormat="1" ht="28.5" customHeight="1">
      <c r="A3" s="1109" t="s">
        <v>30</v>
      </c>
      <c r="B3" s="1110"/>
      <c r="C3" s="1124" t="s">
        <v>32</v>
      </c>
      <c r="D3" s="1063" t="s">
        <v>440</v>
      </c>
      <c r="E3" s="1321" t="s">
        <v>380</v>
      </c>
      <c r="F3" s="1311" t="s">
        <v>381</v>
      </c>
      <c r="G3" s="1312"/>
      <c r="H3" s="1313"/>
      <c r="I3" s="1106" t="s">
        <v>31</v>
      </c>
      <c r="J3" s="1318" t="s">
        <v>24</v>
      </c>
      <c r="K3" s="11"/>
      <c r="L3" s="11"/>
    </row>
    <row r="4" spans="1:12" s="12" customFormat="1" ht="28.5" customHeight="1">
      <c r="A4" s="1111"/>
      <c r="B4" s="1112"/>
      <c r="C4" s="1142"/>
      <c r="D4" s="1142"/>
      <c r="E4" s="1322"/>
      <c r="F4" s="1324" t="s">
        <v>382</v>
      </c>
      <c r="G4" s="1325" t="s">
        <v>384</v>
      </c>
      <c r="H4" s="1326" t="s">
        <v>385</v>
      </c>
      <c r="I4" s="1328"/>
      <c r="J4" s="1319"/>
      <c r="K4" s="11"/>
      <c r="L4" s="11"/>
    </row>
    <row r="5" spans="1:12" s="14" customFormat="1" ht="28.5" customHeight="1">
      <c r="A5" s="1111"/>
      <c r="B5" s="1112"/>
      <c r="C5" s="18" t="s">
        <v>33</v>
      </c>
      <c r="D5" s="629" t="s">
        <v>439</v>
      </c>
      <c r="E5" s="1323"/>
      <c r="F5" s="1324"/>
      <c r="G5" s="1325"/>
      <c r="H5" s="1327"/>
      <c r="I5" s="1328"/>
      <c r="J5" s="1319"/>
      <c r="K5" s="10"/>
      <c r="L5" s="10"/>
    </row>
    <row r="6" spans="1:12" s="12" customFormat="1" ht="28.5" customHeight="1">
      <c r="A6" s="1316"/>
      <c r="B6" s="1317"/>
      <c r="C6" s="116" t="s">
        <v>34</v>
      </c>
      <c r="D6" s="116" t="s">
        <v>366</v>
      </c>
      <c r="E6" s="115" t="s">
        <v>34</v>
      </c>
      <c r="F6" s="70" t="s">
        <v>383</v>
      </c>
      <c r="G6" s="71" t="s">
        <v>383</v>
      </c>
      <c r="H6" s="17" t="str">
        <f>G6</f>
        <v>㎡</v>
      </c>
      <c r="I6" s="17" t="s">
        <v>383</v>
      </c>
      <c r="J6" s="1320"/>
      <c r="K6" s="11"/>
      <c r="L6" s="11"/>
    </row>
    <row r="7" spans="1:12" s="12" customFormat="1" ht="54" customHeight="1">
      <c r="A7" s="1052" t="s">
        <v>36</v>
      </c>
      <c r="B7" s="1050"/>
      <c r="C7" s="533">
        <f>구조물위치!C21</f>
        <v>35</v>
      </c>
      <c r="D7" s="533"/>
      <c r="E7" s="527"/>
      <c r="F7" s="15"/>
      <c r="G7" s="16"/>
      <c r="H7" s="20"/>
      <c r="I7" s="535"/>
      <c r="J7" s="502"/>
      <c r="K7" s="11"/>
      <c r="L7" s="11"/>
    </row>
    <row r="8" spans="1:12" s="12" customFormat="1" ht="54" customHeight="1">
      <c r="A8" s="1052" t="s">
        <v>441</v>
      </c>
      <c r="B8" s="1050"/>
      <c r="C8" s="649"/>
      <c r="D8" s="649">
        <f>(구조물위치!U21+구조물위치!V21)*2</f>
        <v>6</v>
      </c>
      <c r="E8" s="20"/>
      <c r="F8" s="23"/>
      <c r="G8" s="84"/>
      <c r="H8" s="493"/>
      <c r="I8" s="536"/>
      <c r="J8" s="526"/>
      <c r="K8" s="11"/>
      <c r="L8" s="11"/>
    </row>
    <row r="9" spans="1:12" s="12" customFormat="1" ht="54" customHeight="1">
      <c r="A9" s="1052" t="s">
        <v>37</v>
      </c>
      <c r="B9" s="1050"/>
      <c r="C9" s="525"/>
      <c r="D9" s="628"/>
      <c r="E9" s="528">
        <f>500*1</f>
        <v>500</v>
      </c>
      <c r="F9" s="23">
        <f>토적집계!E30</f>
        <v>1490</v>
      </c>
      <c r="G9" s="84">
        <f>토적집계!D31</f>
        <v>3462</v>
      </c>
      <c r="H9" s="493"/>
      <c r="I9" s="536"/>
      <c r="J9" s="526"/>
      <c r="K9" s="11"/>
      <c r="L9" s="11"/>
    </row>
    <row r="10" spans="1:12" s="12" customFormat="1" ht="54" customHeight="1">
      <c r="A10" s="1314" t="s">
        <v>38</v>
      </c>
      <c r="B10" s="1315"/>
      <c r="C10" s="534">
        <f>SUM(C7:C9)</f>
        <v>35</v>
      </c>
      <c r="D10" s="534">
        <f>SUM(D7:D9)</f>
        <v>6</v>
      </c>
      <c r="E10" s="630">
        <f>SUM(E7:E9)</f>
        <v>500</v>
      </c>
      <c r="F10" s="26">
        <f>SUM(F7:F9)</f>
        <v>1490</v>
      </c>
      <c r="G10" s="27">
        <f>SUM(G7:G9)</f>
        <v>3462</v>
      </c>
      <c r="H10" s="482">
        <f>F10+G10</f>
        <v>4952</v>
      </c>
      <c r="I10" s="537">
        <f>C10*0.4+D10</f>
        <v>20</v>
      </c>
      <c r="J10" s="482"/>
      <c r="K10" s="11"/>
      <c r="L10" s="11"/>
    </row>
    <row r="11" spans="1:12" s="12" customFormat="1" ht="17.25" customHeight="1">
      <c r="A11" s="36"/>
      <c r="B11" s="36"/>
      <c r="C11" s="11"/>
      <c r="D11" s="11"/>
      <c r="E11" s="11"/>
      <c r="F11" s="11"/>
      <c r="G11" s="11"/>
      <c r="H11" s="11"/>
      <c r="I11" s="11"/>
      <c r="J11" s="36"/>
      <c r="K11" s="11"/>
      <c r="L11" s="11"/>
    </row>
    <row r="12" spans="1:12" ht="17.25" customHeight="1">
      <c r="A12" s="72"/>
      <c r="B12" s="72"/>
      <c r="C12" s="68"/>
      <c r="D12" s="68"/>
      <c r="E12" s="68"/>
      <c r="F12" s="68"/>
      <c r="G12" s="68"/>
      <c r="H12" s="68"/>
      <c r="I12" s="68"/>
      <c r="J12" s="36"/>
      <c r="K12" s="68"/>
      <c r="L12" s="68"/>
    </row>
    <row r="13" spans="1:12" ht="17.25" customHeight="1">
      <c r="A13" s="72"/>
      <c r="B13" s="72"/>
      <c r="C13" s="68"/>
      <c r="D13" s="68"/>
      <c r="E13" s="68"/>
      <c r="F13" s="68"/>
      <c r="G13" s="68"/>
      <c r="H13" s="68"/>
      <c r="I13" s="68"/>
      <c r="J13" s="36"/>
      <c r="K13" s="68"/>
      <c r="L13" s="68"/>
    </row>
    <row r="14" spans="1:12" ht="17.25" customHeight="1">
      <c r="A14" s="62"/>
      <c r="B14" s="62"/>
      <c r="C14" s="63"/>
      <c r="D14" s="63"/>
      <c r="E14" s="63"/>
      <c r="F14" s="63"/>
      <c r="G14" s="63"/>
      <c r="H14" s="63"/>
      <c r="I14" s="63"/>
      <c r="J14" s="29"/>
      <c r="K14" s="63"/>
      <c r="L14" s="63"/>
    </row>
    <row r="15" spans="1:12" ht="17.25" customHeight="1">
      <c r="A15" s="62"/>
      <c r="B15" s="62"/>
      <c r="C15" s="63"/>
      <c r="D15" s="63"/>
      <c r="E15" s="63"/>
      <c r="F15" s="63"/>
      <c r="G15" s="63"/>
      <c r="H15" s="63"/>
      <c r="I15" s="63"/>
      <c r="J15" s="29"/>
      <c r="K15" s="63"/>
      <c r="L15" s="63"/>
    </row>
  </sheetData>
  <mergeCells count="14">
    <mergeCell ref="J3:J6"/>
    <mergeCell ref="E3:E5"/>
    <mergeCell ref="F4:F5"/>
    <mergeCell ref="G4:G5"/>
    <mergeCell ref="H4:H5"/>
    <mergeCell ref="I3:I5"/>
    <mergeCell ref="D3:D4"/>
    <mergeCell ref="F3:H3"/>
    <mergeCell ref="A7:B7"/>
    <mergeCell ref="A9:B9"/>
    <mergeCell ref="A10:B10"/>
    <mergeCell ref="A3:B6"/>
    <mergeCell ref="C3:C4"/>
    <mergeCell ref="A8:B8"/>
  </mergeCells>
  <phoneticPr fontId="4" type="noConversion"/>
  <pageMargins left="2.1653543307086616" right="0.31496062992125984" top="1.5748031496062993" bottom="0.47244094488188981" header="0.51181102362204722" footer="0.35433070866141736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22"/>
  <sheetViews>
    <sheetView showGridLines="0" view="pageBreakPreview" zoomScaleNormal="100" zoomScaleSheetLayoutView="100" workbookViewId="0">
      <selection activeCell="P15" sqref="P15"/>
    </sheetView>
  </sheetViews>
  <sheetFormatPr defaultColWidth="9.125" defaultRowHeight="17.25" customHeight="1"/>
  <cols>
    <col min="1" max="1" width="6.125" style="31" customWidth="1"/>
    <col min="2" max="2" width="16.125" style="31" bestFit="1" customWidth="1"/>
    <col min="3" max="3" width="13.125" style="31" customWidth="1"/>
    <col min="4" max="5" width="13.125" style="31" hidden="1" customWidth="1"/>
    <col min="6" max="7" width="15.5" style="31" customWidth="1"/>
    <col min="8" max="8" width="6.625" style="12" customWidth="1"/>
    <col min="9" max="9" width="5.75" style="12" customWidth="1"/>
    <col min="10" max="10" width="8.375" style="12" customWidth="1"/>
    <col min="11" max="11" width="7.125" style="12" customWidth="1"/>
    <col min="12" max="12" width="10.375" style="12" customWidth="1"/>
    <col min="13" max="13" width="10.375" style="12" hidden="1" customWidth="1"/>
    <col min="14" max="14" width="10.375" style="12" customWidth="1"/>
    <col min="15" max="16" width="9" style="12" customWidth="1"/>
    <col min="17" max="20" width="10.125" style="12" customWidth="1"/>
    <col min="21" max="21" width="13" style="12" customWidth="1"/>
    <col min="22" max="22" width="14" style="12" customWidth="1"/>
    <col min="23" max="23" width="10.25" style="12" hidden="1" customWidth="1"/>
    <col min="24" max="24" width="9.5" style="12" customWidth="1"/>
    <col min="25" max="25" width="7.75" style="12" customWidth="1"/>
    <col min="26" max="27" width="9.125" style="12"/>
    <col min="28" max="16384" width="9.125" style="13"/>
  </cols>
  <sheetData>
    <row r="1" spans="1:25" ht="11.25" customHeight="1">
      <c r="A1" s="10"/>
      <c r="B1" s="702"/>
      <c r="C1" s="702"/>
      <c r="D1" s="702"/>
      <c r="E1" s="702"/>
      <c r="F1" s="702"/>
      <c r="G1" s="702"/>
      <c r="H1" s="11"/>
      <c r="I1" s="11"/>
      <c r="J1" s="11"/>
      <c r="K1" s="11"/>
      <c r="L1" s="11"/>
      <c r="M1" s="11"/>
      <c r="N1" s="11"/>
      <c r="O1" s="11"/>
      <c r="P1" s="11"/>
      <c r="Q1" s="10"/>
      <c r="R1" s="703"/>
      <c r="S1" s="703"/>
      <c r="T1" s="703"/>
      <c r="U1" s="703"/>
      <c r="V1" s="703"/>
      <c r="W1" s="703"/>
      <c r="X1" s="703"/>
      <c r="Y1" s="703"/>
    </row>
    <row r="2" spans="1:25" ht="25.5" customHeight="1">
      <c r="A2" s="1053" t="s">
        <v>389</v>
      </c>
      <c r="B2" s="1041" t="s">
        <v>3</v>
      </c>
      <c r="C2" s="775" t="s">
        <v>386</v>
      </c>
      <c r="D2" s="776" t="s">
        <v>386</v>
      </c>
      <c r="E2" s="777" t="s">
        <v>386</v>
      </c>
      <c r="F2" s="776" t="s">
        <v>386</v>
      </c>
      <c r="G2" s="778" t="s">
        <v>386</v>
      </c>
      <c r="H2" s="1058" t="s">
        <v>4</v>
      </c>
      <c r="I2" s="1059"/>
      <c r="J2" s="1059"/>
      <c r="K2" s="1060"/>
      <c r="L2" s="1063" t="s">
        <v>453</v>
      </c>
      <c r="M2" s="1063" t="s">
        <v>538</v>
      </c>
      <c r="N2" s="1063" t="s">
        <v>539</v>
      </c>
      <c r="O2" s="1058" t="s">
        <v>5</v>
      </c>
      <c r="P2" s="1060"/>
      <c r="Q2" s="1051" t="s">
        <v>6</v>
      </c>
      <c r="R2" s="1047"/>
      <c r="S2" s="1047"/>
      <c r="T2" s="1048"/>
      <c r="U2" s="1047" t="s">
        <v>360</v>
      </c>
      <c r="V2" s="1048"/>
      <c r="W2" s="1044" t="s">
        <v>500</v>
      </c>
      <c r="X2" s="1044" t="s">
        <v>373</v>
      </c>
      <c r="Y2" s="1036" t="s">
        <v>371</v>
      </c>
    </row>
    <row r="3" spans="1:25" ht="24" customHeight="1">
      <c r="A3" s="1054"/>
      <c r="B3" s="1042"/>
      <c r="C3" s="779" t="s">
        <v>493</v>
      </c>
      <c r="D3" s="780" t="s">
        <v>493</v>
      </c>
      <c r="E3" s="781" t="s">
        <v>493</v>
      </c>
      <c r="F3" s="780" t="s">
        <v>494</v>
      </c>
      <c r="G3" s="782" t="s">
        <v>494</v>
      </c>
      <c r="H3" s="1061" t="s">
        <v>7</v>
      </c>
      <c r="I3" s="1039" t="s">
        <v>8</v>
      </c>
      <c r="J3" s="1039" t="s">
        <v>9</v>
      </c>
      <c r="K3" s="1056" t="s">
        <v>10</v>
      </c>
      <c r="L3" s="1064"/>
      <c r="M3" s="1064"/>
      <c r="N3" s="1064"/>
      <c r="O3" s="1065"/>
      <c r="P3" s="1066"/>
      <c r="Q3" s="1052" t="s">
        <v>485</v>
      </c>
      <c r="R3" s="1050"/>
      <c r="S3" s="1052" t="s">
        <v>498</v>
      </c>
      <c r="T3" s="1050"/>
      <c r="U3" s="1049" t="str">
        <f>Q3</f>
        <v>Φ800m/m</v>
      </c>
      <c r="V3" s="1050"/>
      <c r="W3" s="1045"/>
      <c r="X3" s="1045"/>
      <c r="Y3" s="1037"/>
    </row>
    <row r="4" spans="1:25" s="522" customFormat="1" ht="32.25" customHeight="1">
      <c r="A4" s="1054"/>
      <c r="B4" s="1042"/>
      <c r="C4" s="773" t="s">
        <v>452</v>
      </c>
      <c r="D4" s="783" t="s">
        <v>509</v>
      </c>
      <c r="E4" s="784" t="s">
        <v>510</v>
      </c>
      <c r="F4" s="783" t="s">
        <v>536</v>
      </c>
      <c r="G4" s="785" t="s">
        <v>510</v>
      </c>
      <c r="H4" s="1062"/>
      <c r="I4" s="1040"/>
      <c r="J4" s="1040"/>
      <c r="K4" s="1057"/>
      <c r="L4" s="797"/>
      <c r="M4" s="797"/>
      <c r="N4" s="797"/>
      <c r="O4" s="798" t="s">
        <v>486</v>
      </c>
      <c r="P4" s="799" t="s">
        <v>454</v>
      </c>
      <c r="Q4" s="798" t="s">
        <v>11</v>
      </c>
      <c r="R4" s="806" t="s">
        <v>564</v>
      </c>
      <c r="S4" s="798" t="s">
        <v>11</v>
      </c>
      <c r="T4" s="806" t="s">
        <v>565</v>
      </c>
      <c r="U4" s="785" t="s">
        <v>451</v>
      </c>
      <c r="V4" s="800" t="s">
        <v>487</v>
      </c>
      <c r="W4" s="1046"/>
      <c r="X4" s="1046"/>
      <c r="Y4" s="1037"/>
    </row>
    <row r="5" spans="1:25" s="12" customFormat="1" ht="21" customHeight="1">
      <c r="A5" s="1055"/>
      <c r="B5" s="1043"/>
      <c r="C5" s="658" t="s">
        <v>378</v>
      </c>
      <c r="D5" s="786" t="s">
        <v>12</v>
      </c>
      <c r="E5" s="787" t="s">
        <v>12</v>
      </c>
      <c r="F5" s="786" t="s">
        <v>12</v>
      </c>
      <c r="G5" s="788" t="s">
        <v>12</v>
      </c>
      <c r="H5" s="658"/>
      <c r="I5" s="665"/>
      <c r="J5" s="665" t="s">
        <v>13</v>
      </c>
      <c r="K5" s="704" t="s">
        <v>12</v>
      </c>
      <c r="L5" s="786" t="s">
        <v>355</v>
      </c>
      <c r="M5" s="786" t="s">
        <v>540</v>
      </c>
      <c r="N5" s="786" t="s">
        <v>355</v>
      </c>
      <c r="O5" s="658" t="s">
        <v>13</v>
      </c>
      <c r="P5" s="712" t="s">
        <v>13</v>
      </c>
      <c r="Q5" s="658" t="s">
        <v>14</v>
      </c>
      <c r="R5" s="704" t="s">
        <v>567</v>
      </c>
      <c r="S5" s="658" t="s">
        <v>14</v>
      </c>
      <c r="T5" s="704" t="s">
        <v>566</v>
      </c>
      <c r="U5" s="788" t="s">
        <v>362</v>
      </c>
      <c r="V5" s="712" t="s">
        <v>362</v>
      </c>
      <c r="W5" s="712" t="s">
        <v>361</v>
      </c>
      <c r="X5" s="712" t="s">
        <v>361</v>
      </c>
      <c r="Y5" s="1038"/>
    </row>
    <row r="6" spans="1:25" s="12" customFormat="1" ht="21" customHeight="1">
      <c r="A6" s="538">
        <v>1</v>
      </c>
      <c r="B6" s="659" t="s">
        <v>524</v>
      </c>
      <c r="C6" s="789"/>
      <c r="D6" s="525"/>
      <c r="E6" s="790"/>
      <c r="F6" s="791"/>
      <c r="G6" s="792">
        <v>10</v>
      </c>
      <c r="H6" s="705"/>
      <c r="I6" s="664"/>
      <c r="J6" s="668">
        <f>H6*I6</f>
        <v>0</v>
      </c>
      <c r="K6" s="495">
        <f t="shared" ref="K6:K20" si="0">INT(I6/6.00000001)*H6</f>
        <v>0</v>
      </c>
      <c r="L6" s="18">
        <v>1</v>
      </c>
      <c r="M6" s="18"/>
      <c r="N6" s="18"/>
      <c r="O6" s="538">
        <v>9</v>
      </c>
      <c r="P6" s="659"/>
      <c r="Q6" s="538">
        <v>14</v>
      </c>
      <c r="R6" s="807">
        <v>2</v>
      </c>
      <c r="S6" s="538"/>
      <c r="T6" s="807"/>
      <c r="U6" s="801"/>
      <c r="V6" s="659">
        <v>1</v>
      </c>
      <c r="W6" s="659"/>
      <c r="X6" s="659"/>
      <c r="Y6" s="539"/>
    </row>
    <row r="7" spans="1:25" s="12" customFormat="1" ht="21" customHeight="1">
      <c r="A7" s="538">
        <v>2</v>
      </c>
      <c r="B7" s="22" t="s">
        <v>525</v>
      </c>
      <c r="C7" s="525"/>
      <c r="D7" s="525"/>
      <c r="E7" s="790"/>
      <c r="F7" s="791"/>
      <c r="G7" s="792">
        <v>6</v>
      </c>
      <c r="H7" s="705"/>
      <c r="I7" s="664"/>
      <c r="J7" s="668"/>
      <c r="K7" s="495"/>
      <c r="L7" s="18">
        <v>1</v>
      </c>
      <c r="M7" s="18"/>
      <c r="N7" s="18"/>
      <c r="O7" s="538">
        <v>9</v>
      </c>
      <c r="P7" s="659"/>
      <c r="Q7" s="538">
        <v>16</v>
      </c>
      <c r="R7" s="807">
        <v>2</v>
      </c>
      <c r="S7" s="538"/>
      <c r="T7" s="807"/>
      <c r="U7" s="801">
        <v>1</v>
      </c>
      <c r="V7" s="659"/>
      <c r="W7" s="659"/>
      <c r="X7" s="659"/>
      <c r="Y7" s="539"/>
    </row>
    <row r="8" spans="1:25" s="12" customFormat="1" ht="21" customHeight="1">
      <c r="A8" s="15">
        <v>3</v>
      </c>
      <c r="B8" s="22" t="s">
        <v>526</v>
      </c>
      <c r="C8" s="18"/>
      <c r="D8" s="18"/>
      <c r="E8" s="793"/>
      <c r="F8" s="18"/>
      <c r="G8" s="793">
        <v>6</v>
      </c>
      <c r="H8" s="705"/>
      <c r="I8" s="664"/>
      <c r="J8" s="494">
        <f t="shared" ref="J8:J20" si="1">H8*I8</f>
        <v>0</v>
      </c>
      <c r="K8" s="495">
        <f t="shared" si="0"/>
        <v>0</v>
      </c>
      <c r="L8" s="18"/>
      <c r="M8" s="18"/>
      <c r="N8" s="18"/>
      <c r="O8" s="15"/>
      <c r="P8" s="20"/>
      <c r="Q8" s="15"/>
      <c r="R8" s="22"/>
      <c r="S8" s="15"/>
      <c r="T8" s="22"/>
      <c r="U8" s="664"/>
      <c r="V8" s="20"/>
      <c r="W8" s="20"/>
      <c r="X8" s="20"/>
      <c r="Y8" s="20"/>
    </row>
    <row r="9" spans="1:25" s="12" customFormat="1" ht="21" customHeight="1">
      <c r="A9" s="538">
        <v>4</v>
      </c>
      <c r="B9" s="22" t="s">
        <v>527</v>
      </c>
      <c r="C9" s="18">
        <v>25</v>
      </c>
      <c r="D9" s="18"/>
      <c r="E9" s="793"/>
      <c r="F9" s="18">
        <v>25</v>
      </c>
      <c r="G9" s="793"/>
      <c r="H9" s="705"/>
      <c r="I9" s="664"/>
      <c r="J9" s="494">
        <f t="shared" si="1"/>
        <v>0</v>
      </c>
      <c r="K9" s="495">
        <f t="shared" si="0"/>
        <v>0</v>
      </c>
      <c r="L9" s="18"/>
      <c r="M9" s="18"/>
      <c r="N9" s="18"/>
      <c r="O9" s="15"/>
      <c r="P9" s="20"/>
      <c r="Q9" s="15"/>
      <c r="R9" s="22"/>
      <c r="S9" s="15"/>
      <c r="T9" s="22"/>
      <c r="U9" s="664"/>
      <c r="V9" s="20"/>
      <c r="W9" s="20"/>
      <c r="X9" s="20"/>
      <c r="Y9" s="20"/>
    </row>
    <row r="10" spans="1:25" s="12" customFormat="1" ht="21" customHeight="1">
      <c r="A10" s="538">
        <v>5</v>
      </c>
      <c r="B10" s="22" t="s">
        <v>521</v>
      </c>
      <c r="C10" s="660"/>
      <c r="D10" s="660"/>
      <c r="E10" s="527"/>
      <c r="F10" s="660"/>
      <c r="G10" s="527"/>
      <c r="H10" s="705"/>
      <c r="I10" s="664"/>
      <c r="J10" s="494">
        <f t="shared" si="1"/>
        <v>0</v>
      </c>
      <c r="K10" s="495">
        <f t="shared" si="0"/>
        <v>0</v>
      </c>
      <c r="L10" s="18">
        <v>1</v>
      </c>
      <c r="M10" s="18"/>
      <c r="N10" s="18"/>
      <c r="O10" s="15"/>
      <c r="P10" s="20"/>
      <c r="Q10" s="15">
        <v>16</v>
      </c>
      <c r="R10" s="22">
        <v>2</v>
      </c>
      <c r="S10" s="15"/>
      <c r="T10" s="22"/>
      <c r="U10" s="664"/>
      <c r="V10" s="20"/>
      <c r="W10" s="20"/>
      <c r="X10" s="20"/>
      <c r="Y10" s="20"/>
    </row>
    <row r="11" spans="1:25" s="12" customFormat="1" ht="21" customHeight="1">
      <c r="A11" s="15">
        <v>6</v>
      </c>
      <c r="B11" s="22" t="s">
        <v>528</v>
      </c>
      <c r="C11" s="112"/>
      <c r="D11" s="112"/>
      <c r="E11" s="794"/>
      <c r="F11" s="112"/>
      <c r="G11" s="794"/>
      <c r="H11" s="715"/>
      <c r="I11" s="714"/>
      <c r="J11" s="494">
        <f t="shared" si="1"/>
        <v>0</v>
      </c>
      <c r="K11" s="495">
        <f t="shared" si="0"/>
        <v>0</v>
      </c>
      <c r="L11" s="112">
        <v>1</v>
      </c>
      <c r="M11" s="112"/>
      <c r="N11" s="112"/>
      <c r="O11" s="23"/>
      <c r="P11" s="493"/>
      <c r="Q11" s="23">
        <v>12</v>
      </c>
      <c r="R11" s="662">
        <v>1</v>
      </c>
      <c r="S11" s="23"/>
      <c r="T11" s="662"/>
      <c r="U11" s="714"/>
      <c r="V11" s="493"/>
      <c r="W11" s="493"/>
      <c r="X11" s="493"/>
      <c r="Y11" s="526"/>
    </row>
    <row r="12" spans="1:25" s="12" customFormat="1" ht="21" customHeight="1">
      <c r="A12" s="538">
        <v>7</v>
      </c>
      <c r="B12" s="22" t="s">
        <v>529</v>
      </c>
      <c r="C12" s="18"/>
      <c r="D12" s="18"/>
      <c r="E12" s="793"/>
      <c r="F12" s="18">
        <v>10</v>
      </c>
      <c r="G12" s="793"/>
      <c r="H12" s="705">
        <v>3.3</v>
      </c>
      <c r="I12" s="664">
        <v>10</v>
      </c>
      <c r="J12" s="494">
        <f t="shared" si="1"/>
        <v>33</v>
      </c>
      <c r="K12" s="495"/>
      <c r="L12" s="18"/>
      <c r="M12" s="18"/>
      <c r="N12" s="18">
        <v>1</v>
      </c>
      <c r="O12" s="15">
        <v>25</v>
      </c>
      <c r="P12" s="493"/>
      <c r="Q12" s="23"/>
      <c r="R12" s="662"/>
      <c r="S12" s="23"/>
      <c r="T12" s="662"/>
      <c r="U12" s="714"/>
      <c r="V12" s="493"/>
      <c r="W12" s="493"/>
      <c r="X12" s="493"/>
      <c r="Y12" s="18"/>
    </row>
    <row r="13" spans="1:25" s="12" customFormat="1" ht="21" customHeight="1">
      <c r="A13" s="538"/>
      <c r="B13" s="22" t="s">
        <v>537</v>
      </c>
      <c r="C13" s="112"/>
      <c r="D13" s="112"/>
      <c r="E13" s="794"/>
      <c r="F13" s="112"/>
      <c r="G13" s="794"/>
      <c r="H13" s="715"/>
      <c r="I13" s="714"/>
      <c r="J13" s="494">
        <v>15</v>
      </c>
      <c r="K13" s="495"/>
      <c r="L13" s="112"/>
      <c r="M13" s="112"/>
      <c r="N13" s="112"/>
      <c r="O13" s="23"/>
      <c r="P13" s="493"/>
      <c r="Q13" s="23"/>
      <c r="R13" s="662"/>
      <c r="S13" s="23"/>
      <c r="T13" s="662"/>
      <c r="U13" s="714"/>
      <c r="V13" s="493"/>
      <c r="W13" s="493"/>
      <c r="X13" s="493"/>
      <c r="Y13" s="493"/>
    </row>
    <row r="14" spans="1:25" s="12" customFormat="1" ht="21" customHeight="1">
      <c r="A14" s="15">
        <v>8</v>
      </c>
      <c r="B14" s="22" t="s">
        <v>530</v>
      </c>
      <c r="C14" s="112"/>
      <c r="D14" s="112"/>
      <c r="E14" s="794"/>
      <c r="F14" s="112">
        <v>10</v>
      </c>
      <c r="G14" s="794"/>
      <c r="H14" s="715"/>
      <c r="I14" s="714"/>
      <c r="J14" s="494"/>
      <c r="K14" s="495"/>
      <c r="L14" s="112"/>
      <c r="M14" s="112"/>
      <c r="N14" s="112"/>
      <c r="O14" s="23"/>
      <c r="P14" s="493"/>
      <c r="Q14" s="23"/>
      <c r="R14" s="662"/>
      <c r="S14" s="23"/>
      <c r="T14" s="662"/>
      <c r="U14" s="714"/>
      <c r="V14" s="493"/>
      <c r="W14" s="493"/>
      <c r="X14" s="493"/>
      <c r="Y14" s="493"/>
    </row>
    <row r="15" spans="1:25" s="12" customFormat="1" ht="20.100000000000001" customHeight="1">
      <c r="A15" s="538">
        <v>9</v>
      </c>
      <c r="B15" s="663" t="s">
        <v>531</v>
      </c>
      <c r="C15" s="112"/>
      <c r="D15" s="112"/>
      <c r="E15" s="794"/>
      <c r="F15" s="112"/>
      <c r="G15" s="794">
        <v>10</v>
      </c>
      <c r="H15" s="715"/>
      <c r="I15" s="714"/>
      <c r="J15" s="494">
        <f>H15*I15</f>
        <v>0</v>
      </c>
      <c r="K15" s="495">
        <f>INT(I15/6.00000001)*H15</f>
        <v>0</v>
      </c>
      <c r="L15" s="112">
        <v>1</v>
      </c>
      <c r="M15" s="112"/>
      <c r="N15" s="112"/>
      <c r="O15" s="23">
        <v>9</v>
      </c>
      <c r="P15" s="493"/>
      <c r="Q15" s="23">
        <v>18</v>
      </c>
      <c r="R15" s="662">
        <v>2</v>
      </c>
      <c r="S15" s="23"/>
      <c r="T15" s="662"/>
      <c r="U15" s="714"/>
      <c r="V15" s="493">
        <v>1</v>
      </c>
      <c r="W15" s="493"/>
      <c r="X15" s="493"/>
      <c r="Y15" s="493"/>
    </row>
    <row r="16" spans="1:25" s="12" customFormat="1" ht="20.100000000000001" customHeight="1">
      <c r="A16" s="15">
        <v>10</v>
      </c>
      <c r="B16" s="22" t="s">
        <v>532</v>
      </c>
      <c r="C16" s="18"/>
      <c r="D16" s="18"/>
      <c r="E16" s="793"/>
      <c r="F16" s="18">
        <v>10</v>
      </c>
      <c r="G16" s="793"/>
      <c r="H16" s="705"/>
      <c r="I16" s="664"/>
      <c r="J16" s="494">
        <f>H16*I16</f>
        <v>0</v>
      </c>
      <c r="K16" s="495">
        <f>INT(I16/6.00000001)*H16</f>
        <v>0</v>
      </c>
      <c r="L16" s="18"/>
      <c r="M16" s="18"/>
      <c r="N16" s="18"/>
      <c r="O16" s="15"/>
      <c r="P16" s="493"/>
      <c r="Q16" s="23"/>
      <c r="R16" s="662"/>
      <c r="S16" s="23"/>
      <c r="T16" s="662"/>
      <c r="U16" s="714"/>
      <c r="V16" s="493"/>
      <c r="W16" s="20"/>
      <c r="X16" s="20"/>
      <c r="Y16" s="20"/>
    </row>
    <row r="17" spans="1:25" s="12" customFormat="1" ht="20.100000000000001" customHeight="1">
      <c r="A17" s="538">
        <v>11</v>
      </c>
      <c r="B17" s="662" t="s">
        <v>533</v>
      </c>
      <c r="C17" s="112"/>
      <c r="D17" s="112"/>
      <c r="E17" s="794"/>
      <c r="F17" s="112">
        <v>20</v>
      </c>
      <c r="G17" s="794"/>
      <c r="H17" s="715"/>
      <c r="I17" s="714"/>
      <c r="J17" s="494">
        <f>H17*I17</f>
        <v>0</v>
      </c>
      <c r="K17" s="495">
        <f>INT(I17/6.00000001)*H17</f>
        <v>0</v>
      </c>
      <c r="L17" s="112"/>
      <c r="M17" s="112"/>
      <c r="N17" s="112"/>
      <c r="O17" s="23"/>
      <c r="P17" s="493"/>
      <c r="Q17" s="23"/>
      <c r="R17" s="662"/>
      <c r="S17" s="23"/>
      <c r="T17" s="662"/>
      <c r="U17" s="714"/>
      <c r="V17" s="493"/>
      <c r="W17" s="20"/>
      <c r="X17" s="20"/>
      <c r="Y17" s="20"/>
    </row>
    <row r="18" spans="1:25" s="12" customFormat="1" ht="20.100000000000001" customHeight="1">
      <c r="A18" s="15">
        <v>12</v>
      </c>
      <c r="B18" s="22" t="s">
        <v>534</v>
      </c>
      <c r="C18" s="18">
        <v>10</v>
      </c>
      <c r="D18" s="18"/>
      <c r="E18" s="793"/>
      <c r="F18" s="18"/>
      <c r="G18" s="793"/>
      <c r="H18" s="705"/>
      <c r="I18" s="664"/>
      <c r="J18" s="494">
        <f t="shared" si="1"/>
        <v>0</v>
      </c>
      <c r="K18" s="495">
        <f t="shared" si="0"/>
        <v>0</v>
      </c>
      <c r="L18" s="18"/>
      <c r="M18" s="18"/>
      <c r="N18" s="18"/>
      <c r="O18" s="15"/>
      <c r="P18" s="20"/>
      <c r="Q18" s="15"/>
      <c r="R18" s="22"/>
      <c r="S18" s="15"/>
      <c r="T18" s="22"/>
      <c r="U18" s="664"/>
      <c r="V18" s="20"/>
      <c r="W18" s="20"/>
      <c r="X18" s="20"/>
      <c r="Y18" s="20"/>
    </row>
    <row r="19" spans="1:25" s="12" customFormat="1" ht="20.100000000000001" customHeight="1">
      <c r="A19" s="538">
        <v>13</v>
      </c>
      <c r="B19" s="21" t="s">
        <v>535</v>
      </c>
      <c r="C19" s="660"/>
      <c r="D19" s="660"/>
      <c r="E19" s="527"/>
      <c r="F19" s="660"/>
      <c r="G19" s="527"/>
      <c r="H19" s="705"/>
      <c r="I19" s="664"/>
      <c r="J19" s="494">
        <f t="shared" si="1"/>
        <v>0</v>
      </c>
      <c r="K19" s="495">
        <f t="shared" si="0"/>
        <v>0</v>
      </c>
      <c r="L19" s="660">
        <v>1</v>
      </c>
      <c r="M19" s="660"/>
      <c r="N19" s="660"/>
      <c r="O19" s="774"/>
      <c r="P19" s="502"/>
      <c r="Q19" s="774"/>
      <c r="R19" s="21"/>
      <c r="S19" s="774">
        <v>18</v>
      </c>
      <c r="T19" s="21">
        <v>2</v>
      </c>
      <c r="U19" s="802"/>
      <c r="V19" s="502"/>
      <c r="W19" s="502"/>
      <c r="X19" s="502"/>
      <c r="Y19" s="502"/>
    </row>
    <row r="20" spans="1:25" s="12" customFormat="1" ht="20.100000000000001" customHeight="1">
      <c r="A20" s="23"/>
      <c r="B20" s="22" t="s">
        <v>15</v>
      </c>
      <c r="C20" s="18"/>
      <c r="D20" s="18"/>
      <c r="E20" s="793"/>
      <c r="F20" s="18"/>
      <c r="G20" s="793"/>
      <c r="H20" s="705"/>
      <c r="I20" s="664"/>
      <c r="J20" s="19">
        <f t="shared" si="1"/>
        <v>0</v>
      </c>
      <c r="K20" s="495">
        <f t="shared" si="0"/>
        <v>0</v>
      </c>
      <c r="L20" s="18"/>
      <c r="M20" s="18"/>
      <c r="N20" s="18"/>
      <c r="O20" s="15"/>
      <c r="P20" s="20"/>
      <c r="Q20" s="15"/>
      <c r="R20" s="22"/>
      <c r="S20" s="15"/>
      <c r="T20" s="22"/>
      <c r="U20" s="664"/>
      <c r="V20" s="20"/>
      <c r="W20" s="20"/>
      <c r="X20" s="20">
        <v>2</v>
      </c>
      <c r="Y20" s="20"/>
    </row>
    <row r="21" spans="1:25" s="12" customFormat="1" ht="24" customHeight="1">
      <c r="A21" s="301" t="s">
        <v>16</v>
      </c>
      <c r="B21" s="661"/>
      <c r="C21" s="795">
        <f>SUM(C6:C20)</f>
        <v>35</v>
      </c>
      <c r="D21" s="795">
        <f>SUM(D6:D20)</f>
        <v>0</v>
      </c>
      <c r="E21" s="796">
        <f>SUM(E6:E20)</f>
        <v>0</v>
      </c>
      <c r="F21" s="795">
        <f>SUM(F6:F20)</f>
        <v>75</v>
      </c>
      <c r="G21" s="795">
        <f>SUM(G6:G20)</f>
        <v>32</v>
      </c>
      <c r="H21" s="26"/>
      <c r="I21" s="27">
        <f>SUMIF(H6:H20,"&gt;=3",I6:I20)</f>
        <v>10</v>
      </c>
      <c r="J21" s="27">
        <f t="shared" ref="J21:X21" si="2">SUM(J6:J20)</f>
        <v>48</v>
      </c>
      <c r="K21" s="28">
        <f t="shared" si="2"/>
        <v>0</v>
      </c>
      <c r="L21" s="803">
        <f t="shared" si="2"/>
        <v>6</v>
      </c>
      <c r="M21" s="803">
        <f t="shared" si="2"/>
        <v>0</v>
      </c>
      <c r="N21" s="803">
        <f t="shared" si="2"/>
        <v>1</v>
      </c>
      <c r="O21" s="26">
        <f t="shared" si="2"/>
        <v>52</v>
      </c>
      <c r="P21" s="482">
        <f t="shared" si="2"/>
        <v>0</v>
      </c>
      <c r="Q21" s="26">
        <f t="shared" si="2"/>
        <v>76</v>
      </c>
      <c r="R21" s="28">
        <f t="shared" si="2"/>
        <v>9</v>
      </c>
      <c r="S21" s="26">
        <f t="shared" si="2"/>
        <v>18</v>
      </c>
      <c r="T21" s="28">
        <f t="shared" si="2"/>
        <v>2</v>
      </c>
      <c r="U21" s="804">
        <f t="shared" si="2"/>
        <v>1</v>
      </c>
      <c r="V21" s="482">
        <f t="shared" si="2"/>
        <v>2</v>
      </c>
      <c r="W21" s="482">
        <f t="shared" si="2"/>
        <v>0</v>
      </c>
      <c r="X21" s="482">
        <f t="shared" si="2"/>
        <v>2</v>
      </c>
      <c r="Y21" s="482"/>
    </row>
    <row r="22" spans="1:25" s="12" customFormat="1" ht="17.25" customHeight="1">
      <c r="A22" s="29"/>
      <c r="B22" s="29"/>
      <c r="C22" s="29"/>
      <c r="D22" s="29"/>
      <c r="E22" s="29"/>
      <c r="F22" s="29"/>
      <c r="G22" s="29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</sheetData>
  <mergeCells count="19">
    <mergeCell ref="A2:A5"/>
    <mergeCell ref="K3:K4"/>
    <mergeCell ref="H2:K2"/>
    <mergeCell ref="H3:H4"/>
    <mergeCell ref="L2:L3"/>
    <mergeCell ref="Y2:Y5"/>
    <mergeCell ref="J3:J4"/>
    <mergeCell ref="B2:B5"/>
    <mergeCell ref="I3:I4"/>
    <mergeCell ref="X2:X4"/>
    <mergeCell ref="U2:V2"/>
    <mergeCell ref="U3:V3"/>
    <mergeCell ref="W2:W4"/>
    <mergeCell ref="Q2:T2"/>
    <mergeCell ref="Q3:R3"/>
    <mergeCell ref="S3:T3"/>
    <mergeCell ref="O2:P3"/>
    <mergeCell ref="M2:M3"/>
    <mergeCell ref="N2:N3"/>
  </mergeCells>
  <phoneticPr fontId="4" type="noConversion"/>
  <pageMargins left="1.1811023622047245" right="0" top="0.78740157480314965" bottom="0.15748031496062992" header="0.39370078740157483" footer="0.15748031496062992"/>
  <pageSetup paperSize="9" scale="99" orientation="landscape" r:id="rId1"/>
  <headerFooter alignWithMargins="0">
    <oddHeader xml:space="preserve">&amp;L&amp;"굴림체,굵게"&amp;14          ○.구조물 집계&amp;"바탕체,보통"&amp;12
&amp;"굴림체,보통" </oddHeader>
  </headerFooter>
  <colBreaks count="1" manualBreakCount="1">
    <brk id="14" max="2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46"/>
  <sheetViews>
    <sheetView showGridLines="0" zoomScale="145" zoomScaleNormal="145" workbookViewId="0">
      <selection activeCell="E9" sqref="E9"/>
    </sheetView>
  </sheetViews>
  <sheetFormatPr defaultRowHeight="19.5" customHeight="1"/>
  <cols>
    <col min="1" max="2" width="5.625" style="140" customWidth="1"/>
    <col min="3" max="3" width="11.25" style="139" customWidth="1"/>
    <col min="4" max="4" width="11.625" style="139" customWidth="1"/>
    <col min="5" max="5" width="9" style="139"/>
    <col min="6" max="7" width="12.375" style="139" customWidth="1"/>
    <col min="8" max="8" width="14.375" style="139" bestFit="1" customWidth="1"/>
    <col min="9" max="9" width="34.25" style="139" customWidth="1"/>
    <col min="10" max="10" width="13" style="139" customWidth="1"/>
    <col min="11" max="11" width="10" style="139" customWidth="1"/>
    <col min="12" max="12" width="9" style="139"/>
    <col min="13" max="14" width="9" style="140"/>
    <col min="15" max="15" width="9.5" style="140" customWidth="1"/>
    <col min="16" max="16384" width="9" style="140"/>
  </cols>
  <sheetData>
    <row r="1" spans="1:13" ht="18" customHeight="1">
      <c r="A1" s="138" t="s">
        <v>96</v>
      </c>
      <c r="B1" s="138"/>
    </row>
    <row r="2" spans="1:13" ht="3.75" customHeight="1">
      <c r="C2" s="140"/>
      <c r="D2" s="140"/>
      <c r="E2" s="140"/>
      <c r="F2" s="140"/>
      <c r="G2" s="140"/>
      <c r="H2" s="140"/>
      <c r="I2" s="140"/>
    </row>
    <row r="3" spans="1:13" s="141" customFormat="1" ht="39" customHeight="1">
      <c r="B3" s="1329" t="s">
        <v>97</v>
      </c>
      <c r="C3" s="1330"/>
      <c r="D3" s="1331"/>
      <c r="E3" s="142" t="s">
        <v>98</v>
      </c>
      <c r="F3" s="142" t="s">
        <v>99</v>
      </c>
      <c r="G3" s="143" t="s">
        <v>100</v>
      </c>
      <c r="H3" s="143" t="s">
        <v>101</v>
      </c>
      <c r="I3" s="144" t="s">
        <v>102</v>
      </c>
      <c r="J3" s="145"/>
      <c r="K3" s="145"/>
      <c r="L3" s="145"/>
    </row>
    <row r="4" spans="1:13" s="141" customFormat="1" ht="39" customHeight="1">
      <c r="B4" s="1329" t="s">
        <v>103</v>
      </c>
      <c r="C4" s="1330"/>
      <c r="D4" s="1331"/>
      <c r="E4" s="142" t="s">
        <v>104</v>
      </c>
      <c r="F4" s="146">
        <f>토적집계!D5</f>
        <v>7556</v>
      </c>
      <c r="G4" s="147"/>
      <c r="H4" s="147"/>
      <c r="I4" s="144"/>
      <c r="J4" s="145"/>
      <c r="K4" s="145"/>
      <c r="L4" s="145"/>
    </row>
    <row r="5" spans="1:13" ht="39" customHeight="1">
      <c r="B5" s="1332" t="s">
        <v>105</v>
      </c>
      <c r="C5" s="1333"/>
      <c r="D5" s="1334"/>
      <c r="E5" s="148" t="s">
        <v>106</v>
      </c>
      <c r="F5" s="716">
        <v>203.25</v>
      </c>
      <c r="G5" s="149"/>
      <c r="H5" s="150"/>
      <c r="I5" s="151"/>
    </row>
    <row r="6" spans="1:13" ht="39" hidden="1" customHeight="1">
      <c r="B6" s="1335" t="s">
        <v>107</v>
      </c>
      <c r="C6" s="1338" t="s">
        <v>260</v>
      </c>
      <c r="D6" s="1339"/>
      <c r="E6" s="152" t="s">
        <v>108</v>
      </c>
      <c r="F6" s="505"/>
      <c r="G6" s="153">
        <v>800</v>
      </c>
      <c r="H6" s="154">
        <f t="shared" ref="H6:H11" si="0">INT(G6*F6)</f>
        <v>0</v>
      </c>
      <c r="I6" s="155"/>
      <c r="K6" s="156"/>
      <c r="L6" s="156"/>
      <c r="M6" s="157"/>
    </row>
    <row r="7" spans="1:13" ht="39" hidden="1" customHeight="1">
      <c r="B7" s="1336"/>
      <c r="C7" s="1340" t="s">
        <v>460</v>
      </c>
      <c r="D7" s="1341"/>
      <c r="E7" s="158" t="s">
        <v>108</v>
      </c>
      <c r="F7" s="506"/>
      <c r="G7" s="159">
        <v>800</v>
      </c>
      <c r="H7" s="154">
        <f t="shared" si="0"/>
        <v>0</v>
      </c>
      <c r="I7" s="160"/>
      <c r="K7" s="156"/>
      <c r="L7" s="156"/>
      <c r="M7" s="157"/>
    </row>
    <row r="8" spans="1:13" ht="39" hidden="1" customHeight="1">
      <c r="B8" s="1336"/>
      <c r="C8" s="1340" t="s">
        <v>462</v>
      </c>
      <c r="D8" s="1341"/>
      <c r="E8" s="158" t="s">
        <v>108</v>
      </c>
      <c r="F8" s="506"/>
      <c r="G8" s="159">
        <v>800</v>
      </c>
      <c r="H8" s="154">
        <f t="shared" si="0"/>
        <v>0</v>
      </c>
      <c r="I8" s="160"/>
      <c r="K8" s="156"/>
      <c r="L8" s="156"/>
      <c r="M8" s="157"/>
    </row>
    <row r="9" spans="1:13" ht="39" hidden="1" customHeight="1">
      <c r="B9" s="1336"/>
      <c r="C9" s="1340" t="s">
        <v>463</v>
      </c>
      <c r="D9" s="1341"/>
      <c r="E9" s="158" t="s">
        <v>108</v>
      </c>
      <c r="F9" s="506"/>
      <c r="G9" s="159">
        <v>800</v>
      </c>
      <c r="H9" s="154">
        <f t="shared" si="0"/>
        <v>0</v>
      </c>
      <c r="I9" s="160"/>
      <c r="K9" s="156"/>
      <c r="L9" s="156"/>
      <c r="M9" s="157"/>
    </row>
    <row r="10" spans="1:13" ht="39" hidden="1" customHeight="1">
      <c r="B10" s="1336"/>
      <c r="C10" s="1340"/>
      <c r="D10" s="1341"/>
      <c r="E10" s="158" t="s">
        <v>108</v>
      </c>
      <c r="F10" s="506"/>
      <c r="G10" s="159">
        <v>800</v>
      </c>
      <c r="H10" s="154">
        <f t="shared" si="0"/>
        <v>0</v>
      </c>
      <c r="I10" s="160"/>
      <c r="K10" s="156"/>
      <c r="L10" s="156"/>
      <c r="M10" s="157"/>
    </row>
    <row r="11" spans="1:13" ht="39" hidden="1" customHeight="1">
      <c r="B11" s="1336"/>
      <c r="C11" s="1340"/>
      <c r="D11" s="1341"/>
      <c r="E11" s="158" t="s">
        <v>108</v>
      </c>
      <c r="F11" s="506"/>
      <c r="G11" s="159">
        <v>800</v>
      </c>
      <c r="H11" s="154">
        <f t="shared" si="0"/>
        <v>0</v>
      </c>
      <c r="I11" s="160"/>
      <c r="K11" s="156"/>
      <c r="L11" s="156"/>
      <c r="M11" s="157"/>
    </row>
    <row r="12" spans="1:13" s="141" customFormat="1" ht="39" hidden="1" customHeight="1">
      <c r="B12" s="1337"/>
      <c r="C12" s="1329" t="s">
        <v>109</v>
      </c>
      <c r="D12" s="1331"/>
      <c r="E12" s="142" t="s">
        <v>110</v>
      </c>
      <c r="F12" s="524">
        <f>SUM(F6:F11)</f>
        <v>0</v>
      </c>
      <c r="G12" s="162"/>
      <c r="H12" s="523">
        <f>SUM(H6:H11)</f>
        <v>0</v>
      </c>
      <c r="I12" s="144" t="s">
        <v>111</v>
      </c>
      <c r="J12" s="145"/>
      <c r="K12" s="161"/>
      <c r="L12" s="161"/>
    </row>
    <row r="13" spans="1:13" s="141" customFormat="1" ht="39" hidden="1" customHeight="1">
      <c r="B13" s="1335" t="s">
        <v>112</v>
      </c>
      <c r="C13" s="1345" t="str">
        <f t="shared" ref="C13:C18" si="1">C6</f>
        <v>소나무</v>
      </c>
      <c r="D13" s="1343"/>
      <c r="E13" s="163" t="s">
        <v>113</v>
      </c>
      <c r="F13" s="164">
        <f t="shared" ref="F13:F18" si="2">F6*0.333</f>
        <v>0</v>
      </c>
      <c r="G13" s="154">
        <v>800</v>
      </c>
      <c r="H13" s="154">
        <f t="shared" ref="H13:H18" si="3">INT(G13*F13)</f>
        <v>0</v>
      </c>
      <c r="I13" s="165" t="s">
        <v>114</v>
      </c>
      <c r="J13" s="145"/>
      <c r="K13" s="145"/>
      <c r="L13" s="145"/>
    </row>
    <row r="14" spans="1:13" s="141" customFormat="1" ht="39" hidden="1" customHeight="1">
      <c r="B14" s="1336"/>
      <c r="C14" s="1345" t="str">
        <f t="shared" si="1"/>
        <v>신갈나무</v>
      </c>
      <c r="D14" s="1343"/>
      <c r="E14" s="163" t="s">
        <v>113</v>
      </c>
      <c r="F14" s="164">
        <f t="shared" si="2"/>
        <v>0</v>
      </c>
      <c r="G14" s="154">
        <v>800</v>
      </c>
      <c r="H14" s="154">
        <f t="shared" si="3"/>
        <v>0</v>
      </c>
      <c r="I14" s="165" t="s">
        <v>114</v>
      </c>
      <c r="J14" s="145"/>
      <c r="K14" s="145"/>
      <c r="L14" s="145"/>
    </row>
    <row r="15" spans="1:13" s="141" customFormat="1" ht="39" hidden="1" customHeight="1">
      <c r="B15" s="1336"/>
      <c r="C15" s="1342" t="str">
        <f t="shared" si="1"/>
        <v>굴참나무</v>
      </c>
      <c r="D15" s="1343"/>
      <c r="E15" s="163" t="s">
        <v>113</v>
      </c>
      <c r="F15" s="164">
        <f t="shared" si="2"/>
        <v>0</v>
      </c>
      <c r="G15" s="154">
        <v>800</v>
      </c>
      <c r="H15" s="154">
        <f t="shared" si="3"/>
        <v>0</v>
      </c>
      <c r="I15" s="165" t="s">
        <v>471</v>
      </c>
      <c r="J15" s="145"/>
      <c r="K15" s="145"/>
      <c r="L15" s="145"/>
    </row>
    <row r="16" spans="1:13" s="141" customFormat="1" ht="39" hidden="1" customHeight="1">
      <c r="B16" s="1336"/>
      <c r="C16" s="1342" t="str">
        <f t="shared" si="1"/>
        <v>기타활엽수</v>
      </c>
      <c r="D16" s="1343"/>
      <c r="E16" s="163" t="s">
        <v>108</v>
      </c>
      <c r="F16" s="164">
        <f t="shared" si="2"/>
        <v>0</v>
      </c>
      <c r="G16" s="154">
        <v>800</v>
      </c>
      <c r="H16" s="154">
        <f t="shared" si="3"/>
        <v>0</v>
      </c>
      <c r="I16" s="165" t="s">
        <v>114</v>
      </c>
      <c r="J16" s="145"/>
      <c r="K16" s="145"/>
      <c r="L16" s="145"/>
    </row>
    <row r="17" spans="2:12" s="141" customFormat="1" ht="39" hidden="1" customHeight="1">
      <c r="B17" s="1336"/>
      <c r="C17" s="1342">
        <f t="shared" si="1"/>
        <v>0</v>
      </c>
      <c r="D17" s="1343"/>
      <c r="E17" s="163" t="s">
        <v>108</v>
      </c>
      <c r="F17" s="164">
        <f t="shared" si="2"/>
        <v>0</v>
      </c>
      <c r="G17" s="154">
        <v>800</v>
      </c>
      <c r="H17" s="154">
        <f t="shared" si="3"/>
        <v>0</v>
      </c>
      <c r="I17" s="165" t="s">
        <v>114</v>
      </c>
      <c r="J17" s="145"/>
      <c r="K17" s="145"/>
      <c r="L17" s="145"/>
    </row>
    <row r="18" spans="2:12" s="141" customFormat="1" ht="39" hidden="1" customHeight="1">
      <c r="B18" s="1336"/>
      <c r="C18" s="1342">
        <f t="shared" si="1"/>
        <v>0</v>
      </c>
      <c r="D18" s="1343"/>
      <c r="E18" s="163" t="s">
        <v>108</v>
      </c>
      <c r="F18" s="164">
        <f t="shared" si="2"/>
        <v>0</v>
      </c>
      <c r="G18" s="154">
        <v>800</v>
      </c>
      <c r="H18" s="154">
        <f t="shared" si="3"/>
        <v>0</v>
      </c>
      <c r="I18" s="165" t="s">
        <v>114</v>
      </c>
      <c r="J18" s="145"/>
      <c r="K18" s="145"/>
      <c r="L18" s="145"/>
    </row>
    <row r="19" spans="2:12" s="141" customFormat="1" ht="39" hidden="1" customHeight="1">
      <c r="B19" s="1337"/>
      <c r="C19" s="1329" t="s">
        <v>115</v>
      </c>
      <c r="D19" s="1344"/>
      <c r="E19" s="142" t="s">
        <v>116</v>
      </c>
      <c r="F19" s="524">
        <f>SUM(F13:F18)</f>
        <v>0</v>
      </c>
      <c r="G19" s="162"/>
      <c r="H19" s="523">
        <f>SUM(H13:H18)</f>
        <v>0</v>
      </c>
      <c r="I19" s="144"/>
      <c r="J19" s="145"/>
      <c r="K19" s="161"/>
      <c r="L19" s="161"/>
    </row>
    <row r="20" spans="2:12" s="141" customFormat="1" ht="39" hidden="1" customHeight="1">
      <c r="B20" s="1335" t="s">
        <v>117</v>
      </c>
      <c r="C20" s="1345" t="str">
        <f>C13</f>
        <v>소나무</v>
      </c>
      <c r="D20" s="1343"/>
      <c r="E20" s="163" t="s">
        <v>118</v>
      </c>
      <c r="F20" s="164">
        <f t="shared" ref="F20:F25" si="4">F6*0.333</f>
        <v>0</v>
      </c>
      <c r="G20" s="154">
        <v>800</v>
      </c>
      <c r="H20" s="154">
        <f t="shared" ref="H20:H25" si="5">INT(G20*F20)</f>
        <v>0</v>
      </c>
      <c r="I20" s="165" t="s">
        <v>119</v>
      </c>
      <c r="J20" s="145"/>
      <c r="K20" s="145"/>
      <c r="L20" s="145"/>
    </row>
    <row r="21" spans="2:12" s="141" customFormat="1" ht="39" hidden="1" customHeight="1">
      <c r="B21" s="1336"/>
      <c r="C21" s="1345" t="str">
        <f>C14</f>
        <v>신갈나무</v>
      </c>
      <c r="D21" s="1343"/>
      <c r="E21" s="163" t="s">
        <v>118</v>
      </c>
      <c r="F21" s="164">
        <f t="shared" si="4"/>
        <v>0</v>
      </c>
      <c r="G21" s="154">
        <v>800</v>
      </c>
      <c r="H21" s="154">
        <f t="shared" si="5"/>
        <v>0</v>
      </c>
      <c r="I21" s="165" t="s">
        <v>119</v>
      </c>
      <c r="J21" s="145"/>
      <c r="K21" s="145"/>
      <c r="L21" s="145"/>
    </row>
    <row r="22" spans="2:12" s="141" customFormat="1" ht="39" hidden="1" customHeight="1">
      <c r="B22" s="1336"/>
      <c r="C22" s="1342" t="str">
        <f>C8</f>
        <v>굴참나무</v>
      </c>
      <c r="D22" s="1343"/>
      <c r="E22" s="163" t="s">
        <v>118</v>
      </c>
      <c r="F22" s="164">
        <f t="shared" si="4"/>
        <v>0</v>
      </c>
      <c r="G22" s="154">
        <v>800</v>
      </c>
      <c r="H22" s="154">
        <f t="shared" si="5"/>
        <v>0</v>
      </c>
      <c r="I22" s="165" t="s">
        <v>119</v>
      </c>
      <c r="J22" s="145"/>
      <c r="K22" s="145"/>
      <c r="L22" s="145"/>
    </row>
    <row r="23" spans="2:12" s="141" customFormat="1" ht="39" hidden="1" customHeight="1">
      <c r="B23" s="1336"/>
      <c r="C23" s="1342" t="str">
        <f>C9</f>
        <v>기타활엽수</v>
      </c>
      <c r="D23" s="1343"/>
      <c r="E23" s="163" t="s">
        <v>108</v>
      </c>
      <c r="F23" s="164">
        <f t="shared" si="4"/>
        <v>0</v>
      </c>
      <c r="G23" s="154">
        <v>800</v>
      </c>
      <c r="H23" s="154">
        <f t="shared" si="5"/>
        <v>0</v>
      </c>
      <c r="I23" s="165" t="s">
        <v>114</v>
      </c>
      <c r="J23" s="145"/>
      <c r="K23" s="145"/>
      <c r="L23" s="145"/>
    </row>
    <row r="24" spans="2:12" s="141" customFormat="1" ht="39" hidden="1" customHeight="1">
      <c r="B24" s="1336"/>
      <c r="C24" s="1342">
        <f>C10</f>
        <v>0</v>
      </c>
      <c r="D24" s="1343"/>
      <c r="E24" s="163" t="s">
        <v>108</v>
      </c>
      <c r="F24" s="164">
        <f t="shared" si="4"/>
        <v>0</v>
      </c>
      <c r="G24" s="154">
        <v>800</v>
      </c>
      <c r="H24" s="154">
        <f t="shared" si="5"/>
        <v>0</v>
      </c>
      <c r="I24" s="165" t="s">
        <v>114</v>
      </c>
      <c r="J24" s="145"/>
      <c r="K24" s="145"/>
      <c r="L24" s="145"/>
    </row>
    <row r="25" spans="2:12" s="141" customFormat="1" ht="39" hidden="1" customHeight="1">
      <c r="B25" s="1336"/>
      <c r="C25" s="1342">
        <f>C11</f>
        <v>0</v>
      </c>
      <c r="D25" s="1343"/>
      <c r="E25" s="163" t="s">
        <v>108</v>
      </c>
      <c r="F25" s="164">
        <f t="shared" si="4"/>
        <v>0</v>
      </c>
      <c r="G25" s="154">
        <v>800</v>
      </c>
      <c r="H25" s="154">
        <f t="shared" si="5"/>
        <v>0</v>
      </c>
      <c r="I25" s="165" t="s">
        <v>114</v>
      </c>
      <c r="J25" s="145"/>
      <c r="K25" s="145"/>
      <c r="L25" s="145"/>
    </row>
    <row r="26" spans="2:12" s="141" customFormat="1" ht="39" hidden="1" customHeight="1">
      <c r="B26" s="1337"/>
      <c r="C26" s="1329" t="s">
        <v>120</v>
      </c>
      <c r="D26" s="1344"/>
      <c r="E26" s="142" t="s">
        <v>121</v>
      </c>
      <c r="F26" s="524">
        <f>SUM(F20:F25)</f>
        <v>0</v>
      </c>
      <c r="G26" s="166"/>
      <c r="H26" s="523">
        <f>SUM(H20:H25)</f>
        <v>0</v>
      </c>
      <c r="I26" s="144"/>
      <c r="J26" s="145"/>
      <c r="K26" s="161"/>
      <c r="L26" s="161"/>
    </row>
    <row r="27" spans="2:12" s="141" customFormat="1" ht="39" hidden="1" customHeight="1">
      <c r="B27" s="1329" t="s">
        <v>122</v>
      </c>
      <c r="C27" s="1330"/>
      <c r="D27" s="1331"/>
      <c r="E27" s="142" t="s">
        <v>121</v>
      </c>
      <c r="F27" s="167">
        <f>F12+F19+F26</f>
        <v>0</v>
      </c>
      <c r="G27" s="168"/>
      <c r="H27" s="168">
        <f>INT(SUM(H12+H19+H26)/1000)</f>
        <v>0</v>
      </c>
      <c r="I27" s="144" t="s">
        <v>123</v>
      </c>
      <c r="J27" s="145"/>
      <c r="K27" s="145"/>
      <c r="L27" s="145"/>
    </row>
    <row r="28" spans="2:12" s="141" customFormat="1" ht="39" hidden="1" customHeight="1">
      <c r="B28" s="1329" t="s">
        <v>124</v>
      </c>
      <c r="C28" s="1330"/>
      <c r="D28" s="1331"/>
      <c r="E28" s="142" t="s">
        <v>121</v>
      </c>
      <c r="F28" s="167">
        <f>F19</f>
        <v>0</v>
      </c>
      <c r="G28" s="169"/>
      <c r="H28" s="170"/>
      <c r="I28" s="144"/>
      <c r="J28" s="300"/>
      <c r="K28" s="145"/>
      <c r="L28" s="145"/>
    </row>
    <row r="29" spans="2:12" s="141" customFormat="1" ht="39" customHeight="1">
      <c r="B29" s="1329" t="s">
        <v>461</v>
      </c>
      <c r="C29" s="1330"/>
      <c r="D29" s="1331"/>
      <c r="E29" s="142" t="s">
        <v>121</v>
      </c>
      <c r="F29" s="167">
        <f>F5*0.333*F4/10000</f>
        <v>51.140708100000005</v>
      </c>
      <c r="G29" s="169"/>
      <c r="H29" s="170"/>
      <c r="I29" s="144" t="s">
        <v>472</v>
      </c>
      <c r="J29" s="145"/>
      <c r="K29" s="145"/>
      <c r="L29" s="145"/>
    </row>
    <row r="30" spans="2:12" s="141" customFormat="1" ht="24.75" customHeight="1">
      <c r="C30" s="171" t="s">
        <v>257</v>
      </c>
      <c r="D30" s="172"/>
      <c r="E30" s="172"/>
      <c r="F30" s="172"/>
      <c r="G30" s="172"/>
      <c r="H30" s="172"/>
      <c r="I30" s="172"/>
      <c r="J30" s="145"/>
      <c r="K30" s="145"/>
      <c r="L30" s="145"/>
    </row>
    <row r="31" spans="2:12" s="141" customFormat="1" ht="24.75" customHeight="1">
      <c r="C31" s="171" t="s">
        <v>258</v>
      </c>
      <c r="D31" s="172"/>
      <c r="E31" s="172"/>
      <c r="F31" s="172"/>
      <c r="G31" s="172"/>
      <c r="H31" s="172"/>
      <c r="I31" s="172"/>
      <c r="J31" s="145"/>
      <c r="K31" s="145"/>
      <c r="L31" s="145"/>
    </row>
    <row r="32" spans="2:12" s="141" customFormat="1" ht="24.75" customHeight="1">
      <c r="C32" s="171" t="s">
        <v>259</v>
      </c>
      <c r="D32" s="145"/>
      <c r="E32" s="145"/>
      <c r="F32" s="145"/>
      <c r="G32" s="145"/>
      <c r="H32" s="145"/>
      <c r="I32" s="145"/>
      <c r="J32" s="145"/>
      <c r="K32" s="145"/>
      <c r="L32" s="145"/>
    </row>
    <row r="33" spans="1:13" s="141" customFormat="1" ht="14.1" customHeight="1">
      <c r="C33" s="145"/>
      <c r="D33" s="145"/>
      <c r="E33" s="145"/>
      <c r="F33" s="145"/>
      <c r="G33" s="145"/>
      <c r="H33" s="145"/>
      <c r="I33" s="145"/>
      <c r="J33" s="145"/>
      <c r="K33" s="145"/>
      <c r="L33" s="145"/>
    </row>
    <row r="34" spans="1:13" s="141" customFormat="1" ht="20.25" hidden="1" customHeight="1" thickBot="1">
      <c r="C34" s="145"/>
      <c r="D34" s="145"/>
      <c r="E34" s="145"/>
      <c r="F34" s="145"/>
      <c r="G34" s="145"/>
      <c r="H34" s="145"/>
      <c r="I34" s="173"/>
      <c r="J34" s="145"/>
      <c r="K34" s="145"/>
      <c r="L34" s="145"/>
    </row>
    <row r="35" spans="1:13" s="141" customFormat="1" ht="20.25" hidden="1" customHeight="1" thickBot="1">
      <c r="C35" s="174"/>
      <c r="J35" s="145"/>
      <c r="K35" s="145"/>
      <c r="L35" s="145"/>
    </row>
    <row r="36" spans="1:13" s="141" customFormat="1" ht="20.25" hidden="1" customHeight="1" thickBot="1">
      <c r="C36" s="175" t="s">
        <v>125</v>
      </c>
      <c r="J36" s="145"/>
      <c r="K36" s="145"/>
      <c r="L36" s="145"/>
    </row>
    <row r="37" spans="1:13" s="141" customFormat="1" ht="20.25" hidden="1" customHeight="1" thickBot="1">
      <c r="C37" s="175" t="s">
        <v>126</v>
      </c>
      <c r="J37" s="145"/>
      <c r="K37" s="145"/>
      <c r="L37" s="145"/>
    </row>
    <row r="38" spans="1:13" s="141" customFormat="1" ht="20.25" hidden="1" customHeight="1" thickBot="1">
      <c r="C38" s="175" t="s">
        <v>127</v>
      </c>
      <c r="J38" s="145"/>
      <c r="K38" s="145"/>
      <c r="L38" s="145"/>
    </row>
    <row r="39" spans="1:13" ht="19.5" hidden="1" customHeight="1" thickBot="1">
      <c r="C39" s="176" t="s">
        <v>128</v>
      </c>
      <c r="D39" s="140"/>
      <c r="E39" s="140"/>
      <c r="F39" s="140"/>
      <c r="G39" s="140"/>
      <c r="H39" s="140"/>
      <c r="I39" s="140"/>
    </row>
    <row r="40" spans="1:13" s="139" customFormat="1" ht="19.5" hidden="1" customHeight="1" thickBot="1">
      <c r="A40" s="140"/>
      <c r="B40" s="140"/>
      <c r="C40" s="176" t="s">
        <v>129</v>
      </c>
      <c r="D40" s="140"/>
      <c r="E40" s="140"/>
      <c r="F40" s="140"/>
      <c r="G40" s="140"/>
      <c r="H40" s="140"/>
      <c r="I40" s="140"/>
      <c r="M40" s="140"/>
    </row>
    <row r="41" spans="1:13" s="139" customFormat="1" ht="19.5" hidden="1" customHeight="1" thickBot="1">
      <c r="A41" s="140"/>
      <c r="B41" s="140"/>
      <c r="C41" s="177"/>
      <c r="D41" s="140"/>
      <c r="E41" s="140"/>
      <c r="F41" s="140"/>
      <c r="G41" s="140"/>
      <c r="H41" s="140"/>
      <c r="I41" s="140"/>
      <c r="M41" s="140"/>
    </row>
    <row r="42" spans="1:13" s="139" customFormat="1" ht="19.5" hidden="1" customHeight="1" thickBot="1">
      <c r="A42" s="140"/>
      <c r="B42" s="140"/>
      <c r="C42" s="176" t="s">
        <v>130</v>
      </c>
      <c r="D42" s="140"/>
      <c r="E42" s="140"/>
      <c r="F42" s="140"/>
      <c r="G42" s="140"/>
      <c r="H42" s="140"/>
      <c r="I42" s="140"/>
      <c r="M42" s="140"/>
    </row>
    <row r="43" spans="1:13" s="139" customFormat="1" ht="19.5" hidden="1" customHeight="1" thickBot="1">
      <c r="A43" s="140"/>
      <c r="B43" s="140"/>
      <c r="C43" s="177"/>
      <c r="D43" s="140"/>
      <c r="E43" s="140"/>
      <c r="F43" s="140"/>
      <c r="G43" s="140"/>
      <c r="H43" s="140"/>
      <c r="I43" s="140"/>
      <c r="M43" s="140"/>
    </row>
    <row r="44" spans="1:13" s="139" customFormat="1" ht="19.5" hidden="1" customHeight="1">
      <c r="A44" s="140"/>
      <c r="B44" s="140"/>
      <c r="C44" s="176" t="s">
        <v>131</v>
      </c>
      <c r="D44" s="140"/>
      <c r="E44" s="140"/>
      <c r="F44" s="140"/>
      <c r="G44" s="140"/>
      <c r="H44" s="140"/>
      <c r="I44" s="140"/>
      <c r="M44" s="140"/>
    </row>
    <row r="45" spans="1:13" s="139" customFormat="1" ht="19.5" hidden="1" customHeight="1">
      <c r="A45" s="140"/>
      <c r="B45" s="140"/>
      <c r="M45" s="140"/>
    </row>
    <row r="46" spans="1:13" s="139" customFormat="1" ht="19.5" hidden="1" customHeight="1">
      <c r="A46" s="140"/>
      <c r="B46" s="140"/>
      <c r="M46" s="140"/>
    </row>
  </sheetData>
  <mergeCells count="30">
    <mergeCell ref="B28:D28"/>
    <mergeCell ref="C8:D8"/>
    <mergeCell ref="C12:D12"/>
    <mergeCell ref="C19:D19"/>
    <mergeCell ref="B29:D29"/>
    <mergeCell ref="B20:B26"/>
    <mergeCell ref="C20:D20"/>
    <mergeCell ref="C21:D21"/>
    <mergeCell ref="C22:D22"/>
    <mergeCell ref="C26:D26"/>
    <mergeCell ref="B27:D27"/>
    <mergeCell ref="B13:B19"/>
    <mergeCell ref="C13:D13"/>
    <mergeCell ref="C14:D14"/>
    <mergeCell ref="C15:D15"/>
    <mergeCell ref="C17:D17"/>
    <mergeCell ref="C24:D24"/>
    <mergeCell ref="C18:D18"/>
    <mergeCell ref="C25:D25"/>
    <mergeCell ref="C16:D16"/>
    <mergeCell ref="C23:D23"/>
    <mergeCell ref="B3:D3"/>
    <mergeCell ref="B4:D4"/>
    <mergeCell ref="B5:D5"/>
    <mergeCell ref="B6:B12"/>
    <mergeCell ref="C6:D6"/>
    <mergeCell ref="C7:D7"/>
    <mergeCell ref="C10:D10"/>
    <mergeCell ref="C11:D11"/>
    <mergeCell ref="C9:D9"/>
  </mergeCells>
  <phoneticPr fontId="4" type="noConversion"/>
  <pageMargins left="0.86614173228346458" right="0.74803149606299213" top="0.47244094488188981" bottom="0.55118110236220474" header="0.39370078740157483" footer="0.5118110236220472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3"/>
  <sheetViews>
    <sheetView showGridLines="0" zoomScale="115" zoomScaleNormal="115" zoomScaleSheetLayoutView="115" workbookViewId="0">
      <selection activeCell="C26" sqref="C26"/>
    </sheetView>
  </sheetViews>
  <sheetFormatPr defaultRowHeight="14.25"/>
  <cols>
    <col min="1" max="1" width="4.625" style="652" customWidth="1"/>
    <col min="2" max="2" width="25.75" style="652" customWidth="1"/>
    <col min="3" max="4" width="19.25" style="652" customWidth="1"/>
    <col min="5" max="5" width="15.625" style="652" customWidth="1"/>
    <col min="6" max="6" width="19.75" style="652" customWidth="1"/>
    <col min="7" max="7" width="15.375" style="652" customWidth="1"/>
    <col min="8" max="16384" width="9" style="652"/>
  </cols>
  <sheetData>
    <row r="2" spans="1:12" ht="48.75" customHeight="1">
      <c r="B2" s="1242" t="s">
        <v>470</v>
      </c>
      <c r="C2" s="1242"/>
      <c r="D2" s="1242"/>
      <c r="E2" s="1242"/>
      <c r="F2" s="1242"/>
      <c r="G2" s="1242"/>
    </row>
    <row r="3" spans="1:12" ht="42.75" customHeight="1">
      <c r="A3" s="653"/>
      <c r="B3" s="654" t="s">
        <v>465</v>
      </c>
      <c r="C3" s="691" t="s">
        <v>466</v>
      </c>
      <c r="D3" s="654" t="s">
        <v>446</v>
      </c>
      <c r="E3" s="654" t="s">
        <v>447</v>
      </c>
      <c r="F3" s="654" t="s">
        <v>448</v>
      </c>
      <c r="G3" s="654" t="s">
        <v>102</v>
      </c>
    </row>
    <row r="4" spans="1:12" ht="42.75" customHeight="1">
      <c r="A4" s="653"/>
      <c r="B4" s="688" t="s">
        <v>467</v>
      </c>
      <c r="C4" s="656"/>
      <c r="D4" s="657">
        <v>18000</v>
      </c>
      <c r="E4" s="692"/>
      <c r="F4" s="657">
        <f>D4+E4</f>
        <v>18000</v>
      </c>
      <c r="G4" s="691" t="s">
        <v>468</v>
      </c>
    </row>
    <row r="5" spans="1:12" ht="42.75" customHeight="1">
      <c r="A5" s="653"/>
      <c r="B5" s="688" t="s">
        <v>469</v>
      </c>
      <c r="C5" s="689"/>
      <c r="D5" s="690">
        <v>17250</v>
      </c>
      <c r="E5" s="690"/>
      <c r="F5" s="657">
        <f>D5+E5</f>
        <v>17250</v>
      </c>
      <c r="G5" s="691"/>
      <c r="L5" s="652">
        <v>0.2</v>
      </c>
    </row>
    <row r="6" spans="1:12" ht="16.5" customHeight="1">
      <c r="A6" s="204"/>
      <c r="B6" s="204"/>
    </row>
    <row r="7" spans="1:12">
      <c r="A7" s="655"/>
      <c r="B7" s="653"/>
      <c r="C7" s="653"/>
      <c r="D7" s="653"/>
    </row>
    <row r="8" spans="1:12">
      <c r="A8" s="653"/>
      <c r="B8" s="653"/>
      <c r="C8" s="653"/>
      <c r="D8" s="653"/>
    </row>
    <row r="11" spans="1:12" ht="16.5" customHeight="1">
      <c r="A11" s="204"/>
      <c r="B11" s="204"/>
    </row>
    <row r="12" spans="1:12" ht="16.5" customHeight="1">
      <c r="A12" s="653"/>
      <c r="B12" s="653"/>
    </row>
    <row r="13" spans="1:12" ht="16.5" customHeight="1">
      <c r="A13" s="653"/>
      <c r="B13" s="653"/>
    </row>
    <row r="14" spans="1:12" ht="16.5" customHeight="1">
      <c r="A14" s="653"/>
      <c r="B14" s="653"/>
    </row>
    <row r="15" spans="1:12" ht="16.5" customHeight="1">
      <c r="A15" s="653"/>
      <c r="B15" s="653"/>
    </row>
    <row r="16" spans="1:12" ht="16.5" customHeight="1">
      <c r="A16" s="653"/>
      <c r="B16" s="653"/>
    </row>
    <row r="17" spans="1:7" ht="16.5" customHeight="1">
      <c r="A17" s="653"/>
      <c r="B17" s="653"/>
    </row>
    <row r="18" spans="1:7" ht="16.5" customHeight="1">
      <c r="A18" s="653"/>
      <c r="B18" s="653"/>
    </row>
    <row r="19" spans="1:7">
      <c r="C19" s="693"/>
      <c r="D19" s="693"/>
      <c r="E19" s="693"/>
      <c r="F19" s="693"/>
      <c r="G19" s="693"/>
    </row>
    <row r="22" spans="1:7" ht="14.25" hidden="1" customHeight="1"/>
    <row r="23" spans="1:7" ht="14.25" hidden="1" customHeight="1"/>
  </sheetData>
  <mergeCells count="1">
    <mergeCell ref="B2:G2"/>
  </mergeCells>
  <phoneticPr fontId="4" type="noConversion"/>
  <pageMargins left="1.4960629921259843" right="0.51181102362204722" top="2.3622047244094491" bottom="0.98425196850393704" header="0.51181102362204722" footer="0.5118110236220472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B1:AE118"/>
  <sheetViews>
    <sheetView showGridLines="0" topLeftCell="A4" zoomScale="115" zoomScaleNormal="115" workbookViewId="0">
      <selection activeCell="U25" sqref="U25"/>
    </sheetView>
  </sheetViews>
  <sheetFormatPr defaultColWidth="8" defaultRowHeight="12"/>
  <cols>
    <col min="1" max="1" width="4.5" style="214" customWidth="1"/>
    <col min="2" max="2" width="1.25" style="214" customWidth="1"/>
    <col min="3" max="3" width="1" style="214" customWidth="1"/>
    <col min="4" max="4" width="2" style="214" customWidth="1"/>
    <col min="5" max="5" width="2.25" style="214" customWidth="1"/>
    <col min="6" max="6" width="2.75" style="214" customWidth="1"/>
    <col min="7" max="7" width="7.875" style="214" customWidth="1"/>
    <col min="8" max="8" width="6" style="214" customWidth="1"/>
    <col min="9" max="11" width="3.25" style="214" customWidth="1"/>
    <col min="12" max="12" width="5.5" style="214" customWidth="1"/>
    <col min="13" max="13" width="8.5" style="214" customWidth="1"/>
    <col min="14" max="14" width="7.5" style="214" customWidth="1"/>
    <col min="15" max="15" width="1.125" style="214" customWidth="1"/>
    <col min="16" max="16" width="9.125" style="215" customWidth="1"/>
    <col min="17" max="17" width="7.75" style="215" customWidth="1"/>
    <col min="18" max="18" width="7.5" style="215" customWidth="1"/>
    <col min="19" max="19" width="6.875" style="215" customWidth="1"/>
    <col min="20" max="20" width="6.375" style="215" customWidth="1"/>
    <col min="21" max="21" width="8.5" style="215" customWidth="1"/>
    <col min="22" max="22" width="9.75" style="215" customWidth="1"/>
    <col min="23" max="23" width="7.875" style="215" customWidth="1"/>
    <col min="24" max="24" width="9.25" style="215" customWidth="1"/>
    <col min="25" max="16384" width="8" style="214"/>
  </cols>
  <sheetData>
    <row r="1" spans="2:31" ht="18.95" customHeight="1" thickBot="1"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4"/>
      <c r="Q1" s="224"/>
      <c r="R1" s="224"/>
      <c r="S1" s="224"/>
      <c r="T1" s="224"/>
      <c r="U1" s="224"/>
      <c r="V1" s="224"/>
      <c r="W1" s="224"/>
      <c r="X1" s="224"/>
      <c r="Y1" s="223"/>
      <c r="Z1" s="223"/>
      <c r="AA1" s="223"/>
    </row>
    <row r="2" spans="2:31" ht="21" customHeight="1">
      <c r="B2" s="225"/>
      <c r="C2" s="226" t="s">
        <v>186</v>
      </c>
      <c r="D2" s="227"/>
      <c r="E2" s="227"/>
      <c r="F2" s="227"/>
      <c r="G2" s="227"/>
      <c r="H2" s="228"/>
      <c r="I2" s="227"/>
      <c r="J2" s="227"/>
      <c r="K2" s="227"/>
      <c r="L2" s="1290"/>
      <c r="M2" s="1290"/>
      <c r="N2" s="1290"/>
      <c r="O2" s="1291"/>
      <c r="P2" s="226" t="s">
        <v>191</v>
      </c>
      <c r="Q2" s="227"/>
      <c r="R2" s="229"/>
      <c r="S2" s="229"/>
      <c r="T2" s="229"/>
      <c r="U2" s="229"/>
      <c r="V2" s="229"/>
      <c r="W2" s="229"/>
      <c r="X2" s="230"/>
      <c r="Y2" s="223"/>
      <c r="Z2" s="223"/>
      <c r="AA2" s="223"/>
    </row>
    <row r="3" spans="2:31" ht="21" customHeight="1">
      <c r="B3" s="231"/>
      <c r="C3" s="232"/>
      <c r="D3" s="233" t="s">
        <v>187</v>
      </c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4"/>
      <c r="P3" s="1292" t="s">
        <v>192</v>
      </c>
      <c r="Q3" s="1292"/>
      <c r="R3" s="236"/>
      <c r="S3" s="237"/>
      <c r="T3" s="232"/>
      <c r="U3" s="235"/>
      <c r="V3" s="232"/>
      <c r="W3" s="238"/>
      <c r="X3" s="239"/>
      <c r="Y3" s="223"/>
      <c r="Z3" s="223"/>
      <c r="AA3" s="223"/>
    </row>
    <row r="4" spans="2:31" ht="21" customHeight="1">
      <c r="B4" s="231"/>
      <c r="C4" s="232"/>
      <c r="D4" s="232"/>
      <c r="E4" s="232"/>
      <c r="F4" s="232" t="s">
        <v>193</v>
      </c>
      <c r="G4" s="232" t="s">
        <v>194</v>
      </c>
      <c r="H4" s="232"/>
      <c r="I4" s="232"/>
      <c r="J4" s="232"/>
      <c r="K4" s="232"/>
      <c r="L4" s="232"/>
      <c r="M4" s="240">
        <f>ROUND(M5*1.2,2)</f>
        <v>4.12</v>
      </c>
      <c r="N4" s="241"/>
      <c r="O4" s="242"/>
      <c r="P4" s="243" t="s">
        <v>195</v>
      </c>
      <c r="Q4" s="235"/>
      <c r="R4" s="244">
        <f>+M4</f>
        <v>4.12</v>
      </c>
      <c r="S4" s="235" t="s">
        <v>188</v>
      </c>
      <c r="T4" s="235"/>
      <c r="U4" s="238"/>
      <c r="V4" s="238"/>
      <c r="W4" s="238"/>
      <c r="X4" s="239"/>
      <c r="Y4" s="223"/>
      <c r="Z4" s="223"/>
      <c r="AA4" s="223"/>
    </row>
    <row r="5" spans="2:31" ht="21" customHeight="1">
      <c r="B5" s="231"/>
      <c r="C5" s="232"/>
      <c r="D5" s="232"/>
      <c r="E5" s="232"/>
      <c r="F5" s="232" t="s">
        <v>196</v>
      </c>
      <c r="G5" s="232"/>
      <c r="H5" s="232"/>
      <c r="I5" s="232"/>
      <c r="J5" s="232"/>
      <c r="K5" s="232"/>
      <c r="L5" s="232"/>
      <c r="M5" s="245">
        <f>ROUND(0.2778*M6*M7*M8,2)</f>
        <v>3.43</v>
      </c>
      <c r="N5" s="232"/>
      <c r="O5" s="234"/>
      <c r="P5" s="246"/>
      <c r="Q5" s="238"/>
      <c r="R5" s="247"/>
      <c r="S5" s="246"/>
      <c r="T5" s="232"/>
      <c r="U5" s="232"/>
      <c r="V5" s="238"/>
      <c r="W5" s="232"/>
      <c r="X5" s="248"/>
      <c r="Y5" s="223"/>
      <c r="Z5" s="223"/>
      <c r="AA5" s="223"/>
    </row>
    <row r="6" spans="2:31" ht="21" customHeight="1">
      <c r="B6" s="231"/>
      <c r="C6" s="232"/>
      <c r="D6" s="232"/>
      <c r="E6" s="232"/>
      <c r="F6" s="232" t="s">
        <v>197</v>
      </c>
      <c r="G6" s="232"/>
      <c r="H6" s="232"/>
      <c r="I6" s="232"/>
      <c r="J6" s="1293"/>
      <c r="K6" s="1293"/>
      <c r="L6" s="232"/>
      <c r="M6" s="249">
        <v>0.6</v>
      </c>
      <c r="N6" s="232"/>
      <c r="O6" s="234"/>
      <c r="P6" s="246"/>
      <c r="Q6" s="238"/>
      <c r="R6" s="247"/>
      <c r="S6" s="246"/>
      <c r="T6" s="232"/>
      <c r="U6" s="232"/>
      <c r="V6" s="238"/>
      <c r="W6" s="232"/>
      <c r="X6" s="248"/>
      <c r="Y6" s="223"/>
      <c r="Z6" s="223"/>
      <c r="AA6" s="223"/>
    </row>
    <row r="7" spans="2:31" ht="21" customHeight="1">
      <c r="B7" s="231"/>
      <c r="C7" s="232"/>
      <c r="D7" s="232"/>
      <c r="E7" s="232"/>
      <c r="F7" s="232" t="s">
        <v>198</v>
      </c>
      <c r="G7" s="232"/>
      <c r="H7" s="232"/>
      <c r="I7" s="232"/>
      <c r="J7" s="232"/>
      <c r="K7" s="232"/>
      <c r="L7" s="232"/>
      <c r="M7" s="245">
        <f>M19</f>
        <v>69.94</v>
      </c>
      <c r="N7" s="232"/>
      <c r="O7" s="234"/>
      <c r="P7" s="243" t="s">
        <v>199</v>
      </c>
      <c r="Q7" s="235"/>
      <c r="R7" s="235"/>
      <c r="S7" s="235"/>
      <c r="T7" s="235"/>
      <c r="U7" s="238"/>
      <c r="V7" s="238"/>
      <c r="W7" s="238"/>
      <c r="X7" s="239"/>
      <c r="Y7" s="223"/>
      <c r="Z7" s="223"/>
      <c r="AA7" s="223"/>
    </row>
    <row r="8" spans="2:31" ht="21" customHeight="1">
      <c r="B8" s="231"/>
      <c r="C8" s="232"/>
      <c r="D8" s="232"/>
      <c r="E8" s="232"/>
      <c r="F8" s="250" t="s">
        <v>200</v>
      </c>
      <c r="G8" s="250"/>
      <c r="H8" s="250"/>
      <c r="I8" s="250"/>
      <c r="J8" s="250"/>
      <c r="K8" s="250"/>
      <c r="L8" s="250"/>
      <c r="M8" s="251">
        <v>0.29399999999999998</v>
      </c>
      <c r="N8" s="252">
        <f>M8*100</f>
        <v>29.4</v>
      </c>
      <c r="O8" s="253"/>
      <c r="P8" s="254"/>
      <c r="Q8" s="254"/>
      <c r="R8" s="254"/>
      <c r="S8" s="255" t="s">
        <v>201</v>
      </c>
      <c r="T8" s="254"/>
      <c r="U8" s="256">
        <v>1500</v>
      </c>
      <c r="V8" s="257" t="s">
        <v>202</v>
      </c>
      <c r="W8" s="255"/>
      <c r="X8" s="258"/>
      <c r="Y8" s="259"/>
      <c r="Z8" s="259"/>
      <c r="AA8" s="259"/>
      <c r="AB8" s="260"/>
      <c r="AC8" s="260"/>
      <c r="AD8" s="260"/>
      <c r="AE8" s="260"/>
    </row>
    <row r="9" spans="2:31" ht="21" customHeight="1">
      <c r="B9" s="231"/>
      <c r="C9" s="232"/>
      <c r="D9" s="233" t="s">
        <v>203</v>
      </c>
      <c r="E9" s="232"/>
      <c r="F9" s="250"/>
      <c r="G9" s="250"/>
      <c r="H9" s="250"/>
      <c r="I9" s="250"/>
      <c r="J9" s="250"/>
      <c r="K9" s="250"/>
      <c r="L9" s="250"/>
      <c r="M9" s="250"/>
      <c r="N9" s="250"/>
      <c r="O9" s="253"/>
      <c r="P9" s="254"/>
      <c r="Q9" s="254"/>
      <c r="R9" s="254"/>
      <c r="S9" s="255" t="s">
        <v>204</v>
      </c>
      <c r="T9" s="254"/>
      <c r="U9" s="255"/>
      <c r="V9" s="255"/>
      <c r="W9" s="255"/>
      <c r="X9" s="261"/>
      <c r="Y9" s="259"/>
      <c r="Z9" s="259"/>
      <c r="AA9" s="259"/>
      <c r="AB9" s="260"/>
      <c r="AC9" s="260"/>
      <c r="AD9" s="260"/>
      <c r="AE9" s="260"/>
    </row>
    <row r="10" spans="2:31" ht="21" customHeight="1">
      <c r="B10" s="231"/>
      <c r="C10" s="232"/>
      <c r="D10" s="232"/>
      <c r="E10" s="246" t="s">
        <v>205</v>
      </c>
      <c r="F10" s="255"/>
      <c r="G10" s="255"/>
      <c r="H10" s="255"/>
      <c r="I10" s="250"/>
      <c r="J10" s="250"/>
      <c r="K10" s="250"/>
      <c r="L10" s="250"/>
      <c r="M10" s="250"/>
      <c r="N10" s="250"/>
      <c r="O10" s="253"/>
      <c r="P10" s="254"/>
      <c r="Q10" s="254"/>
      <c r="R10" s="254"/>
      <c r="S10" s="255"/>
      <c r="T10" s="255" t="s">
        <v>206</v>
      </c>
      <c r="U10" s="254"/>
      <c r="V10" s="254" t="s">
        <v>207</v>
      </c>
      <c r="W10" s="262">
        <f>ROUND(0.63185*(U8/1000)^2,3)</f>
        <v>1.4219999999999999</v>
      </c>
      <c r="X10" s="263" t="s">
        <v>35</v>
      </c>
      <c r="Y10" s="259"/>
      <c r="Z10" s="259"/>
      <c r="AA10" s="259"/>
      <c r="AB10" s="260"/>
      <c r="AC10" s="260"/>
      <c r="AD10" s="260"/>
      <c r="AE10" s="260"/>
    </row>
    <row r="11" spans="2:31" ht="21" customHeight="1">
      <c r="B11" s="231"/>
      <c r="C11" s="232"/>
      <c r="D11" s="232"/>
      <c r="E11" s="264" t="s">
        <v>208</v>
      </c>
      <c r="F11" s="265"/>
      <c r="G11" s="266"/>
      <c r="H11" s="266"/>
      <c r="I11" s="250"/>
      <c r="J11" s="250"/>
      <c r="K11" s="250"/>
      <c r="L11" s="250"/>
      <c r="M11" s="250"/>
      <c r="N11" s="250"/>
      <c r="O11" s="253"/>
      <c r="P11" s="254"/>
      <c r="Q11" s="254"/>
      <c r="R11" s="254"/>
      <c r="S11" s="255" t="s">
        <v>209</v>
      </c>
      <c r="T11" s="254"/>
      <c r="U11" s="254"/>
      <c r="V11" s="255"/>
      <c r="W11" s="255"/>
      <c r="X11" s="261"/>
      <c r="Y11" s="259"/>
      <c r="Z11" s="259"/>
      <c r="AA11" s="259"/>
      <c r="AB11" s="260"/>
      <c r="AC11" s="260"/>
      <c r="AD11" s="260"/>
      <c r="AE11" s="260"/>
    </row>
    <row r="12" spans="2:31" ht="21" customHeight="1">
      <c r="B12" s="231"/>
      <c r="C12" s="232"/>
      <c r="D12" s="232"/>
      <c r="E12" s="264"/>
      <c r="F12" s="265"/>
      <c r="G12" s="266"/>
      <c r="H12" s="266"/>
      <c r="I12" s="250"/>
      <c r="J12" s="250"/>
      <c r="K12" s="250"/>
      <c r="L12" s="250"/>
      <c r="M12" s="250"/>
      <c r="N12" s="250"/>
      <c r="O12" s="253"/>
      <c r="P12" s="254"/>
      <c r="Q12" s="254"/>
      <c r="R12" s="254"/>
      <c r="S12" s="255"/>
      <c r="T12" s="255" t="s">
        <v>210</v>
      </c>
      <c r="U12" s="254"/>
      <c r="V12" s="254" t="s">
        <v>207</v>
      </c>
      <c r="W12" s="262">
        <f>ROUND(2.0944*(U8/1000),3)</f>
        <v>3.1419999999999999</v>
      </c>
      <c r="X12" s="263" t="s">
        <v>34</v>
      </c>
      <c r="Y12" s="259"/>
      <c r="Z12" s="259"/>
      <c r="AA12" s="259"/>
      <c r="AB12" s="260"/>
      <c r="AC12" s="260"/>
      <c r="AD12" s="260"/>
      <c r="AE12" s="260"/>
    </row>
    <row r="13" spans="2:31" ht="21" customHeight="1">
      <c r="B13" s="231"/>
      <c r="C13" s="232"/>
      <c r="D13" s="232"/>
      <c r="E13" s="246"/>
      <c r="F13" s="266" t="s">
        <v>211</v>
      </c>
      <c r="G13" s="266"/>
      <c r="H13" s="266"/>
      <c r="I13" s="250"/>
      <c r="J13" s="250"/>
      <c r="K13" s="250"/>
      <c r="L13" s="250"/>
      <c r="M13" s="267">
        <f>ROUND(((2/3*3.28*M14*(M16/M15^0.5))^0.467/60),2)</f>
        <v>0.63</v>
      </c>
      <c r="N13" s="250"/>
      <c r="O13" s="253"/>
      <c r="P13" s="254"/>
      <c r="Q13" s="254"/>
      <c r="R13" s="254"/>
      <c r="S13" s="255" t="s">
        <v>212</v>
      </c>
      <c r="T13" s="255"/>
      <c r="U13" s="255"/>
      <c r="V13" s="254" t="s">
        <v>207</v>
      </c>
      <c r="W13" s="262">
        <f>ROUND(W10/W12,3)</f>
        <v>0.45300000000000001</v>
      </c>
      <c r="X13" s="263"/>
      <c r="Y13" s="259"/>
      <c r="Z13" s="259"/>
      <c r="AA13" s="259"/>
      <c r="AB13" s="260"/>
      <c r="AC13" s="260"/>
      <c r="AD13" s="260"/>
      <c r="AE13" s="260"/>
    </row>
    <row r="14" spans="2:31" ht="21" customHeight="1">
      <c r="B14" s="231"/>
      <c r="C14" s="232"/>
      <c r="D14" s="232"/>
      <c r="E14" s="246"/>
      <c r="F14" s="266" t="s">
        <v>213</v>
      </c>
      <c r="G14" s="266"/>
      <c r="H14" s="266"/>
      <c r="I14" s="250"/>
      <c r="J14" s="250"/>
      <c r="K14" s="250"/>
      <c r="L14" s="250"/>
      <c r="M14" s="268">
        <v>900</v>
      </c>
      <c r="N14" s="250"/>
      <c r="O14" s="253"/>
      <c r="P14" s="254"/>
      <c r="Q14" s="254"/>
      <c r="R14" s="254"/>
      <c r="S14" s="255" t="s">
        <v>214</v>
      </c>
      <c r="T14" s="254"/>
      <c r="U14" s="269">
        <v>10</v>
      </c>
      <c r="V14" s="254" t="s">
        <v>215</v>
      </c>
      <c r="W14" s="270">
        <f>ROUND(1/U14*100,2)</f>
        <v>10</v>
      </c>
      <c r="X14" s="261" t="s">
        <v>216</v>
      </c>
      <c r="Y14" s="259"/>
      <c r="Z14" s="259"/>
      <c r="AA14" s="259"/>
      <c r="AB14" s="260"/>
      <c r="AC14" s="260"/>
      <c r="AD14" s="260"/>
      <c r="AE14" s="260"/>
    </row>
    <row r="15" spans="2:31" ht="21" customHeight="1">
      <c r="B15" s="231"/>
      <c r="C15" s="232"/>
      <c r="D15" s="232"/>
      <c r="E15" s="246"/>
      <c r="F15" s="266" t="s">
        <v>217</v>
      </c>
      <c r="G15" s="266"/>
      <c r="H15" s="266"/>
      <c r="I15" s="250"/>
      <c r="J15" s="250"/>
      <c r="K15" s="250"/>
      <c r="L15" s="250"/>
      <c r="M15" s="271">
        <f>M17/M14</f>
        <v>0.33333333333333331</v>
      </c>
      <c r="N15" s="250"/>
      <c r="O15" s="253"/>
      <c r="P15" s="254"/>
      <c r="Q15" s="254"/>
      <c r="R15" s="254"/>
      <c r="S15" s="254"/>
      <c r="T15" s="255" t="s">
        <v>435</v>
      </c>
      <c r="U15" s="257">
        <v>2.5000000000000001E-2</v>
      </c>
      <c r="V15" s="255"/>
      <c r="W15" s="254"/>
      <c r="X15" s="258"/>
      <c r="Y15" s="259"/>
      <c r="Z15" s="259"/>
      <c r="AA15" s="259"/>
      <c r="AB15" s="260"/>
      <c r="AC15" s="260"/>
      <c r="AD15" s="260"/>
      <c r="AE15" s="260"/>
    </row>
    <row r="16" spans="2:31" ht="21" customHeight="1">
      <c r="B16" s="231"/>
      <c r="C16" s="232"/>
      <c r="D16" s="232"/>
      <c r="E16" s="232"/>
      <c r="F16" s="266" t="s">
        <v>218</v>
      </c>
      <c r="G16" s="250"/>
      <c r="H16" s="250"/>
      <c r="I16" s="250"/>
      <c r="J16" s="250"/>
      <c r="K16" s="250"/>
      <c r="L16" s="250"/>
      <c r="M16" s="268">
        <v>0.7</v>
      </c>
      <c r="N16" s="250"/>
      <c r="O16" s="253"/>
      <c r="P16" s="255"/>
      <c r="Q16" s="255"/>
      <c r="R16" s="255"/>
      <c r="S16" s="255"/>
      <c r="T16" s="255"/>
      <c r="U16" s="255"/>
      <c r="V16" s="255"/>
      <c r="W16" s="255"/>
      <c r="X16" s="261"/>
      <c r="Y16" s="259"/>
      <c r="Z16" s="259"/>
      <c r="AA16" s="259"/>
      <c r="AB16" s="260"/>
      <c r="AC16" s="260"/>
      <c r="AD16" s="260"/>
      <c r="AE16" s="260"/>
    </row>
    <row r="17" spans="2:31" ht="21" customHeight="1">
      <c r="B17" s="231"/>
      <c r="C17" s="232"/>
      <c r="D17" s="232"/>
      <c r="E17" s="232"/>
      <c r="F17" s="266" t="s">
        <v>219</v>
      </c>
      <c r="G17" s="250"/>
      <c r="H17" s="250"/>
      <c r="I17" s="250"/>
      <c r="J17" s="250"/>
      <c r="K17" s="250"/>
      <c r="L17" s="250"/>
      <c r="M17" s="272">
        <v>300</v>
      </c>
      <c r="N17" s="250"/>
      <c r="O17" s="253"/>
      <c r="P17" s="255"/>
      <c r="Q17" s="273" t="s">
        <v>220</v>
      </c>
      <c r="R17" s="274" t="str">
        <f>"V = 1 / n × R⅔ × I½  = 1/0.025 × "&amp;FIXED(W13,3)&amp;"^⅔ × "&amp;FIXED(ROUND(1/U14,3),3)&amp;"^⅔  ="</f>
        <v>V = 1 / n × R⅔ × I½  = 1/0.025 × 0.453^⅔ × 0.100^⅔  =</v>
      </c>
      <c r="S17" s="275"/>
      <c r="T17" s="255"/>
      <c r="U17" s="257"/>
      <c r="V17" s="255"/>
      <c r="W17" s="255"/>
      <c r="X17" s="261"/>
      <c r="Y17" s="259"/>
      <c r="Z17" s="259"/>
      <c r="AA17" s="259"/>
      <c r="AB17" s="260"/>
      <c r="AC17" s="260"/>
      <c r="AD17" s="260"/>
      <c r="AE17" s="260"/>
    </row>
    <row r="18" spans="2:31" ht="21" customHeight="1">
      <c r="B18" s="231"/>
      <c r="C18" s="232"/>
      <c r="D18" s="233" t="s">
        <v>221</v>
      </c>
      <c r="E18" s="232"/>
      <c r="F18" s="250"/>
      <c r="G18" s="250"/>
      <c r="H18" s="250"/>
      <c r="I18" s="250"/>
      <c r="J18" s="250"/>
      <c r="K18" s="250"/>
      <c r="L18" s="250"/>
      <c r="M18" s="250"/>
      <c r="N18" s="250"/>
      <c r="O18" s="253"/>
      <c r="P18" s="255"/>
      <c r="Q18" s="273"/>
      <c r="R18" s="255"/>
      <c r="S18" s="275"/>
      <c r="T18" s="257"/>
      <c r="U18" s="255"/>
      <c r="V18" s="262">
        <f>ROUND((1/0.025)*W13^(2/3)*(1/U14)^(1/2),3)</f>
        <v>7.4610000000000003</v>
      </c>
      <c r="W18" s="255" t="s">
        <v>222</v>
      </c>
      <c r="X18" s="261"/>
      <c r="Y18" s="259"/>
      <c r="Z18" s="259"/>
      <c r="AA18" s="259"/>
      <c r="AB18" s="260"/>
      <c r="AC18" s="260"/>
      <c r="AD18" s="260"/>
      <c r="AE18" s="260"/>
    </row>
    <row r="19" spans="2:31" ht="21" customHeight="1">
      <c r="B19" s="231"/>
      <c r="C19" s="232"/>
      <c r="D19" s="232"/>
      <c r="E19" s="232" t="s">
        <v>223</v>
      </c>
      <c r="F19" s="250"/>
      <c r="G19" s="250"/>
      <c r="H19" s="250"/>
      <c r="I19" s="250"/>
      <c r="J19" s="250"/>
      <c r="K19" s="250"/>
      <c r="L19" s="250"/>
      <c r="M19" s="276">
        <f>ROUND((H21/24)*(24/M13)^0.557,2)</f>
        <v>69.94</v>
      </c>
      <c r="N19" s="250"/>
      <c r="O19" s="253"/>
      <c r="P19" s="255"/>
      <c r="Q19" s="273"/>
      <c r="R19" s="255"/>
      <c r="S19" s="275"/>
      <c r="T19" s="257"/>
      <c r="U19" s="255"/>
      <c r="V19" s="262"/>
      <c r="W19" s="255"/>
      <c r="X19" s="261"/>
      <c r="Y19" s="259"/>
      <c r="Z19" s="259"/>
      <c r="AA19" s="259"/>
      <c r="AB19" s="260"/>
      <c r="AC19" s="260"/>
      <c r="AD19" s="260"/>
      <c r="AE19" s="260"/>
    </row>
    <row r="20" spans="2:31" ht="21" customHeight="1">
      <c r="B20" s="231"/>
      <c r="C20" s="232"/>
      <c r="D20" s="232"/>
      <c r="E20" s="232"/>
      <c r="F20" s="250"/>
      <c r="G20" s="250"/>
      <c r="H20" s="250"/>
      <c r="I20" s="250"/>
      <c r="J20" s="250"/>
      <c r="K20" s="250"/>
      <c r="L20" s="250"/>
      <c r="M20" s="250"/>
      <c r="N20" s="250"/>
      <c r="O20" s="253"/>
      <c r="P20" s="255"/>
      <c r="Q20" s="273" t="s">
        <v>224</v>
      </c>
      <c r="R20" s="255" t="str">
        <f>"Q = A × V   = "&amp;FIXED(W10,3)&amp;" × "&amp;FIXED(V18,3)&amp;"  ="</f>
        <v>Q = A × V   = 1.422 × 7.461  =</v>
      </c>
      <c r="S20" s="255"/>
      <c r="T20" s="277"/>
      <c r="U20" s="257"/>
      <c r="V20" s="262">
        <f>ROUND(W10*V18,3)</f>
        <v>10.61</v>
      </c>
      <c r="W20" s="255" t="s">
        <v>225</v>
      </c>
      <c r="X20" s="261"/>
      <c r="Y20" s="259"/>
      <c r="Z20" s="259"/>
      <c r="AA20" s="259"/>
      <c r="AB20" s="260"/>
      <c r="AC20" s="260"/>
      <c r="AD20" s="260"/>
      <c r="AE20" s="260"/>
    </row>
    <row r="21" spans="2:31" ht="21" customHeight="1" thickBot="1">
      <c r="B21" s="231"/>
      <c r="C21" s="232"/>
      <c r="D21" s="232"/>
      <c r="E21" s="232"/>
      <c r="F21" s="250" t="s">
        <v>226</v>
      </c>
      <c r="G21" s="250"/>
      <c r="H21" s="278">
        <v>221</v>
      </c>
      <c r="I21" s="279"/>
      <c r="J21" s="1294" t="s">
        <v>227</v>
      </c>
      <c r="K21" s="1294"/>
      <c r="L21" s="250"/>
      <c r="M21" s="280" t="s">
        <v>228</v>
      </c>
      <c r="N21" s="280" t="s">
        <v>229</v>
      </c>
      <c r="O21" s="253"/>
      <c r="P21" s="255"/>
      <c r="Q21" s="281"/>
      <c r="R21" s="254"/>
      <c r="S21" s="254"/>
      <c r="T21" s="254"/>
      <c r="U21" s="254"/>
      <c r="V21" s="254"/>
      <c r="W21" s="254"/>
      <c r="X21" s="261"/>
      <c r="Y21" s="259"/>
      <c r="Z21" s="259"/>
      <c r="AA21" s="259"/>
      <c r="AB21" s="260"/>
      <c r="AC21" s="260"/>
      <c r="AD21" s="260"/>
      <c r="AE21" s="260"/>
    </row>
    <row r="22" spans="2:31" ht="21" customHeight="1" thickBot="1">
      <c r="B22" s="231"/>
      <c r="C22" s="232"/>
      <c r="D22" s="232"/>
      <c r="E22" s="232"/>
      <c r="F22" s="250"/>
      <c r="G22" s="250"/>
      <c r="H22" s="279"/>
      <c r="I22" s="279"/>
      <c r="J22" s="254"/>
      <c r="K22" s="254"/>
      <c r="L22" s="250"/>
      <c r="M22" s="282" t="s">
        <v>434</v>
      </c>
      <c r="N22" s="283">
        <v>100</v>
      </c>
      <c r="O22" s="253"/>
      <c r="P22" s="255"/>
      <c r="Q22" s="281"/>
      <c r="R22" s="1283" t="str">
        <f>V20&amp;"㎥/s &gt; Qd = "&amp;R4&amp;"㎥/s "&amp;IF(V20&gt;R4," -  O K  - "," -  N O  - ")</f>
        <v xml:space="preserve">10.61㎥/s &gt; Qd = 4.12㎥/s  -  O K  - </v>
      </c>
      <c r="S22" s="1283"/>
      <c r="T22" s="1283"/>
      <c r="U22" s="1283"/>
      <c r="V22" s="1283"/>
      <c r="W22" s="284"/>
      <c r="X22" s="258"/>
      <c r="Y22" s="259"/>
      <c r="Z22" s="259"/>
      <c r="AA22" s="259"/>
      <c r="AB22" s="260"/>
      <c r="AC22" s="260"/>
      <c r="AD22" s="260"/>
      <c r="AE22" s="260"/>
    </row>
    <row r="23" spans="2:31" ht="21" customHeight="1">
      <c r="B23" s="231"/>
      <c r="C23" s="232"/>
      <c r="D23" s="232"/>
      <c r="E23" s="232"/>
      <c r="F23" s="250"/>
      <c r="G23" s="250"/>
      <c r="H23" s="279"/>
      <c r="I23" s="279"/>
      <c r="J23" s="254"/>
      <c r="K23" s="254"/>
      <c r="L23" s="250"/>
      <c r="M23" s="285"/>
      <c r="N23" s="285"/>
      <c r="O23" s="253"/>
      <c r="P23" s="255"/>
      <c r="Q23" s="281"/>
      <c r="R23" s="255"/>
      <c r="S23" s="286"/>
      <c r="T23" s="254"/>
      <c r="U23" s="287"/>
      <c r="V23" s="254"/>
      <c r="W23" s="255"/>
      <c r="X23" s="258"/>
      <c r="Y23" s="259"/>
      <c r="Z23" s="259"/>
      <c r="AA23" s="259"/>
      <c r="AB23" s="260"/>
      <c r="AC23" s="260"/>
      <c r="AD23" s="260"/>
      <c r="AE23" s="260"/>
    </row>
    <row r="24" spans="2:31" ht="21" customHeight="1">
      <c r="B24" s="231"/>
      <c r="C24" s="232"/>
      <c r="D24" s="232"/>
      <c r="E24" s="232"/>
      <c r="F24" s="250" t="s">
        <v>230</v>
      </c>
      <c r="G24" s="250"/>
      <c r="H24" s="250"/>
      <c r="I24" s="250"/>
      <c r="J24" s="250"/>
      <c r="K24" s="250"/>
      <c r="L24" s="250"/>
      <c r="M24" s="250"/>
      <c r="N24" s="250"/>
      <c r="O24" s="253"/>
      <c r="P24" s="255"/>
      <c r="Q24" s="273" t="s">
        <v>231</v>
      </c>
      <c r="R24" s="254">
        <f>ROUND(V20/R4*100,)</f>
        <v>258</v>
      </c>
      <c r="S24" s="255" t="s">
        <v>216</v>
      </c>
      <c r="T24" s="254"/>
      <c r="U24" s="287"/>
      <c r="V24" s="254"/>
      <c r="W24" s="255"/>
      <c r="X24" s="258"/>
      <c r="Y24" s="259"/>
      <c r="Z24" s="259"/>
      <c r="AA24" s="259"/>
      <c r="AB24" s="260"/>
      <c r="AC24" s="260"/>
      <c r="AD24" s="260"/>
      <c r="AE24" s="260"/>
    </row>
    <row r="25" spans="2:31" ht="21" customHeight="1" thickBot="1">
      <c r="B25" s="288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90"/>
      <c r="P25" s="291"/>
      <c r="Q25" s="291"/>
      <c r="R25" s="291"/>
      <c r="S25" s="291"/>
      <c r="T25" s="291"/>
      <c r="U25" s="291"/>
      <c r="V25" s="291"/>
      <c r="W25" s="291"/>
      <c r="X25" s="292"/>
      <c r="Y25" s="223"/>
      <c r="Z25" s="223"/>
      <c r="AA25" s="223"/>
    </row>
    <row r="26" spans="2:31" ht="18.95" customHeight="1"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</row>
    <row r="27" spans="2:31" ht="18.95" customHeight="1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</row>
    <row r="28" spans="2:31" ht="18.95" customHeight="1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</row>
    <row r="29" spans="2:31" ht="18.95" customHeight="1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</row>
    <row r="30" spans="2:31" ht="18.95" customHeight="1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</row>
    <row r="31" spans="2:31" ht="18.95" customHeight="1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</row>
    <row r="32" spans="2:31" ht="18.95" customHeight="1">
      <c r="B32" s="294" t="s">
        <v>232</v>
      </c>
      <c r="C32" s="295"/>
      <c r="D32" s="1284" t="s">
        <v>229</v>
      </c>
      <c r="E32" s="1285"/>
      <c r="F32" s="1286"/>
      <c r="G32" s="1287" t="s">
        <v>233</v>
      </c>
      <c r="H32" s="1288"/>
      <c r="I32" s="1289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</row>
    <row r="33" spans="2:25" ht="18.95" customHeight="1">
      <c r="B33" s="294" t="s">
        <v>234</v>
      </c>
      <c r="C33" s="295"/>
      <c r="D33" s="294">
        <v>10</v>
      </c>
      <c r="E33" s="296"/>
      <c r="F33" s="295"/>
      <c r="G33" s="297">
        <v>199.6</v>
      </c>
      <c r="H33" s="298"/>
      <c r="I33" s="299"/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</row>
    <row r="34" spans="2:25" ht="18.95" customHeight="1">
      <c r="B34" s="294" t="s">
        <v>234</v>
      </c>
      <c r="C34" s="295"/>
      <c r="D34" s="294">
        <v>20</v>
      </c>
      <c r="E34" s="296"/>
      <c r="F34" s="295"/>
      <c r="G34" s="297">
        <v>233.2</v>
      </c>
      <c r="H34" s="298"/>
      <c r="I34" s="299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</row>
    <row r="35" spans="2:25" ht="18.95" customHeight="1">
      <c r="B35" s="294" t="s">
        <v>234</v>
      </c>
      <c r="C35" s="295"/>
      <c r="D35" s="294">
        <v>30</v>
      </c>
      <c r="E35" s="296"/>
      <c r="F35" s="295"/>
      <c r="G35" s="297">
        <v>252.6</v>
      </c>
      <c r="H35" s="298"/>
      <c r="I35" s="299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3"/>
      <c r="Y35" s="293"/>
    </row>
    <row r="36" spans="2:25" ht="18.95" customHeight="1">
      <c r="B36" s="294" t="s">
        <v>234</v>
      </c>
      <c r="C36" s="295"/>
      <c r="D36" s="294">
        <v>50</v>
      </c>
      <c r="E36" s="296"/>
      <c r="F36" s="295"/>
      <c r="G36" s="297">
        <v>276.8</v>
      </c>
      <c r="H36" s="298"/>
      <c r="I36" s="299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</row>
    <row r="37" spans="2:25" ht="18.95" customHeight="1">
      <c r="B37" s="294"/>
      <c r="C37" s="295"/>
      <c r="D37" s="294"/>
      <c r="E37" s="296"/>
      <c r="F37" s="295"/>
      <c r="G37" s="297"/>
      <c r="H37" s="298"/>
      <c r="I37" s="299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</row>
    <row r="38" spans="2:25" ht="18.95" customHeight="1">
      <c r="B38" s="294"/>
      <c r="C38" s="295"/>
      <c r="D38" s="294"/>
      <c r="E38" s="296"/>
      <c r="F38" s="295"/>
      <c r="G38" s="297"/>
      <c r="H38" s="298"/>
      <c r="I38" s="299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</row>
    <row r="39" spans="2:25" ht="18.95" customHeight="1">
      <c r="B39" s="294"/>
      <c r="C39" s="295"/>
      <c r="D39" s="294"/>
      <c r="E39" s="296"/>
      <c r="F39" s="295"/>
      <c r="G39" s="297"/>
      <c r="H39" s="298"/>
      <c r="I39" s="299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</row>
    <row r="40" spans="2:25" ht="18.95" customHeight="1">
      <c r="B40" s="294"/>
      <c r="C40" s="295"/>
      <c r="D40" s="294"/>
      <c r="E40" s="296"/>
      <c r="F40" s="295"/>
      <c r="G40" s="297"/>
      <c r="H40" s="298"/>
      <c r="I40" s="299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</row>
    <row r="41" spans="2:25" ht="18.95" customHeight="1">
      <c r="B41" s="294"/>
      <c r="C41" s="295"/>
      <c r="D41" s="294"/>
      <c r="E41" s="296"/>
      <c r="F41" s="295"/>
      <c r="G41" s="297"/>
      <c r="H41" s="298"/>
      <c r="I41" s="299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</row>
    <row r="42" spans="2:25" ht="18.95" customHeight="1">
      <c r="B42" s="294" t="s">
        <v>235</v>
      </c>
      <c r="C42" s="295"/>
      <c r="D42" s="294">
        <v>30</v>
      </c>
      <c r="E42" s="296"/>
      <c r="F42" s="295"/>
      <c r="G42" s="297">
        <v>200.9</v>
      </c>
      <c r="H42" s="298"/>
      <c r="I42" s="299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</row>
    <row r="43" spans="2:25" ht="18.95" customHeight="1">
      <c r="B43" s="294" t="s">
        <v>235</v>
      </c>
      <c r="C43" s="295"/>
      <c r="D43" s="294">
        <v>50</v>
      </c>
      <c r="E43" s="296"/>
      <c r="F43" s="295"/>
      <c r="G43" s="297">
        <v>216.5</v>
      </c>
      <c r="H43" s="298"/>
      <c r="I43" s="299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</row>
    <row r="44" spans="2:25" ht="18.95" customHeight="1">
      <c r="B44" s="216" t="s">
        <v>235</v>
      </c>
      <c r="C44" s="217"/>
      <c r="D44" s="218">
        <v>70</v>
      </c>
      <c r="E44" s="219"/>
      <c r="F44" s="217"/>
      <c r="G44" s="220">
        <v>226.7</v>
      </c>
      <c r="H44" s="221"/>
      <c r="I44" s="222"/>
      <c r="P44" s="214"/>
      <c r="Q44" s="214"/>
      <c r="R44" s="214"/>
      <c r="S44" s="214"/>
      <c r="T44" s="214"/>
      <c r="U44" s="214"/>
      <c r="V44" s="214"/>
      <c r="W44" s="214"/>
      <c r="X44" s="214"/>
    </row>
    <row r="45" spans="2:25" ht="18.95" customHeight="1">
      <c r="B45" s="216" t="s">
        <v>235</v>
      </c>
      <c r="C45" s="217"/>
      <c r="D45" s="218">
        <v>80</v>
      </c>
      <c r="E45" s="219"/>
      <c r="F45" s="217"/>
      <c r="G45" s="220">
        <v>230.8</v>
      </c>
      <c r="H45" s="221"/>
      <c r="I45" s="222"/>
    </row>
    <row r="46" spans="2:25" ht="18.95" customHeight="1">
      <c r="B46" s="216" t="s">
        <v>235</v>
      </c>
      <c r="C46" s="217"/>
      <c r="D46" s="218">
        <v>100</v>
      </c>
      <c r="E46" s="219"/>
      <c r="F46" s="217"/>
      <c r="G46" s="220">
        <v>237.5</v>
      </c>
      <c r="H46" s="221"/>
      <c r="I46" s="222"/>
    </row>
    <row r="47" spans="2:25" ht="18.95" customHeight="1">
      <c r="B47" s="216" t="s">
        <v>236</v>
      </c>
      <c r="C47" s="217"/>
      <c r="D47" s="218">
        <v>10</v>
      </c>
      <c r="E47" s="219"/>
      <c r="F47" s="217"/>
      <c r="G47" s="220">
        <v>122.2</v>
      </c>
      <c r="H47" s="221"/>
      <c r="I47" s="222"/>
    </row>
    <row r="48" spans="2:25" ht="18.95" customHeight="1">
      <c r="B48" s="216" t="s">
        <v>236</v>
      </c>
      <c r="C48" s="217"/>
      <c r="D48" s="218">
        <v>20</v>
      </c>
      <c r="E48" s="219"/>
      <c r="F48" s="217"/>
      <c r="G48" s="220">
        <v>135.30000000000001</v>
      </c>
      <c r="H48" s="221"/>
      <c r="I48" s="222"/>
    </row>
    <row r="49" spans="2:9" ht="18.95" customHeight="1">
      <c r="B49" s="216" t="s">
        <v>236</v>
      </c>
      <c r="C49" s="217"/>
      <c r="D49" s="218">
        <v>30</v>
      </c>
      <c r="E49" s="219"/>
      <c r="F49" s="217"/>
      <c r="G49" s="220">
        <v>142.9</v>
      </c>
      <c r="H49" s="221"/>
      <c r="I49" s="222"/>
    </row>
    <row r="50" spans="2:9" ht="18.95" customHeight="1">
      <c r="B50" s="216" t="s">
        <v>236</v>
      </c>
      <c r="C50" s="217"/>
      <c r="D50" s="218">
        <v>50</v>
      </c>
      <c r="E50" s="219"/>
      <c r="F50" s="217"/>
      <c r="G50" s="220">
        <v>152.30000000000001</v>
      </c>
      <c r="H50" s="221"/>
      <c r="I50" s="222"/>
    </row>
    <row r="51" spans="2:9" ht="18.95" customHeight="1">
      <c r="B51" s="216" t="s">
        <v>236</v>
      </c>
      <c r="C51" s="217"/>
      <c r="D51" s="218">
        <v>70</v>
      </c>
      <c r="E51" s="219"/>
      <c r="F51" s="217"/>
      <c r="G51" s="220">
        <v>158.5</v>
      </c>
      <c r="H51" s="221"/>
      <c r="I51" s="222"/>
    </row>
    <row r="52" spans="2:9" ht="18.95" customHeight="1">
      <c r="B52" s="216" t="s">
        <v>236</v>
      </c>
      <c r="C52" s="217"/>
      <c r="D52" s="218">
        <v>80</v>
      </c>
      <c r="E52" s="219"/>
      <c r="F52" s="217"/>
      <c r="G52" s="220">
        <v>160.9</v>
      </c>
      <c r="H52" s="221"/>
      <c r="I52" s="222"/>
    </row>
    <row r="53" spans="2:9" ht="18.95" customHeight="1">
      <c r="B53" s="216" t="s">
        <v>236</v>
      </c>
      <c r="C53" s="217"/>
      <c r="D53" s="218">
        <v>100</v>
      </c>
      <c r="E53" s="219"/>
      <c r="F53" s="217"/>
      <c r="G53" s="220">
        <v>165</v>
      </c>
      <c r="H53" s="221"/>
      <c r="I53" s="222"/>
    </row>
    <row r="54" spans="2:9" ht="18.95" customHeight="1">
      <c r="B54" s="216" t="s">
        <v>237</v>
      </c>
      <c r="C54" s="217"/>
      <c r="D54" s="218">
        <v>10</v>
      </c>
      <c r="E54" s="219"/>
      <c r="F54" s="217"/>
      <c r="G54" s="220">
        <v>217.1</v>
      </c>
      <c r="H54" s="221"/>
      <c r="I54" s="222"/>
    </row>
    <row r="55" spans="2:9" ht="18.95" customHeight="1">
      <c r="B55" s="216" t="s">
        <v>237</v>
      </c>
      <c r="C55" s="217"/>
      <c r="D55" s="218">
        <v>20</v>
      </c>
      <c r="E55" s="219"/>
      <c r="F55" s="217"/>
      <c r="G55" s="220">
        <v>254</v>
      </c>
      <c r="H55" s="221"/>
      <c r="I55" s="222"/>
    </row>
    <row r="56" spans="2:9" ht="18.95" customHeight="1">
      <c r="B56" s="216" t="s">
        <v>237</v>
      </c>
      <c r="C56" s="217"/>
      <c r="D56" s="218">
        <v>30</v>
      </c>
      <c r="E56" s="219"/>
      <c r="F56" s="217"/>
      <c r="G56" s="220">
        <v>275.2</v>
      </c>
      <c r="H56" s="221"/>
      <c r="I56" s="222"/>
    </row>
    <row r="57" spans="2:9" ht="18.95" customHeight="1">
      <c r="B57" s="216" t="s">
        <v>237</v>
      </c>
      <c r="C57" s="217"/>
      <c r="D57" s="218">
        <v>50</v>
      </c>
      <c r="E57" s="219"/>
      <c r="F57" s="217"/>
      <c r="G57" s="220">
        <v>301.7</v>
      </c>
      <c r="H57" s="221"/>
      <c r="I57" s="222"/>
    </row>
    <row r="58" spans="2:9" ht="18.95" customHeight="1">
      <c r="B58" s="216" t="s">
        <v>237</v>
      </c>
      <c r="C58" s="217"/>
      <c r="D58" s="218">
        <v>70</v>
      </c>
      <c r="E58" s="219"/>
      <c r="F58" s="217"/>
      <c r="G58" s="220">
        <v>319.10000000000002</v>
      </c>
      <c r="H58" s="221"/>
      <c r="I58" s="222"/>
    </row>
    <row r="59" spans="2:9" ht="18.95" customHeight="1">
      <c r="B59" s="216" t="s">
        <v>237</v>
      </c>
      <c r="C59" s="217"/>
      <c r="D59" s="218">
        <v>80</v>
      </c>
      <c r="E59" s="219"/>
      <c r="F59" s="217"/>
      <c r="G59" s="220">
        <v>326</v>
      </c>
      <c r="H59" s="221"/>
      <c r="I59" s="222"/>
    </row>
    <row r="60" spans="2:9" ht="18.95" customHeight="1">
      <c r="B60" s="216" t="s">
        <v>237</v>
      </c>
      <c r="C60" s="217"/>
      <c r="D60" s="218">
        <v>100</v>
      </c>
      <c r="E60" s="219"/>
      <c r="F60" s="217"/>
      <c r="G60" s="220">
        <v>337.5</v>
      </c>
      <c r="H60" s="221"/>
      <c r="I60" s="222"/>
    </row>
    <row r="61" spans="2:9" ht="18.95" customHeight="1">
      <c r="B61" s="216" t="s">
        <v>238</v>
      </c>
      <c r="C61" s="217"/>
      <c r="D61" s="218">
        <v>10</v>
      </c>
      <c r="E61" s="219"/>
      <c r="F61" s="217"/>
      <c r="G61" s="220">
        <v>170.1</v>
      </c>
      <c r="H61" s="221"/>
      <c r="I61" s="222"/>
    </row>
    <row r="62" spans="2:9" ht="18.95" customHeight="1">
      <c r="B62" s="216" t="s">
        <v>238</v>
      </c>
      <c r="C62" s="217"/>
      <c r="D62" s="218">
        <v>20</v>
      </c>
      <c r="E62" s="219"/>
      <c r="F62" s="217"/>
      <c r="G62" s="220">
        <v>196.1</v>
      </c>
      <c r="H62" s="221"/>
      <c r="I62" s="222"/>
    </row>
    <row r="63" spans="2:9" ht="18.95" customHeight="1">
      <c r="B63" s="216" t="s">
        <v>238</v>
      </c>
      <c r="C63" s="217"/>
      <c r="D63" s="218">
        <v>30</v>
      </c>
      <c r="E63" s="219"/>
      <c r="F63" s="217"/>
      <c r="G63" s="220">
        <v>211</v>
      </c>
      <c r="H63" s="221"/>
      <c r="I63" s="222"/>
    </row>
    <row r="64" spans="2:9" ht="18.95" customHeight="1">
      <c r="B64" s="216" t="s">
        <v>238</v>
      </c>
      <c r="C64" s="217"/>
      <c r="D64" s="218">
        <v>50</v>
      </c>
      <c r="E64" s="219"/>
      <c r="F64" s="217"/>
      <c r="G64" s="220">
        <v>229.8</v>
      </c>
      <c r="H64" s="221"/>
      <c r="I64" s="222"/>
    </row>
    <row r="65" spans="2:9" ht="18.95" customHeight="1">
      <c r="B65" s="216" t="s">
        <v>238</v>
      </c>
      <c r="C65" s="217"/>
      <c r="D65" s="218">
        <v>70</v>
      </c>
      <c r="E65" s="219"/>
      <c r="F65" s="217"/>
      <c r="G65" s="220">
        <v>242</v>
      </c>
      <c r="H65" s="221"/>
      <c r="I65" s="222"/>
    </row>
    <row r="66" spans="2:9" ht="18.95" customHeight="1">
      <c r="B66" s="216" t="s">
        <v>238</v>
      </c>
      <c r="C66" s="217"/>
      <c r="D66" s="218">
        <v>80</v>
      </c>
      <c r="E66" s="219"/>
      <c r="F66" s="217"/>
      <c r="G66" s="220">
        <v>246.9</v>
      </c>
      <c r="H66" s="221"/>
      <c r="I66" s="222"/>
    </row>
    <row r="67" spans="2:9" ht="18.95" customHeight="1">
      <c r="B67" s="216" t="s">
        <v>238</v>
      </c>
      <c r="C67" s="217"/>
      <c r="D67" s="218">
        <v>100</v>
      </c>
      <c r="E67" s="219"/>
      <c r="F67" s="217"/>
      <c r="G67" s="220">
        <v>255</v>
      </c>
      <c r="H67" s="221"/>
      <c r="I67" s="222"/>
    </row>
    <row r="68" spans="2:9" ht="18.95" customHeight="1">
      <c r="B68" s="216" t="s">
        <v>239</v>
      </c>
      <c r="C68" s="217"/>
      <c r="D68" s="218">
        <v>10</v>
      </c>
      <c r="E68" s="219"/>
      <c r="F68" s="217"/>
      <c r="G68" s="220">
        <v>233.5</v>
      </c>
      <c r="H68" s="221"/>
      <c r="I68" s="222"/>
    </row>
    <row r="69" spans="2:9" ht="18.95" customHeight="1">
      <c r="B69" s="216" t="s">
        <v>239</v>
      </c>
      <c r="C69" s="217"/>
      <c r="D69" s="218">
        <v>20</v>
      </c>
      <c r="E69" s="219"/>
      <c r="F69" s="217"/>
      <c r="G69" s="220">
        <v>273.89999999999998</v>
      </c>
      <c r="H69" s="221"/>
      <c r="I69" s="222"/>
    </row>
    <row r="70" spans="2:9" ht="18.95" customHeight="1">
      <c r="B70" s="216" t="s">
        <v>239</v>
      </c>
      <c r="C70" s="217"/>
      <c r="D70" s="218">
        <v>30</v>
      </c>
      <c r="E70" s="219"/>
      <c r="F70" s="217"/>
      <c r="G70" s="220">
        <v>297.2</v>
      </c>
      <c r="H70" s="221"/>
      <c r="I70" s="222"/>
    </row>
    <row r="71" spans="2:9" ht="18.95" customHeight="1">
      <c r="B71" s="216" t="s">
        <v>239</v>
      </c>
      <c r="C71" s="217"/>
      <c r="D71" s="218">
        <v>50</v>
      </c>
      <c r="E71" s="219"/>
      <c r="F71" s="217"/>
      <c r="G71" s="220">
        <v>326.3</v>
      </c>
      <c r="H71" s="221"/>
      <c r="I71" s="222"/>
    </row>
    <row r="72" spans="2:9" ht="18.95" customHeight="1">
      <c r="B72" s="216" t="s">
        <v>239</v>
      </c>
      <c r="C72" s="217"/>
      <c r="D72" s="218">
        <v>70</v>
      </c>
      <c r="E72" s="219"/>
      <c r="F72" s="217"/>
      <c r="G72" s="220">
        <v>345.3</v>
      </c>
      <c r="H72" s="221"/>
      <c r="I72" s="222"/>
    </row>
    <row r="73" spans="2:9" ht="18.95" customHeight="1">
      <c r="B73" s="216" t="s">
        <v>239</v>
      </c>
      <c r="C73" s="217"/>
      <c r="D73" s="218">
        <v>80</v>
      </c>
      <c r="E73" s="219"/>
      <c r="F73" s="217"/>
      <c r="G73" s="220">
        <v>352.9</v>
      </c>
      <c r="H73" s="221"/>
      <c r="I73" s="222"/>
    </row>
    <row r="74" spans="2:9" ht="18.95" customHeight="1">
      <c r="B74" s="216" t="s">
        <v>239</v>
      </c>
      <c r="C74" s="217"/>
      <c r="D74" s="218">
        <v>100</v>
      </c>
      <c r="E74" s="219"/>
      <c r="F74" s="217"/>
      <c r="G74" s="220">
        <v>365.5</v>
      </c>
      <c r="H74" s="221"/>
      <c r="I74" s="222"/>
    </row>
    <row r="75" spans="2:9" ht="18.95" customHeight="1">
      <c r="B75" s="216" t="s">
        <v>240</v>
      </c>
      <c r="C75" s="217"/>
      <c r="D75" s="218">
        <v>10</v>
      </c>
      <c r="E75" s="219"/>
      <c r="F75" s="217"/>
      <c r="G75" s="220">
        <v>213.4</v>
      </c>
      <c r="H75" s="221"/>
      <c r="I75" s="222"/>
    </row>
    <row r="76" spans="2:9" ht="18.95" customHeight="1">
      <c r="B76" s="216" t="s">
        <v>240</v>
      </c>
      <c r="C76" s="217"/>
      <c r="D76" s="218">
        <v>20</v>
      </c>
      <c r="E76" s="219"/>
      <c r="F76" s="217"/>
      <c r="G76" s="220">
        <v>245.8</v>
      </c>
      <c r="H76" s="221"/>
      <c r="I76" s="222"/>
    </row>
    <row r="77" spans="2:9" ht="18.95" customHeight="1">
      <c r="B77" s="216" t="s">
        <v>240</v>
      </c>
      <c r="C77" s="217"/>
      <c r="D77" s="218">
        <v>30</v>
      </c>
      <c r="E77" s="219"/>
      <c r="F77" s="217"/>
      <c r="G77" s="220">
        <v>264.39999999999998</v>
      </c>
      <c r="H77" s="221"/>
      <c r="I77" s="222"/>
    </row>
    <row r="78" spans="2:9" ht="18.95" customHeight="1">
      <c r="B78" s="216" t="s">
        <v>240</v>
      </c>
      <c r="C78" s="217"/>
      <c r="D78" s="218">
        <v>50</v>
      </c>
      <c r="E78" s="219"/>
      <c r="F78" s="217"/>
      <c r="G78" s="220">
        <v>287.7</v>
      </c>
      <c r="H78" s="221"/>
      <c r="I78" s="222"/>
    </row>
    <row r="79" spans="2:9" ht="18.95" customHeight="1">
      <c r="B79" s="216" t="s">
        <v>240</v>
      </c>
      <c r="C79" s="217"/>
      <c r="D79" s="218">
        <v>70</v>
      </c>
      <c r="E79" s="219"/>
      <c r="F79" s="217"/>
      <c r="G79" s="220">
        <v>302.89999999999998</v>
      </c>
      <c r="H79" s="221"/>
      <c r="I79" s="222"/>
    </row>
    <row r="80" spans="2:9" ht="18.95" customHeight="1">
      <c r="B80" s="216" t="s">
        <v>240</v>
      </c>
      <c r="C80" s="217"/>
      <c r="D80" s="218">
        <v>80</v>
      </c>
      <c r="E80" s="219"/>
      <c r="F80" s="217"/>
      <c r="G80" s="220">
        <v>309</v>
      </c>
      <c r="H80" s="221"/>
      <c r="I80" s="222"/>
    </row>
    <row r="81" spans="2:9" ht="18.95" customHeight="1">
      <c r="B81" s="216" t="s">
        <v>240</v>
      </c>
      <c r="C81" s="217"/>
      <c r="D81" s="218">
        <v>100</v>
      </c>
      <c r="E81" s="219"/>
      <c r="F81" s="217"/>
      <c r="G81" s="220">
        <v>319.10000000000002</v>
      </c>
      <c r="H81" s="221"/>
      <c r="I81" s="222"/>
    </row>
    <row r="82" spans="2:9" ht="18.95" customHeight="1">
      <c r="B82" s="216" t="s">
        <v>241</v>
      </c>
      <c r="C82" s="217"/>
      <c r="D82" s="218">
        <v>10</v>
      </c>
      <c r="E82" s="219"/>
      <c r="F82" s="217"/>
      <c r="G82" s="220">
        <v>154.5</v>
      </c>
      <c r="H82" s="221"/>
      <c r="I82" s="222"/>
    </row>
    <row r="83" spans="2:9" ht="18.95" customHeight="1">
      <c r="B83" s="216" t="s">
        <v>241</v>
      </c>
      <c r="C83" s="217"/>
      <c r="D83" s="218">
        <v>20</v>
      </c>
      <c r="E83" s="219"/>
      <c r="F83" s="217"/>
      <c r="G83" s="220">
        <v>173.6</v>
      </c>
      <c r="H83" s="221"/>
      <c r="I83" s="222"/>
    </row>
    <row r="84" spans="2:9" ht="18.95" customHeight="1">
      <c r="B84" s="216" t="s">
        <v>241</v>
      </c>
      <c r="C84" s="217"/>
      <c r="D84" s="218">
        <v>30</v>
      </c>
      <c r="E84" s="219"/>
      <c r="F84" s="217"/>
      <c r="G84" s="220">
        <v>184.6</v>
      </c>
      <c r="H84" s="221"/>
      <c r="I84" s="222"/>
    </row>
    <row r="85" spans="2:9" ht="18.95" customHeight="1">
      <c r="B85" s="216" t="s">
        <v>241</v>
      </c>
      <c r="C85" s="217"/>
      <c r="D85" s="218">
        <v>50</v>
      </c>
      <c r="E85" s="219"/>
      <c r="F85" s="217"/>
      <c r="G85" s="220">
        <v>198.3</v>
      </c>
      <c r="H85" s="221"/>
      <c r="I85" s="222"/>
    </row>
    <row r="86" spans="2:9" ht="18.95" customHeight="1">
      <c r="B86" s="216" t="s">
        <v>241</v>
      </c>
      <c r="C86" s="217"/>
      <c r="D86" s="218">
        <v>70</v>
      </c>
      <c r="E86" s="219"/>
      <c r="F86" s="217"/>
      <c r="G86" s="220">
        <v>207.3</v>
      </c>
      <c r="H86" s="221"/>
      <c r="I86" s="222"/>
    </row>
    <row r="87" spans="2:9" ht="18.95" customHeight="1">
      <c r="B87" s="216" t="s">
        <v>241</v>
      </c>
      <c r="C87" s="217"/>
      <c r="D87" s="218">
        <v>80</v>
      </c>
      <c r="E87" s="219"/>
      <c r="F87" s="217"/>
      <c r="G87" s="220">
        <v>210.9</v>
      </c>
      <c r="H87" s="221"/>
      <c r="I87" s="222"/>
    </row>
    <row r="88" spans="2:9" ht="18.95" customHeight="1">
      <c r="B88" s="216" t="s">
        <v>241</v>
      </c>
      <c r="C88" s="217"/>
      <c r="D88" s="218">
        <v>100</v>
      </c>
      <c r="E88" s="219"/>
      <c r="F88" s="217"/>
      <c r="G88" s="220">
        <v>216.8</v>
      </c>
      <c r="H88" s="221"/>
      <c r="I88" s="222"/>
    </row>
    <row r="89" spans="2:9" ht="18.95" customHeight="1">
      <c r="B89" s="216" t="s">
        <v>242</v>
      </c>
      <c r="C89" s="217"/>
      <c r="D89" s="218">
        <v>10</v>
      </c>
      <c r="E89" s="219"/>
      <c r="F89" s="217"/>
      <c r="G89" s="220">
        <v>172.2</v>
      </c>
      <c r="H89" s="221"/>
      <c r="I89" s="222"/>
    </row>
    <row r="90" spans="2:9" ht="18.95" customHeight="1">
      <c r="B90" s="216" t="s">
        <v>242</v>
      </c>
      <c r="C90" s="217"/>
      <c r="D90" s="218">
        <v>20</v>
      </c>
      <c r="E90" s="219"/>
      <c r="F90" s="217"/>
      <c r="G90" s="220">
        <v>197.2</v>
      </c>
      <c r="H90" s="221"/>
      <c r="I90" s="222"/>
    </row>
    <row r="91" spans="2:9" ht="18.95" customHeight="1">
      <c r="B91" s="216" t="s">
        <v>242</v>
      </c>
      <c r="C91" s="217"/>
      <c r="D91" s="218">
        <v>30</v>
      </c>
      <c r="E91" s="219"/>
      <c r="F91" s="217"/>
      <c r="G91" s="220">
        <v>211.6</v>
      </c>
      <c r="H91" s="221"/>
      <c r="I91" s="222"/>
    </row>
    <row r="92" spans="2:9" ht="18.95" customHeight="1">
      <c r="B92" s="216" t="s">
        <v>242</v>
      </c>
      <c r="C92" s="217"/>
      <c r="D92" s="218">
        <v>50</v>
      </c>
      <c r="E92" s="219"/>
      <c r="F92" s="217"/>
      <c r="G92" s="220">
        <v>229.6</v>
      </c>
      <c r="H92" s="221"/>
      <c r="I92" s="222"/>
    </row>
    <row r="93" spans="2:9" ht="18.95" customHeight="1">
      <c r="B93" s="216" t="s">
        <v>242</v>
      </c>
      <c r="C93" s="217"/>
      <c r="D93" s="218">
        <v>70</v>
      </c>
      <c r="E93" s="219"/>
      <c r="F93" s="217"/>
      <c r="G93" s="220">
        <v>241.4</v>
      </c>
      <c r="H93" s="221"/>
      <c r="I93" s="222"/>
    </row>
    <row r="94" spans="2:9" ht="18.95" customHeight="1">
      <c r="B94" s="216" t="s">
        <v>242</v>
      </c>
      <c r="C94" s="217"/>
      <c r="D94" s="218">
        <v>80</v>
      </c>
      <c r="E94" s="219"/>
      <c r="F94" s="217"/>
      <c r="G94" s="220">
        <v>246.1</v>
      </c>
      <c r="H94" s="221"/>
      <c r="I94" s="222"/>
    </row>
    <row r="95" spans="2:9" ht="18.95" customHeight="1">
      <c r="B95" s="216" t="s">
        <v>242</v>
      </c>
      <c r="C95" s="217"/>
      <c r="D95" s="218">
        <v>100</v>
      </c>
      <c r="E95" s="219"/>
      <c r="F95" s="217"/>
      <c r="G95" s="220">
        <v>253.9</v>
      </c>
      <c r="H95" s="221"/>
      <c r="I95" s="222"/>
    </row>
    <row r="96" spans="2:9" ht="18.95" customHeight="1">
      <c r="B96" s="216" t="s">
        <v>243</v>
      </c>
      <c r="C96" s="217"/>
      <c r="D96" s="218">
        <v>10</v>
      </c>
      <c r="E96" s="219"/>
      <c r="F96" s="217"/>
      <c r="G96" s="220">
        <v>149.19999999999999</v>
      </c>
      <c r="H96" s="221"/>
      <c r="I96" s="222"/>
    </row>
    <row r="97" spans="2:9" ht="18.95" customHeight="1">
      <c r="B97" s="216" t="s">
        <v>243</v>
      </c>
      <c r="C97" s="217"/>
      <c r="D97" s="218">
        <v>20</v>
      </c>
      <c r="E97" s="219"/>
      <c r="F97" s="217"/>
      <c r="G97" s="220">
        <v>168.1</v>
      </c>
      <c r="H97" s="221"/>
      <c r="I97" s="222"/>
    </row>
    <row r="98" spans="2:9" ht="18.95" customHeight="1">
      <c r="B98" s="216" t="s">
        <v>243</v>
      </c>
      <c r="C98" s="217"/>
      <c r="D98" s="218">
        <v>30</v>
      </c>
      <c r="E98" s="219"/>
      <c r="F98" s="217"/>
      <c r="G98" s="220">
        <v>179.1</v>
      </c>
      <c r="H98" s="221"/>
      <c r="I98" s="222"/>
    </row>
    <row r="99" spans="2:9" ht="18.95" customHeight="1">
      <c r="B99" s="216" t="s">
        <v>243</v>
      </c>
      <c r="C99" s="217"/>
      <c r="D99" s="218">
        <v>50</v>
      </c>
      <c r="E99" s="219"/>
      <c r="F99" s="217"/>
      <c r="G99" s="220">
        <v>192.7</v>
      </c>
      <c r="H99" s="221"/>
      <c r="I99" s="222"/>
    </row>
    <row r="100" spans="2:9" ht="18.95" customHeight="1">
      <c r="B100" s="216" t="s">
        <v>243</v>
      </c>
      <c r="C100" s="217"/>
      <c r="D100" s="218">
        <v>70</v>
      </c>
      <c r="E100" s="219"/>
      <c r="F100" s="217"/>
      <c r="G100" s="220">
        <v>201.6</v>
      </c>
      <c r="H100" s="221"/>
      <c r="I100" s="222"/>
    </row>
    <row r="101" spans="2:9" ht="18.95" customHeight="1">
      <c r="B101" s="216" t="s">
        <v>243</v>
      </c>
      <c r="C101" s="217"/>
      <c r="D101" s="218">
        <v>80</v>
      </c>
      <c r="E101" s="219"/>
      <c r="F101" s="217"/>
      <c r="G101" s="220">
        <v>205.2</v>
      </c>
      <c r="H101" s="221"/>
      <c r="I101" s="222"/>
    </row>
    <row r="102" spans="2:9" ht="18.95" customHeight="1">
      <c r="B102" s="216" t="s">
        <v>243</v>
      </c>
      <c r="C102" s="217"/>
      <c r="D102" s="218">
        <v>100</v>
      </c>
      <c r="E102" s="219"/>
      <c r="F102" s="217"/>
      <c r="G102" s="220">
        <v>211.1</v>
      </c>
      <c r="H102" s="221"/>
      <c r="I102" s="222"/>
    </row>
    <row r="103" spans="2:9" ht="18.95" customHeight="1">
      <c r="B103" s="216" t="s">
        <v>244</v>
      </c>
      <c r="C103" s="217"/>
      <c r="D103" s="218">
        <v>10</v>
      </c>
      <c r="E103" s="219"/>
      <c r="F103" s="217"/>
      <c r="G103" s="220">
        <v>147.4</v>
      </c>
      <c r="H103" s="221"/>
      <c r="I103" s="222"/>
    </row>
    <row r="104" spans="2:9" ht="18.95" customHeight="1">
      <c r="B104" s="216" t="s">
        <v>244</v>
      </c>
      <c r="C104" s="217"/>
      <c r="D104" s="218">
        <v>20</v>
      </c>
      <c r="E104" s="219"/>
      <c r="F104" s="217"/>
      <c r="G104" s="220">
        <v>164.7</v>
      </c>
      <c r="H104" s="221"/>
      <c r="I104" s="222"/>
    </row>
    <row r="105" spans="2:9" ht="18.95" customHeight="1">
      <c r="B105" s="216" t="s">
        <v>244</v>
      </c>
      <c r="C105" s="217"/>
      <c r="D105" s="218">
        <v>30</v>
      </c>
      <c r="E105" s="219"/>
      <c r="F105" s="217"/>
      <c r="G105" s="220">
        <v>174.6</v>
      </c>
      <c r="H105" s="221"/>
      <c r="I105" s="222"/>
    </row>
    <row r="106" spans="2:9" ht="18.95" customHeight="1">
      <c r="B106" s="216" t="s">
        <v>244</v>
      </c>
      <c r="C106" s="217"/>
      <c r="D106" s="218">
        <v>50</v>
      </c>
      <c r="E106" s="219"/>
      <c r="F106" s="217"/>
      <c r="G106" s="220">
        <v>187</v>
      </c>
      <c r="H106" s="221"/>
      <c r="I106" s="222"/>
    </row>
    <row r="107" spans="2:9" ht="18.95" customHeight="1">
      <c r="B107" s="216" t="s">
        <v>244</v>
      </c>
      <c r="C107" s="217"/>
      <c r="D107" s="218">
        <v>70</v>
      </c>
      <c r="E107" s="219"/>
      <c r="F107" s="217"/>
      <c r="G107" s="220">
        <v>195.2</v>
      </c>
      <c r="H107" s="221"/>
      <c r="I107" s="222"/>
    </row>
    <row r="108" spans="2:9" ht="18.95" customHeight="1">
      <c r="B108" s="216" t="s">
        <v>244</v>
      </c>
      <c r="C108" s="217"/>
      <c r="D108" s="218">
        <v>80</v>
      </c>
      <c r="E108" s="219"/>
      <c r="F108" s="217"/>
      <c r="G108" s="220">
        <v>198.4</v>
      </c>
      <c r="H108" s="221"/>
      <c r="I108" s="222"/>
    </row>
    <row r="109" spans="2:9" ht="18.95" customHeight="1">
      <c r="B109" s="216" t="s">
        <v>244</v>
      </c>
      <c r="C109" s="217"/>
      <c r="D109" s="218">
        <v>100</v>
      </c>
      <c r="E109" s="219"/>
      <c r="F109" s="217"/>
      <c r="G109" s="220">
        <v>203.8</v>
      </c>
      <c r="H109" s="221"/>
      <c r="I109" s="222"/>
    </row>
    <row r="110" spans="2:9" ht="18.95" customHeight="1">
      <c r="B110" s="216" t="s">
        <v>245</v>
      </c>
      <c r="C110" s="217"/>
      <c r="D110" s="218">
        <v>10</v>
      </c>
      <c r="E110" s="219"/>
      <c r="F110" s="217"/>
      <c r="G110" s="220">
        <v>168.1</v>
      </c>
      <c r="H110" s="221"/>
      <c r="I110" s="222"/>
    </row>
    <row r="111" spans="2:9" ht="18.95" customHeight="1">
      <c r="B111" s="216" t="s">
        <v>245</v>
      </c>
      <c r="C111" s="217"/>
      <c r="D111" s="218">
        <v>20</v>
      </c>
      <c r="E111" s="219"/>
      <c r="F111" s="217"/>
      <c r="G111" s="220">
        <v>188.2</v>
      </c>
      <c r="H111" s="221"/>
      <c r="I111" s="222"/>
    </row>
    <row r="112" spans="2:9" ht="18.95" customHeight="1">
      <c r="B112" s="216" t="s">
        <v>245</v>
      </c>
      <c r="C112" s="217"/>
      <c r="D112" s="218">
        <v>30</v>
      </c>
      <c r="E112" s="219"/>
      <c r="F112" s="217"/>
      <c r="G112" s="220">
        <v>199.7</v>
      </c>
      <c r="H112" s="221"/>
      <c r="I112" s="222"/>
    </row>
    <row r="113" spans="2:9" ht="18.95" customHeight="1">
      <c r="B113" s="216" t="s">
        <v>245</v>
      </c>
      <c r="C113" s="217"/>
      <c r="D113" s="218">
        <v>50</v>
      </c>
      <c r="E113" s="219"/>
      <c r="F113" s="217"/>
      <c r="G113" s="220">
        <v>214.2</v>
      </c>
      <c r="H113" s="221"/>
      <c r="I113" s="222"/>
    </row>
    <row r="114" spans="2:9" ht="18.95" customHeight="1">
      <c r="B114" s="216" t="s">
        <v>245</v>
      </c>
      <c r="C114" s="217"/>
      <c r="D114" s="218">
        <v>70</v>
      </c>
      <c r="E114" s="219"/>
      <c r="F114" s="217"/>
      <c r="G114" s="220">
        <v>223.6</v>
      </c>
      <c r="H114" s="221"/>
      <c r="I114" s="222"/>
    </row>
    <row r="115" spans="2:9" ht="18.95" customHeight="1">
      <c r="B115" s="216" t="s">
        <v>245</v>
      </c>
      <c r="C115" s="217"/>
      <c r="D115" s="218">
        <v>80</v>
      </c>
      <c r="E115" s="219"/>
      <c r="F115" s="217"/>
      <c r="G115" s="220">
        <v>227.4</v>
      </c>
      <c r="H115" s="221"/>
      <c r="I115" s="222"/>
    </row>
    <row r="116" spans="2:9" ht="18.95" customHeight="1">
      <c r="B116" s="216" t="s">
        <v>245</v>
      </c>
      <c r="C116" s="217"/>
      <c r="D116" s="218">
        <v>100</v>
      </c>
      <c r="E116" s="219"/>
      <c r="F116" s="217"/>
      <c r="G116" s="220">
        <v>233.6</v>
      </c>
      <c r="H116" s="221"/>
      <c r="I116" s="222"/>
    </row>
    <row r="117" spans="2:9" ht="18.95" customHeight="1"/>
    <row r="118" spans="2:9" ht="18.95" customHeight="1"/>
  </sheetData>
  <mergeCells count="7">
    <mergeCell ref="R22:V22"/>
    <mergeCell ref="D32:F32"/>
    <mergeCell ref="G32:I32"/>
    <mergeCell ref="L2:O2"/>
    <mergeCell ref="P3:Q3"/>
    <mergeCell ref="J6:K6"/>
    <mergeCell ref="J21:K21"/>
  </mergeCells>
  <phoneticPr fontId="4" type="noConversion"/>
  <dataValidations disablePrompts="1" count="2">
    <dataValidation type="list" allowBlank="1" showInputMessage="1" showErrorMessage="1" sqref="N22:N23">
      <formula1>"10,20,30,50,70,80,100"</formula1>
    </dataValidation>
    <dataValidation type="list" allowBlank="1" showInputMessage="1" showErrorMessage="1" sqref="M22:M23">
      <formula1>"울진,추풍령,안동,포항,대구,춘양,영주,문경,영덕,의성,구미,영천, "</formula1>
    </dataValidation>
  </dataValidations>
  <pageMargins left="0.74" right="0.2" top="0.71" bottom="0.34" header="0.28000000000000003" footer="0.35"/>
  <pageSetup paperSize="9" orientation="landscape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B1:Z129"/>
  <sheetViews>
    <sheetView showGridLines="0" topLeftCell="A9" zoomScale="115" zoomScaleNormal="115" workbookViewId="0">
      <selection activeCell="H33" sqref="H33"/>
    </sheetView>
  </sheetViews>
  <sheetFormatPr defaultColWidth="8" defaultRowHeight="13.5"/>
  <cols>
    <col min="1" max="1" width="8" style="214" customWidth="1"/>
    <col min="2" max="2" width="3.25" style="214" customWidth="1"/>
    <col min="3" max="3" width="2.25" style="214" customWidth="1"/>
    <col min="4" max="6" width="3.25" style="214" customWidth="1"/>
    <col min="7" max="7" width="7.875" style="214" customWidth="1"/>
    <col min="8" max="8" width="6" style="214" customWidth="1"/>
    <col min="9" max="12" width="3.25" style="214" customWidth="1"/>
    <col min="13" max="13" width="1.875" style="214" customWidth="1"/>
    <col min="14" max="14" width="1.5" style="214" customWidth="1"/>
    <col min="15" max="16" width="9.375" style="214" customWidth="1"/>
    <col min="17" max="17" width="1.75" style="214" customWidth="1"/>
    <col min="18" max="24" width="9.75" style="609" customWidth="1"/>
    <col min="25" max="25" width="8.375" style="609" customWidth="1"/>
    <col min="26" max="26" width="5.25" style="609" customWidth="1"/>
    <col min="27" max="16384" width="8" style="214"/>
  </cols>
  <sheetData>
    <row r="1" spans="3:26" ht="18.95" customHeight="1">
      <c r="R1" s="1347"/>
      <c r="S1" s="1347"/>
      <c r="T1" s="1347"/>
      <c r="U1" s="1347"/>
      <c r="V1" s="1347"/>
      <c r="W1" s="1347"/>
      <c r="X1" s="1347"/>
      <c r="Y1" s="1347"/>
      <c r="Z1" s="1347"/>
    </row>
    <row r="2" spans="3:26" ht="18.95" customHeight="1">
      <c r="R2" s="1348"/>
      <c r="S2" s="1348"/>
      <c r="T2" s="1348"/>
      <c r="U2" s="1348"/>
      <c r="V2" s="1348"/>
      <c r="W2" s="1348"/>
      <c r="X2" s="1348"/>
      <c r="Y2" s="1348"/>
      <c r="Z2" s="1348"/>
    </row>
    <row r="3" spans="3:26" ht="18.95" customHeight="1">
      <c r="R3" s="541"/>
      <c r="S3" s="540"/>
      <c r="T3" s="540"/>
      <c r="U3" s="540"/>
      <c r="V3" s="540"/>
      <c r="W3" s="540"/>
      <c r="X3" s="540"/>
      <c r="Y3" s="540"/>
      <c r="Z3" s="540"/>
    </row>
    <row r="4" spans="3:26" ht="18.95" customHeight="1" thickBot="1">
      <c r="C4" s="542" t="s">
        <v>186</v>
      </c>
      <c r="H4" s="543"/>
      <c r="R4" s="541" t="s">
        <v>390</v>
      </c>
      <c r="S4" s="540"/>
      <c r="T4" s="540"/>
      <c r="U4" s="540"/>
      <c r="V4" s="540"/>
      <c r="W4" s="540"/>
      <c r="X4" s="540"/>
      <c r="Y4" s="540"/>
      <c r="Z4" s="540"/>
    </row>
    <row r="5" spans="3:26" ht="18.95" customHeight="1">
      <c r="P5" s="1349" t="s">
        <v>433</v>
      </c>
      <c r="Q5" s="1349"/>
      <c r="R5" s="544"/>
      <c r="S5" s="545"/>
      <c r="T5" s="545"/>
      <c r="U5" s="545"/>
      <c r="V5" s="545"/>
      <c r="W5" s="545"/>
      <c r="X5" s="545"/>
      <c r="Y5" s="545"/>
      <c r="Z5" s="546"/>
    </row>
    <row r="6" spans="3:26" ht="18.95" customHeight="1">
      <c r="D6" s="547" t="s">
        <v>391</v>
      </c>
      <c r="R6" s="1350" t="s">
        <v>392</v>
      </c>
      <c r="S6" s="1256"/>
      <c r="T6" s="540"/>
      <c r="U6" s="540"/>
      <c r="V6" s="540"/>
      <c r="W6" s="540"/>
      <c r="X6" s="540"/>
      <c r="Y6" s="540"/>
      <c r="Z6" s="550"/>
    </row>
    <row r="7" spans="3:26" ht="18.95" customHeight="1">
      <c r="R7" s="551"/>
      <c r="S7" s="552"/>
      <c r="T7" s="553"/>
      <c r="U7" s="554"/>
      <c r="V7" s="555"/>
      <c r="W7" s="549"/>
      <c r="X7" s="555"/>
      <c r="Y7" s="556"/>
      <c r="Z7" s="557"/>
    </row>
    <row r="8" spans="3:26" ht="18.95" customHeight="1">
      <c r="R8" s="558" t="s">
        <v>393</v>
      </c>
      <c r="S8" s="549"/>
      <c r="T8" s="559">
        <f>+O10</f>
        <v>6.86</v>
      </c>
      <c r="U8" s="549" t="s">
        <v>394</v>
      </c>
      <c r="V8" s="549"/>
      <c r="W8" s="556"/>
      <c r="X8" s="556"/>
      <c r="Y8" s="556"/>
      <c r="Z8" s="557"/>
    </row>
    <row r="9" spans="3:26" ht="3" customHeight="1">
      <c r="R9" s="560"/>
      <c r="S9" s="556"/>
      <c r="T9" s="561"/>
      <c r="U9" s="562"/>
      <c r="V9" s="555"/>
      <c r="W9" s="555"/>
      <c r="X9" s="556"/>
      <c r="Y9" s="555"/>
      <c r="Z9" s="563"/>
    </row>
    <row r="10" spans="3:26" ht="18.95" customHeight="1">
      <c r="F10" s="564" t="s">
        <v>395</v>
      </c>
      <c r="G10" s="564"/>
      <c r="O10" s="565">
        <f>ROUND(O11*1.5,2)</f>
        <v>6.86</v>
      </c>
      <c r="P10" s="566"/>
      <c r="Q10" s="566"/>
      <c r="R10" s="560"/>
      <c r="S10" s="556"/>
      <c r="T10" s="561"/>
      <c r="U10" s="562"/>
      <c r="V10" s="555"/>
      <c r="W10" s="555"/>
      <c r="X10" s="556"/>
      <c r="Y10" s="555"/>
      <c r="Z10" s="563"/>
    </row>
    <row r="11" spans="3:26" ht="18.95" customHeight="1">
      <c r="F11" s="214" t="s">
        <v>396</v>
      </c>
      <c r="O11" s="567">
        <f>ROUND(0.2778*O12*O13*O14,2)</f>
        <v>4.57</v>
      </c>
      <c r="R11" s="558" t="s">
        <v>397</v>
      </c>
      <c r="S11" s="549"/>
      <c r="T11" s="549"/>
      <c r="U11" s="549"/>
      <c r="V11" s="549"/>
      <c r="W11" s="555"/>
      <c r="X11" s="555"/>
      <c r="Y11" s="556"/>
      <c r="Z11" s="557"/>
    </row>
    <row r="12" spans="3:26" ht="18.95" customHeight="1">
      <c r="F12" s="214" t="s">
        <v>398</v>
      </c>
      <c r="J12" s="1346"/>
      <c r="K12" s="1346"/>
      <c r="O12" s="569">
        <v>0.8</v>
      </c>
      <c r="R12" s="570"/>
      <c r="S12" s="571"/>
      <c r="T12" s="571"/>
      <c r="U12" s="572" t="s">
        <v>399</v>
      </c>
      <c r="V12" s="573">
        <v>2</v>
      </c>
      <c r="W12" s="574">
        <v>2</v>
      </c>
      <c r="X12" s="575">
        <v>1</v>
      </c>
      <c r="Y12" s="556"/>
      <c r="Z12" s="563"/>
    </row>
    <row r="13" spans="3:26" ht="18.95" customHeight="1">
      <c r="F13" s="214" t="s">
        <v>400</v>
      </c>
      <c r="O13" s="567">
        <f>O30</f>
        <v>69.94</v>
      </c>
      <c r="R13" s="576" t="s">
        <v>189</v>
      </c>
      <c r="S13" s="577">
        <v>80</v>
      </c>
      <c r="T13" s="556"/>
      <c r="U13" s="572"/>
      <c r="V13" s="556"/>
      <c r="W13" s="556"/>
      <c r="X13" s="556"/>
      <c r="Y13" s="556"/>
      <c r="Z13" s="557"/>
    </row>
    <row r="14" spans="3:26" ht="18.95" customHeight="1">
      <c r="F14" s="578" t="s">
        <v>401</v>
      </c>
      <c r="G14" s="578"/>
      <c r="H14" s="578"/>
      <c r="I14" s="578"/>
      <c r="J14" s="578"/>
      <c r="K14" s="578"/>
      <c r="L14" s="578"/>
      <c r="M14" s="578"/>
      <c r="N14" s="578"/>
      <c r="O14" s="579">
        <v>0.29399999999999998</v>
      </c>
      <c r="P14" s="580">
        <f>O14*100</f>
        <v>29.4</v>
      </c>
      <c r="R14" s="581"/>
      <c r="S14" s="555"/>
      <c r="T14" s="556"/>
      <c r="U14" s="572" t="s">
        <v>402</v>
      </c>
      <c r="V14" s="556" t="s">
        <v>403</v>
      </c>
      <c r="W14" s="582">
        <f>S19</f>
        <v>2</v>
      </c>
      <c r="X14" s="583">
        <f>T15*S13%</f>
        <v>1.6</v>
      </c>
      <c r="Y14" s="584">
        <f>ROUND(IF(X12=1,W14*X14,IF(X12=3,W14*X14*X12,"")),3)</f>
        <v>3.2</v>
      </c>
      <c r="Z14" s="585" t="s">
        <v>35</v>
      </c>
    </row>
    <row r="15" spans="3:26" ht="18.95" customHeight="1">
      <c r="R15" s="586"/>
      <c r="S15" s="556"/>
      <c r="T15" s="587">
        <f>W12</f>
        <v>2</v>
      </c>
      <c r="U15" s="572" t="s">
        <v>285</v>
      </c>
      <c r="V15" s="556" t="s">
        <v>286</v>
      </c>
      <c r="W15" s="588">
        <f>T15*S13%*2</f>
        <v>3.2</v>
      </c>
      <c r="X15" s="583">
        <f>S19</f>
        <v>2</v>
      </c>
      <c r="Y15" s="584">
        <f>ROUND(IF(X12=1,W15+X15,IF(X12=3,W15+X15*X12,"")),3)</f>
        <v>5.2</v>
      </c>
      <c r="Z15" s="585" t="s">
        <v>34</v>
      </c>
    </row>
    <row r="16" spans="3:26" ht="18.95" customHeight="1">
      <c r="D16" s="547" t="s">
        <v>404</v>
      </c>
      <c r="R16" s="586"/>
      <c r="S16" s="556"/>
      <c r="T16" s="555"/>
      <c r="U16" s="572" t="s">
        <v>405</v>
      </c>
      <c r="V16" s="556" t="s">
        <v>406</v>
      </c>
      <c r="W16" s="556" t="s">
        <v>291</v>
      </c>
      <c r="X16" s="589">
        <f>ROUND(Y14/Y15,2)</f>
        <v>0.62</v>
      </c>
      <c r="Y16" s="562" t="s">
        <v>34</v>
      </c>
      <c r="Z16" s="563"/>
    </row>
    <row r="17" spans="4:26" ht="18.95" customHeight="1">
      <c r="R17" s="586"/>
      <c r="S17" s="556"/>
      <c r="T17" s="556"/>
      <c r="U17" s="572" t="s">
        <v>294</v>
      </c>
      <c r="V17" s="556" t="s">
        <v>295</v>
      </c>
      <c r="W17" s="556" t="s">
        <v>296</v>
      </c>
      <c r="X17" s="590">
        <v>10</v>
      </c>
      <c r="Y17" s="584">
        <f>1/X17*100</f>
        <v>10</v>
      </c>
      <c r="Z17" s="585" t="s">
        <v>190</v>
      </c>
    </row>
    <row r="18" spans="4:26" ht="18.95" customHeight="1">
      <c r="E18" s="215" t="s">
        <v>205</v>
      </c>
      <c r="F18" s="215"/>
      <c r="G18" s="215"/>
      <c r="H18" s="215"/>
      <c r="R18" s="586"/>
      <c r="S18" s="556"/>
      <c r="T18" s="556"/>
      <c r="U18" s="556"/>
      <c r="V18" s="556" t="s">
        <v>301</v>
      </c>
      <c r="W18" s="584">
        <v>1.2999999999999999E-2</v>
      </c>
      <c r="X18" s="556" t="s">
        <v>302</v>
      </c>
      <c r="Y18" s="556">
        <f>IF(W18=0.013,75,IF(W18=0.022,45,IF(W18=0.025,40,IF(W18=0.03,35,IF(W18=0.035,30,IF(W18=0.04,25,))))))</f>
        <v>75</v>
      </c>
      <c r="Z18" s="585" t="s">
        <v>303</v>
      </c>
    </row>
    <row r="19" spans="4:26" ht="18.95" customHeight="1">
      <c r="E19" s="215"/>
      <c r="F19" s="591"/>
      <c r="G19" s="592"/>
      <c r="H19" s="593"/>
      <c r="R19" s="586"/>
      <c r="S19" s="594">
        <v>2</v>
      </c>
      <c r="T19" s="556"/>
      <c r="U19" s="595"/>
      <c r="V19" s="555"/>
      <c r="W19" s="555"/>
      <c r="X19" s="555"/>
      <c r="Y19" s="555"/>
      <c r="Z19" s="563"/>
    </row>
    <row r="20" spans="4:26" ht="18.75" customHeight="1">
      <c r="E20" s="592" t="s">
        <v>407</v>
      </c>
      <c r="F20" s="591"/>
      <c r="G20" s="593"/>
      <c r="H20" s="593"/>
      <c r="R20" s="581"/>
      <c r="S20" s="555"/>
      <c r="T20" s="555"/>
      <c r="U20" s="555"/>
      <c r="V20" s="555"/>
      <c r="W20" s="555"/>
      <c r="X20" s="555"/>
      <c r="Y20" s="555"/>
      <c r="Z20" s="563"/>
    </row>
    <row r="21" spans="4:26" ht="18.95" customHeight="1">
      <c r="E21" s="592"/>
      <c r="F21" s="591"/>
      <c r="G21" s="593"/>
      <c r="H21" s="593"/>
      <c r="R21" s="581"/>
      <c r="S21" s="549" t="s">
        <v>310</v>
      </c>
      <c r="T21" s="596" t="str">
        <f>"V = 1 / n × R⅔ × I½  = 75 × "&amp;FIXED(X16,3)&amp;"^⅔ × "&amp;FIXED(ROUND(Y17/100,3),3)&amp;"^⅔  ="</f>
        <v>V = 1 / n × R⅔ × I½  = 75 × 0.620^⅔ × 0.100^⅔  =</v>
      </c>
      <c r="U21" s="555"/>
      <c r="V21" s="555"/>
      <c r="W21" s="562"/>
      <c r="X21" s="556"/>
      <c r="Y21" s="555"/>
      <c r="Z21" s="563"/>
    </row>
    <row r="22" spans="4:26" ht="18.95" customHeight="1">
      <c r="E22" s="215"/>
      <c r="F22" s="593" t="s">
        <v>408</v>
      </c>
      <c r="G22" s="593"/>
      <c r="H22" s="593"/>
      <c r="O22" s="597">
        <f>ROUND(((2/3*3.28*O23*(O25/O24^0.5))^0.467/60),2)</f>
        <v>0.63</v>
      </c>
      <c r="R22" s="570"/>
      <c r="S22" s="571"/>
      <c r="T22" s="571"/>
      <c r="U22" s="571"/>
      <c r="V22" s="555"/>
      <c r="W22" s="555"/>
      <c r="X22" s="556">
        <f>ROUND(Y18*X16^(2/3)*(Y17/100)^(1/2),3)</f>
        <v>17.245000000000001</v>
      </c>
      <c r="Y22" s="598" t="s">
        <v>313</v>
      </c>
      <c r="Z22" s="599"/>
    </row>
    <row r="23" spans="4:26" ht="18.95" customHeight="1">
      <c r="E23" s="215"/>
      <c r="F23" s="600" t="s">
        <v>213</v>
      </c>
      <c r="G23" s="600"/>
      <c r="H23" s="600"/>
      <c r="I23" s="578"/>
      <c r="J23" s="578"/>
      <c r="K23" s="578"/>
      <c r="L23" s="578"/>
      <c r="M23" s="578"/>
      <c r="N23" s="578"/>
      <c r="O23" s="601">
        <v>900</v>
      </c>
      <c r="R23" s="570"/>
      <c r="S23" s="571"/>
      <c r="T23" s="571"/>
      <c r="U23" s="571"/>
      <c r="V23" s="555"/>
      <c r="W23" s="571"/>
      <c r="X23" s="571"/>
      <c r="Y23" s="571"/>
      <c r="Z23" s="599"/>
    </row>
    <row r="24" spans="4:26" ht="18.95" customHeight="1">
      <c r="E24" s="215"/>
      <c r="F24" s="593" t="s">
        <v>217</v>
      </c>
      <c r="G24" s="593"/>
      <c r="H24" s="593"/>
      <c r="O24" s="567">
        <f>O26/O23</f>
        <v>0.33333333333333331</v>
      </c>
      <c r="R24" s="581"/>
      <c r="S24" s="549" t="s">
        <v>319</v>
      </c>
      <c r="T24" s="562" t="str">
        <f>"Q  =  A × V  =  "&amp;FIXED(Y14,3)&amp;" × "&amp;FIXED(X22,3)&amp;"  ="</f>
        <v>Q  =  A × V  =  3.200 × 17.245  =</v>
      </c>
      <c r="U24" s="549"/>
      <c r="V24" s="582"/>
      <c r="W24" s="562"/>
      <c r="X24" s="549">
        <f>ROUND(Y14*X22,3)</f>
        <v>55.183999999999997</v>
      </c>
      <c r="Y24" s="602" t="s">
        <v>409</v>
      </c>
      <c r="Z24" s="563"/>
    </row>
    <row r="25" spans="4:26" ht="18.95" customHeight="1" thickBot="1">
      <c r="F25" s="593" t="s">
        <v>410</v>
      </c>
      <c r="O25" s="569">
        <v>0.7</v>
      </c>
      <c r="R25" s="548"/>
      <c r="S25" s="549"/>
      <c r="T25" s="549"/>
      <c r="U25" s="556"/>
      <c r="V25" s="556"/>
      <c r="W25" s="556"/>
      <c r="X25" s="556"/>
      <c r="Y25" s="556"/>
      <c r="Z25" s="557"/>
    </row>
    <row r="26" spans="4:26" ht="18.95" customHeight="1" thickBot="1">
      <c r="F26" s="600" t="s">
        <v>411</v>
      </c>
      <c r="G26" s="578"/>
      <c r="H26" s="578"/>
      <c r="I26" s="578"/>
      <c r="J26" s="578"/>
      <c r="K26" s="578"/>
      <c r="L26" s="578"/>
      <c r="M26" s="578"/>
      <c r="N26" s="578"/>
      <c r="O26" s="603">
        <v>300</v>
      </c>
      <c r="R26" s="586"/>
      <c r="S26" s="555"/>
      <c r="T26" s="1351" t="str">
        <f>X24&amp;"㎥/s &gt; Qd = "&amp;T8&amp;"㎥/s "&amp;IF(X24&gt;T8," -  O K  - "," -  N O  - ")</f>
        <v xml:space="preserve">55.184㎥/s &gt; Qd = 6.86㎥/s  -  O K  - </v>
      </c>
      <c r="U26" s="1351"/>
      <c r="V26" s="1351"/>
      <c r="W26" s="1351"/>
      <c r="X26" s="1351"/>
      <c r="Y26" s="556"/>
      <c r="Z26" s="557"/>
    </row>
    <row r="27" spans="4:26" ht="3.75" customHeight="1">
      <c r="R27" s="581"/>
      <c r="S27" s="555"/>
      <c r="T27" s="562"/>
      <c r="U27" s="555"/>
      <c r="V27" s="571"/>
      <c r="W27" s="556"/>
      <c r="X27" s="571"/>
      <c r="Y27" s="556"/>
      <c r="Z27" s="557"/>
    </row>
    <row r="28" spans="4:26" ht="18.95" customHeight="1">
      <c r="D28" s="547" t="s">
        <v>412</v>
      </c>
      <c r="R28" s="586"/>
      <c r="S28" s="549" t="s">
        <v>413</v>
      </c>
      <c r="T28" s="556" t="str">
        <f>ROUND(X24/T8*100,)&amp;" % "</f>
        <v xml:space="preserve">804 % </v>
      </c>
      <c r="U28" s="555"/>
      <c r="V28" s="571"/>
      <c r="W28" s="556"/>
      <c r="X28" s="571"/>
      <c r="Y28" s="556"/>
      <c r="Z28" s="557"/>
    </row>
    <row r="29" spans="4:26" ht="3.75" customHeight="1" thickBot="1">
      <c r="R29" s="604"/>
      <c r="S29" s="605"/>
      <c r="T29" s="605"/>
      <c r="U29" s="605"/>
      <c r="V29" s="606"/>
      <c r="W29" s="606"/>
      <c r="X29" s="606"/>
      <c r="Y29" s="605"/>
      <c r="Z29" s="607"/>
    </row>
    <row r="30" spans="4:26" ht="18.95" customHeight="1">
      <c r="E30" s="214" t="s">
        <v>414</v>
      </c>
      <c r="O30" s="608">
        <f>ROUND((H32/24)*(24/O22)^0.557,2)</f>
        <v>69.94</v>
      </c>
    </row>
    <row r="31" spans="4:26" ht="4.5" customHeight="1"/>
    <row r="32" spans="4:26" ht="18.95" customHeight="1">
      <c r="F32" s="214" t="s">
        <v>415</v>
      </c>
      <c r="H32" s="610">
        <v>221</v>
      </c>
      <c r="I32" s="611"/>
      <c r="J32" s="1346" t="s">
        <v>416</v>
      </c>
      <c r="K32" s="1346"/>
      <c r="O32" s="612" t="s">
        <v>417</v>
      </c>
      <c r="P32" s="612" t="s">
        <v>418</v>
      </c>
    </row>
    <row r="33" spans="2:16" ht="18.95" customHeight="1">
      <c r="H33" s="611"/>
      <c r="I33" s="611"/>
      <c r="J33" s="568"/>
      <c r="K33" s="568"/>
      <c r="O33" s="613" t="s">
        <v>434</v>
      </c>
      <c r="P33" s="613">
        <v>100</v>
      </c>
    </row>
    <row r="34" spans="2:16" ht="18.95" customHeight="1">
      <c r="H34" s="611"/>
      <c r="I34" s="611"/>
      <c r="J34" s="568"/>
      <c r="K34" s="568"/>
      <c r="O34" s="614"/>
      <c r="P34" s="614"/>
    </row>
    <row r="35" spans="2:16" ht="18.95" customHeight="1"/>
    <row r="36" spans="2:16" ht="18.95" customHeight="1"/>
    <row r="37" spans="2:16" ht="18.95" customHeight="1"/>
    <row r="38" spans="2:16" ht="18.95" customHeight="1"/>
    <row r="39" spans="2:16" ht="18.95" customHeight="1"/>
    <row r="40" spans="2:16" ht="18.95" customHeight="1"/>
    <row r="41" spans="2:16" ht="18.95" customHeight="1"/>
    <row r="42" spans="2:16" ht="18.95" customHeight="1"/>
    <row r="43" spans="2:16" ht="18.95" customHeight="1">
      <c r="B43" s="216" t="s">
        <v>419</v>
      </c>
      <c r="C43" s="217"/>
      <c r="D43" s="1259" t="s">
        <v>418</v>
      </c>
      <c r="E43" s="1260"/>
      <c r="F43" s="1261"/>
      <c r="G43" s="1262" t="s">
        <v>420</v>
      </c>
      <c r="H43" s="1263"/>
      <c r="I43" s="1264"/>
    </row>
    <row r="44" spans="2:16" ht="18.95" customHeight="1">
      <c r="B44" s="216" t="s">
        <v>421</v>
      </c>
      <c r="C44" s="217"/>
      <c r="D44" s="218">
        <v>10</v>
      </c>
      <c r="E44" s="219"/>
      <c r="F44" s="217"/>
      <c r="G44" s="220">
        <v>199.6</v>
      </c>
      <c r="H44" s="221"/>
      <c r="I44" s="222"/>
    </row>
    <row r="45" spans="2:16" ht="18.95" customHeight="1">
      <c r="B45" s="216" t="s">
        <v>421</v>
      </c>
      <c r="C45" s="217"/>
      <c r="D45" s="218">
        <v>20</v>
      </c>
      <c r="E45" s="219"/>
      <c r="F45" s="217"/>
      <c r="G45" s="220">
        <v>233.2</v>
      </c>
      <c r="H45" s="221"/>
      <c r="I45" s="222"/>
    </row>
    <row r="46" spans="2:16" ht="18.95" customHeight="1">
      <c r="B46" s="216" t="s">
        <v>421</v>
      </c>
      <c r="C46" s="217"/>
      <c r="D46" s="218">
        <v>30</v>
      </c>
      <c r="E46" s="219"/>
      <c r="F46" s="217"/>
      <c r="G46" s="220">
        <v>252.6</v>
      </c>
      <c r="H46" s="221"/>
      <c r="I46" s="222"/>
    </row>
    <row r="47" spans="2:16" ht="18.95" customHeight="1">
      <c r="B47" s="216" t="s">
        <v>421</v>
      </c>
      <c r="C47" s="217"/>
      <c r="D47" s="218">
        <v>50</v>
      </c>
      <c r="E47" s="219"/>
      <c r="F47" s="217"/>
      <c r="G47" s="220">
        <v>276.8</v>
      </c>
      <c r="H47" s="221"/>
      <c r="I47" s="222"/>
    </row>
    <row r="48" spans="2:16" ht="18.95" customHeight="1">
      <c r="B48" s="216"/>
      <c r="C48" s="217"/>
      <c r="D48" s="218"/>
      <c r="E48" s="219"/>
      <c r="F48" s="217"/>
      <c r="G48" s="220"/>
      <c r="H48" s="221"/>
      <c r="I48" s="222"/>
    </row>
    <row r="49" spans="2:9" ht="18.95" customHeight="1">
      <c r="B49" s="216"/>
      <c r="C49" s="217"/>
      <c r="D49" s="218"/>
      <c r="E49" s="219"/>
      <c r="F49" s="217"/>
      <c r="G49" s="220"/>
      <c r="H49" s="221"/>
      <c r="I49" s="222"/>
    </row>
    <row r="50" spans="2:9" ht="18.95" customHeight="1">
      <c r="B50" s="216"/>
      <c r="C50" s="217"/>
      <c r="D50" s="218"/>
      <c r="E50" s="219"/>
      <c r="F50" s="217"/>
      <c r="G50" s="220"/>
      <c r="H50" s="221"/>
      <c r="I50" s="222"/>
    </row>
    <row r="51" spans="2:9" ht="18.95" customHeight="1">
      <c r="B51" s="216"/>
      <c r="C51" s="217"/>
      <c r="D51" s="218"/>
      <c r="E51" s="219"/>
      <c r="F51" s="217"/>
      <c r="G51" s="220"/>
      <c r="H51" s="221"/>
      <c r="I51" s="222"/>
    </row>
    <row r="52" spans="2:9" ht="18.95" customHeight="1">
      <c r="B52" s="216"/>
      <c r="C52" s="217"/>
      <c r="D52" s="218"/>
      <c r="E52" s="219"/>
      <c r="F52" s="217"/>
      <c r="G52" s="220"/>
      <c r="H52" s="221"/>
      <c r="I52" s="222"/>
    </row>
    <row r="53" spans="2:9" ht="18.95" customHeight="1">
      <c r="B53" s="216" t="s">
        <v>422</v>
      </c>
      <c r="C53" s="217"/>
      <c r="D53" s="218">
        <v>30</v>
      </c>
      <c r="E53" s="219"/>
      <c r="F53" s="217"/>
      <c r="G53" s="220">
        <v>200.9</v>
      </c>
      <c r="H53" s="221"/>
      <c r="I53" s="222"/>
    </row>
    <row r="54" spans="2:9" ht="18.95" customHeight="1">
      <c r="B54" s="216" t="s">
        <v>422</v>
      </c>
      <c r="C54" s="217"/>
      <c r="D54" s="218">
        <v>50</v>
      </c>
      <c r="E54" s="219"/>
      <c r="F54" s="217"/>
      <c r="G54" s="220">
        <v>216.5</v>
      </c>
      <c r="H54" s="221"/>
      <c r="I54" s="222"/>
    </row>
    <row r="55" spans="2:9" ht="18.95" customHeight="1">
      <c r="B55" s="216" t="s">
        <v>422</v>
      </c>
      <c r="C55" s="217"/>
      <c r="D55" s="218">
        <v>70</v>
      </c>
      <c r="E55" s="219"/>
      <c r="F55" s="217"/>
      <c r="G55" s="220">
        <v>226.7</v>
      </c>
      <c r="H55" s="221"/>
      <c r="I55" s="222"/>
    </row>
    <row r="56" spans="2:9" ht="18.95" customHeight="1">
      <c r="B56" s="216" t="s">
        <v>422</v>
      </c>
      <c r="C56" s="217"/>
      <c r="D56" s="218">
        <v>80</v>
      </c>
      <c r="E56" s="219"/>
      <c r="F56" s="217"/>
      <c r="G56" s="220">
        <v>230.8</v>
      </c>
      <c r="H56" s="221"/>
      <c r="I56" s="222"/>
    </row>
    <row r="57" spans="2:9" ht="18.95" customHeight="1">
      <c r="B57" s="216" t="s">
        <v>422</v>
      </c>
      <c r="C57" s="217"/>
      <c r="D57" s="218">
        <v>100</v>
      </c>
      <c r="E57" s="219"/>
      <c r="F57" s="217"/>
      <c r="G57" s="220">
        <v>237.5</v>
      </c>
      <c r="H57" s="221"/>
      <c r="I57" s="222"/>
    </row>
    <row r="58" spans="2:9" ht="18.95" customHeight="1">
      <c r="B58" s="216" t="s">
        <v>423</v>
      </c>
      <c r="C58" s="217"/>
      <c r="D58" s="218">
        <v>10</v>
      </c>
      <c r="E58" s="219"/>
      <c r="F58" s="217"/>
      <c r="G58" s="220">
        <v>122.2</v>
      </c>
      <c r="H58" s="221"/>
      <c r="I58" s="222"/>
    </row>
    <row r="59" spans="2:9" ht="18.95" customHeight="1">
      <c r="B59" s="216" t="s">
        <v>423</v>
      </c>
      <c r="C59" s="217"/>
      <c r="D59" s="218">
        <v>20</v>
      </c>
      <c r="E59" s="219"/>
      <c r="F59" s="217"/>
      <c r="G59" s="220">
        <v>135.30000000000001</v>
      </c>
      <c r="H59" s="221"/>
      <c r="I59" s="222"/>
    </row>
    <row r="60" spans="2:9" ht="18.95" customHeight="1">
      <c r="B60" s="216" t="s">
        <v>423</v>
      </c>
      <c r="C60" s="217"/>
      <c r="D60" s="218">
        <v>30</v>
      </c>
      <c r="E60" s="219"/>
      <c r="F60" s="217"/>
      <c r="G60" s="220">
        <v>142.9</v>
      </c>
      <c r="H60" s="221"/>
      <c r="I60" s="222"/>
    </row>
    <row r="61" spans="2:9" ht="18.95" customHeight="1">
      <c r="B61" s="216" t="s">
        <v>423</v>
      </c>
      <c r="C61" s="217"/>
      <c r="D61" s="218">
        <v>50</v>
      </c>
      <c r="E61" s="219"/>
      <c r="F61" s="217"/>
      <c r="G61" s="220">
        <v>152.30000000000001</v>
      </c>
      <c r="H61" s="221"/>
      <c r="I61" s="222"/>
    </row>
    <row r="62" spans="2:9" ht="18.95" customHeight="1">
      <c r="B62" s="216" t="s">
        <v>423</v>
      </c>
      <c r="C62" s="217"/>
      <c r="D62" s="218">
        <v>70</v>
      </c>
      <c r="E62" s="219"/>
      <c r="F62" s="217"/>
      <c r="G62" s="220">
        <v>158.5</v>
      </c>
      <c r="H62" s="221"/>
      <c r="I62" s="222"/>
    </row>
    <row r="63" spans="2:9" ht="18.95" customHeight="1">
      <c r="B63" s="216" t="s">
        <v>423</v>
      </c>
      <c r="C63" s="217"/>
      <c r="D63" s="218">
        <v>80</v>
      </c>
      <c r="E63" s="219"/>
      <c r="F63" s="217"/>
      <c r="G63" s="220">
        <v>160.9</v>
      </c>
      <c r="H63" s="221"/>
      <c r="I63" s="222"/>
    </row>
    <row r="64" spans="2:9" ht="18.95" customHeight="1">
      <c r="B64" s="216" t="s">
        <v>423</v>
      </c>
      <c r="C64" s="217"/>
      <c r="D64" s="218">
        <v>100</v>
      </c>
      <c r="E64" s="219"/>
      <c r="F64" s="217"/>
      <c r="G64" s="220">
        <v>165</v>
      </c>
      <c r="H64" s="221"/>
      <c r="I64" s="222"/>
    </row>
    <row r="65" spans="2:9" ht="18.95" customHeight="1">
      <c r="B65" s="216" t="s">
        <v>424</v>
      </c>
      <c r="C65" s="217"/>
      <c r="D65" s="218">
        <v>10</v>
      </c>
      <c r="E65" s="219"/>
      <c r="F65" s="217"/>
      <c r="G65" s="220">
        <v>217.1</v>
      </c>
      <c r="H65" s="221"/>
      <c r="I65" s="222"/>
    </row>
    <row r="66" spans="2:9" ht="18.95" customHeight="1">
      <c r="B66" s="216" t="s">
        <v>424</v>
      </c>
      <c r="C66" s="217"/>
      <c r="D66" s="218">
        <v>20</v>
      </c>
      <c r="E66" s="219"/>
      <c r="F66" s="217"/>
      <c r="G66" s="220">
        <v>254</v>
      </c>
      <c r="H66" s="221"/>
      <c r="I66" s="222"/>
    </row>
    <row r="67" spans="2:9" ht="18.95" customHeight="1">
      <c r="B67" s="216" t="s">
        <v>424</v>
      </c>
      <c r="C67" s="217"/>
      <c r="D67" s="218">
        <v>30</v>
      </c>
      <c r="E67" s="219"/>
      <c r="F67" s="217"/>
      <c r="G67" s="220">
        <v>275.2</v>
      </c>
      <c r="H67" s="221"/>
      <c r="I67" s="222"/>
    </row>
    <row r="68" spans="2:9" ht="18.95" customHeight="1">
      <c r="B68" s="216" t="s">
        <v>424</v>
      </c>
      <c r="C68" s="217"/>
      <c r="D68" s="218">
        <v>50</v>
      </c>
      <c r="E68" s="219"/>
      <c r="F68" s="217"/>
      <c r="G68" s="220">
        <v>301.7</v>
      </c>
      <c r="H68" s="221"/>
      <c r="I68" s="222"/>
    </row>
    <row r="69" spans="2:9" ht="18.95" customHeight="1">
      <c r="B69" s="216" t="s">
        <v>424</v>
      </c>
      <c r="C69" s="217"/>
      <c r="D69" s="218">
        <v>70</v>
      </c>
      <c r="E69" s="219"/>
      <c r="F69" s="217"/>
      <c r="G69" s="220">
        <v>319.10000000000002</v>
      </c>
      <c r="H69" s="221"/>
      <c r="I69" s="222"/>
    </row>
    <row r="70" spans="2:9" ht="18.95" customHeight="1">
      <c r="B70" s="216" t="s">
        <v>424</v>
      </c>
      <c r="C70" s="217"/>
      <c r="D70" s="218">
        <v>80</v>
      </c>
      <c r="E70" s="219"/>
      <c r="F70" s="217"/>
      <c r="G70" s="220">
        <v>326</v>
      </c>
      <c r="H70" s="221"/>
      <c r="I70" s="222"/>
    </row>
    <row r="71" spans="2:9" ht="18.95" customHeight="1">
      <c r="B71" s="216" t="s">
        <v>424</v>
      </c>
      <c r="C71" s="217"/>
      <c r="D71" s="218">
        <v>100</v>
      </c>
      <c r="E71" s="219"/>
      <c r="F71" s="217"/>
      <c r="G71" s="220">
        <v>337.5</v>
      </c>
      <c r="H71" s="221"/>
      <c r="I71" s="222"/>
    </row>
    <row r="72" spans="2:9" ht="18.95" customHeight="1">
      <c r="B72" s="216" t="s">
        <v>425</v>
      </c>
      <c r="C72" s="217"/>
      <c r="D72" s="218">
        <v>10</v>
      </c>
      <c r="E72" s="219"/>
      <c r="F72" s="217"/>
      <c r="G72" s="220">
        <v>170.1</v>
      </c>
      <c r="H72" s="221"/>
      <c r="I72" s="222"/>
    </row>
    <row r="73" spans="2:9" ht="18.95" customHeight="1">
      <c r="B73" s="216" t="s">
        <v>425</v>
      </c>
      <c r="C73" s="217"/>
      <c r="D73" s="218">
        <v>20</v>
      </c>
      <c r="E73" s="219"/>
      <c r="F73" s="217"/>
      <c r="G73" s="220">
        <v>196.1</v>
      </c>
      <c r="H73" s="221"/>
      <c r="I73" s="222"/>
    </row>
    <row r="74" spans="2:9" ht="18.95" customHeight="1">
      <c r="B74" s="216" t="s">
        <v>425</v>
      </c>
      <c r="C74" s="217"/>
      <c r="D74" s="218">
        <v>30</v>
      </c>
      <c r="E74" s="219"/>
      <c r="F74" s="217"/>
      <c r="G74" s="220">
        <v>211</v>
      </c>
      <c r="H74" s="221"/>
      <c r="I74" s="222"/>
    </row>
    <row r="75" spans="2:9" ht="18.95" customHeight="1">
      <c r="B75" s="216" t="s">
        <v>425</v>
      </c>
      <c r="C75" s="217"/>
      <c r="D75" s="218">
        <v>50</v>
      </c>
      <c r="E75" s="219"/>
      <c r="F75" s="217"/>
      <c r="G75" s="220">
        <v>229.8</v>
      </c>
      <c r="H75" s="221"/>
      <c r="I75" s="222"/>
    </row>
    <row r="76" spans="2:9" ht="18.95" customHeight="1">
      <c r="B76" s="216" t="s">
        <v>425</v>
      </c>
      <c r="C76" s="217"/>
      <c r="D76" s="218">
        <v>70</v>
      </c>
      <c r="E76" s="219"/>
      <c r="F76" s="217"/>
      <c r="G76" s="220">
        <v>242</v>
      </c>
      <c r="H76" s="221"/>
      <c r="I76" s="222"/>
    </row>
    <row r="77" spans="2:9" ht="18.95" customHeight="1">
      <c r="B77" s="216" t="s">
        <v>425</v>
      </c>
      <c r="C77" s="217"/>
      <c r="D77" s="218">
        <v>80</v>
      </c>
      <c r="E77" s="219"/>
      <c r="F77" s="217"/>
      <c r="G77" s="220">
        <v>246.9</v>
      </c>
      <c r="H77" s="221"/>
      <c r="I77" s="222"/>
    </row>
    <row r="78" spans="2:9" ht="18.95" customHeight="1">
      <c r="B78" s="216" t="s">
        <v>425</v>
      </c>
      <c r="C78" s="217"/>
      <c r="D78" s="218">
        <v>100</v>
      </c>
      <c r="E78" s="219"/>
      <c r="F78" s="217"/>
      <c r="G78" s="220">
        <v>255</v>
      </c>
      <c r="H78" s="221"/>
      <c r="I78" s="222"/>
    </row>
    <row r="79" spans="2:9" ht="18.95" customHeight="1">
      <c r="B79" s="216" t="s">
        <v>426</v>
      </c>
      <c r="C79" s="217"/>
      <c r="D79" s="218">
        <v>10</v>
      </c>
      <c r="E79" s="219"/>
      <c r="F79" s="217"/>
      <c r="G79" s="220">
        <v>233.5</v>
      </c>
      <c r="H79" s="221"/>
      <c r="I79" s="222"/>
    </row>
    <row r="80" spans="2:9" ht="18.95" customHeight="1">
      <c r="B80" s="216" t="s">
        <v>426</v>
      </c>
      <c r="C80" s="217"/>
      <c r="D80" s="218">
        <v>20</v>
      </c>
      <c r="E80" s="219"/>
      <c r="F80" s="217"/>
      <c r="G80" s="220">
        <v>273.89999999999998</v>
      </c>
      <c r="H80" s="221"/>
      <c r="I80" s="222"/>
    </row>
    <row r="81" spans="2:9" ht="18.95" customHeight="1">
      <c r="B81" s="216" t="s">
        <v>426</v>
      </c>
      <c r="C81" s="217"/>
      <c r="D81" s="218">
        <v>30</v>
      </c>
      <c r="E81" s="219"/>
      <c r="F81" s="217"/>
      <c r="G81" s="220">
        <v>297.2</v>
      </c>
      <c r="H81" s="221"/>
      <c r="I81" s="222"/>
    </row>
    <row r="82" spans="2:9" ht="18.95" customHeight="1">
      <c r="B82" s="216" t="s">
        <v>426</v>
      </c>
      <c r="C82" s="217"/>
      <c r="D82" s="218">
        <v>50</v>
      </c>
      <c r="E82" s="219"/>
      <c r="F82" s="217"/>
      <c r="G82" s="220">
        <v>326.3</v>
      </c>
      <c r="H82" s="221"/>
      <c r="I82" s="222"/>
    </row>
    <row r="83" spans="2:9" ht="18.95" customHeight="1">
      <c r="B83" s="216" t="s">
        <v>426</v>
      </c>
      <c r="C83" s="217"/>
      <c r="D83" s="218">
        <v>70</v>
      </c>
      <c r="E83" s="219"/>
      <c r="F83" s="217"/>
      <c r="G83" s="220">
        <v>345.3</v>
      </c>
      <c r="H83" s="221"/>
      <c r="I83" s="222"/>
    </row>
    <row r="84" spans="2:9" ht="18.95" customHeight="1">
      <c r="B84" s="216" t="s">
        <v>426</v>
      </c>
      <c r="C84" s="217"/>
      <c r="D84" s="218">
        <v>80</v>
      </c>
      <c r="E84" s="219"/>
      <c r="F84" s="217"/>
      <c r="G84" s="220">
        <v>352.9</v>
      </c>
      <c r="H84" s="221"/>
      <c r="I84" s="222"/>
    </row>
    <row r="85" spans="2:9" ht="18.95" customHeight="1">
      <c r="B85" s="216" t="s">
        <v>426</v>
      </c>
      <c r="C85" s="217"/>
      <c r="D85" s="218">
        <v>100</v>
      </c>
      <c r="E85" s="219"/>
      <c r="F85" s="217"/>
      <c r="G85" s="220">
        <v>365.5</v>
      </c>
      <c r="H85" s="221"/>
      <c r="I85" s="222"/>
    </row>
    <row r="86" spans="2:9" ht="18.95" customHeight="1">
      <c r="B86" s="216" t="s">
        <v>427</v>
      </c>
      <c r="C86" s="217"/>
      <c r="D86" s="218">
        <v>10</v>
      </c>
      <c r="E86" s="219"/>
      <c r="F86" s="217"/>
      <c r="G86" s="220">
        <v>213.4</v>
      </c>
      <c r="H86" s="221"/>
      <c r="I86" s="222"/>
    </row>
    <row r="87" spans="2:9" ht="18.95" customHeight="1">
      <c r="B87" s="216" t="s">
        <v>427</v>
      </c>
      <c r="C87" s="217"/>
      <c r="D87" s="218">
        <v>20</v>
      </c>
      <c r="E87" s="219"/>
      <c r="F87" s="217"/>
      <c r="G87" s="220">
        <v>245.8</v>
      </c>
      <c r="H87" s="221"/>
      <c r="I87" s="222"/>
    </row>
    <row r="88" spans="2:9" ht="18.95" customHeight="1">
      <c r="B88" s="216" t="s">
        <v>427</v>
      </c>
      <c r="C88" s="217"/>
      <c r="D88" s="218">
        <v>30</v>
      </c>
      <c r="E88" s="219"/>
      <c r="F88" s="217"/>
      <c r="G88" s="220">
        <v>264.39999999999998</v>
      </c>
      <c r="H88" s="221"/>
      <c r="I88" s="222"/>
    </row>
    <row r="89" spans="2:9" ht="18.95" customHeight="1">
      <c r="B89" s="216" t="s">
        <v>427</v>
      </c>
      <c r="C89" s="217"/>
      <c r="D89" s="218">
        <v>50</v>
      </c>
      <c r="E89" s="219"/>
      <c r="F89" s="217"/>
      <c r="G89" s="220">
        <v>287.7</v>
      </c>
      <c r="H89" s="221"/>
      <c r="I89" s="222"/>
    </row>
    <row r="90" spans="2:9" ht="18.95" customHeight="1">
      <c r="B90" s="216" t="s">
        <v>427</v>
      </c>
      <c r="C90" s="217"/>
      <c r="D90" s="218">
        <v>70</v>
      </c>
      <c r="E90" s="219"/>
      <c r="F90" s="217"/>
      <c r="G90" s="220">
        <v>302.89999999999998</v>
      </c>
      <c r="H90" s="221"/>
      <c r="I90" s="222"/>
    </row>
    <row r="91" spans="2:9" ht="18.95" customHeight="1">
      <c r="B91" s="216" t="s">
        <v>427</v>
      </c>
      <c r="C91" s="217"/>
      <c r="D91" s="218">
        <v>80</v>
      </c>
      <c r="E91" s="219"/>
      <c r="F91" s="217"/>
      <c r="G91" s="220">
        <v>309</v>
      </c>
      <c r="H91" s="221"/>
      <c r="I91" s="222"/>
    </row>
    <row r="92" spans="2:9" ht="18.95" customHeight="1">
      <c r="B92" s="216" t="s">
        <v>427</v>
      </c>
      <c r="C92" s="217"/>
      <c r="D92" s="218">
        <v>100</v>
      </c>
      <c r="E92" s="219"/>
      <c r="F92" s="217"/>
      <c r="G92" s="220">
        <v>319.10000000000002</v>
      </c>
      <c r="H92" s="221"/>
      <c r="I92" s="222"/>
    </row>
    <row r="93" spans="2:9" ht="18.95" customHeight="1">
      <c r="B93" s="216" t="s">
        <v>428</v>
      </c>
      <c r="C93" s="217"/>
      <c r="D93" s="218">
        <v>10</v>
      </c>
      <c r="E93" s="219"/>
      <c r="F93" s="217"/>
      <c r="G93" s="220">
        <v>154.5</v>
      </c>
      <c r="H93" s="221"/>
      <c r="I93" s="222"/>
    </row>
    <row r="94" spans="2:9" ht="18.95" customHeight="1">
      <c r="B94" s="216" t="s">
        <v>428</v>
      </c>
      <c r="C94" s="217"/>
      <c r="D94" s="218">
        <v>20</v>
      </c>
      <c r="E94" s="219"/>
      <c r="F94" s="217"/>
      <c r="G94" s="220">
        <v>173.6</v>
      </c>
      <c r="H94" s="221"/>
      <c r="I94" s="222"/>
    </row>
    <row r="95" spans="2:9" ht="18.95" customHeight="1">
      <c r="B95" s="216" t="s">
        <v>428</v>
      </c>
      <c r="C95" s="217"/>
      <c r="D95" s="218">
        <v>30</v>
      </c>
      <c r="E95" s="219"/>
      <c r="F95" s="217"/>
      <c r="G95" s="220">
        <v>184.6</v>
      </c>
      <c r="H95" s="221"/>
      <c r="I95" s="222"/>
    </row>
    <row r="96" spans="2:9" ht="18.95" customHeight="1">
      <c r="B96" s="216" t="s">
        <v>428</v>
      </c>
      <c r="C96" s="217"/>
      <c r="D96" s="218">
        <v>50</v>
      </c>
      <c r="E96" s="219"/>
      <c r="F96" s="217"/>
      <c r="G96" s="220">
        <v>198.3</v>
      </c>
      <c r="H96" s="221"/>
      <c r="I96" s="222"/>
    </row>
    <row r="97" spans="2:9" ht="18.95" customHeight="1">
      <c r="B97" s="216" t="s">
        <v>428</v>
      </c>
      <c r="C97" s="217"/>
      <c r="D97" s="218">
        <v>70</v>
      </c>
      <c r="E97" s="219"/>
      <c r="F97" s="217"/>
      <c r="G97" s="220">
        <v>207.3</v>
      </c>
      <c r="H97" s="221"/>
      <c r="I97" s="222"/>
    </row>
    <row r="98" spans="2:9" ht="18.95" customHeight="1">
      <c r="B98" s="216" t="s">
        <v>428</v>
      </c>
      <c r="C98" s="217"/>
      <c r="D98" s="218">
        <v>80</v>
      </c>
      <c r="E98" s="219"/>
      <c r="F98" s="217"/>
      <c r="G98" s="220">
        <v>210.9</v>
      </c>
      <c r="H98" s="221"/>
      <c r="I98" s="222"/>
    </row>
    <row r="99" spans="2:9" ht="18.95" customHeight="1">
      <c r="B99" s="216" t="s">
        <v>428</v>
      </c>
      <c r="C99" s="217"/>
      <c r="D99" s="218">
        <v>100</v>
      </c>
      <c r="E99" s="219"/>
      <c r="F99" s="217"/>
      <c r="G99" s="220">
        <v>216.8</v>
      </c>
      <c r="H99" s="221"/>
      <c r="I99" s="222"/>
    </row>
    <row r="100" spans="2:9" ht="18.95" customHeight="1">
      <c r="B100" s="216" t="s">
        <v>429</v>
      </c>
      <c r="C100" s="217"/>
      <c r="D100" s="218">
        <v>10</v>
      </c>
      <c r="E100" s="219"/>
      <c r="F100" s="217"/>
      <c r="G100" s="220">
        <v>172.2</v>
      </c>
      <c r="H100" s="221"/>
      <c r="I100" s="222"/>
    </row>
    <row r="101" spans="2:9" ht="18.95" customHeight="1">
      <c r="B101" s="216" t="s">
        <v>429</v>
      </c>
      <c r="C101" s="217"/>
      <c r="D101" s="218">
        <v>20</v>
      </c>
      <c r="E101" s="219"/>
      <c r="F101" s="217"/>
      <c r="G101" s="220">
        <v>197.2</v>
      </c>
      <c r="H101" s="221"/>
      <c r="I101" s="222"/>
    </row>
    <row r="102" spans="2:9" ht="18.95" customHeight="1">
      <c r="B102" s="216" t="s">
        <v>429</v>
      </c>
      <c r="C102" s="217"/>
      <c r="D102" s="218">
        <v>30</v>
      </c>
      <c r="E102" s="219"/>
      <c r="F102" s="217"/>
      <c r="G102" s="220">
        <v>211.6</v>
      </c>
      <c r="H102" s="221"/>
      <c r="I102" s="222"/>
    </row>
    <row r="103" spans="2:9" ht="18.95" customHeight="1">
      <c r="B103" s="216" t="s">
        <v>429</v>
      </c>
      <c r="C103" s="217"/>
      <c r="D103" s="218">
        <v>50</v>
      </c>
      <c r="E103" s="219"/>
      <c r="F103" s="217"/>
      <c r="G103" s="220">
        <v>229.6</v>
      </c>
      <c r="H103" s="221"/>
      <c r="I103" s="222"/>
    </row>
    <row r="104" spans="2:9" ht="18.95" customHeight="1">
      <c r="B104" s="216" t="s">
        <v>429</v>
      </c>
      <c r="C104" s="217"/>
      <c r="D104" s="218">
        <v>70</v>
      </c>
      <c r="E104" s="219"/>
      <c r="F104" s="217"/>
      <c r="G104" s="220">
        <v>241.4</v>
      </c>
      <c r="H104" s="221"/>
      <c r="I104" s="222"/>
    </row>
    <row r="105" spans="2:9" ht="18.95" customHeight="1">
      <c r="B105" s="216" t="s">
        <v>429</v>
      </c>
      <c r="C105" s="217"/>
      <c r="D105" s="218">
        <v>80</v>
      </c>
      <c r="E105" s="219"/>
      <c r="F105" s="217"/>
      <c r="G105" s="220">
        <v>246.1</v>
      </c>
      <c r="H105" s="221"/>
      <c r="I105" s="222"/>
    </row>
    <row r="106" spans="2:9" ht="18.95" customHeight="1">
      <c r="B106" s="216" t="s">
        <v>429</v>
      </c>
      <c r="C106" s="217"/>
      <c r="D106" s="218">
        <v>100</v>
      </c>
      <c r="E106" s="219"/>
      <c r="F106" s="217"/>
      <c r="G106" s="220">
        <v>253.9</v>
      </c>
      <c r="H106" s="221"/>
      <c r="I106" s="222"/>
    </row>
    <row r="107" spans="2:9" ht="18.95" customHeight="1">
      <c r="B107" s="216" t="s">
        <v>430</v>
      </c>
      <c r="C107" s="217"/>
      <c r="D107" s="218">
        <v>10</v>
      </c>
      <c r="E107" s="219"/>
      <c r="F107" s="217"/>
      <c r="G107" s="220">
        <v>149.19999999999999</v>
      </c>
      <c r="H107" s="221"/>
      <c r="I107" s="222"/>
    </row>
    <row r="108" spans="2:9" ht="18.95" customHeight="1">
      <c r="B108" s="216" t="s">
        <v>430</v>
      </c>
      <c r="C108" s="217"/>
      <c r="D108" s="218">
        <v>20</v>
      </c>
      <c r="E108" s="219"/>
      <c r="F108" s="217"/>
      <c r="G108" s="220">
        <v>168.1</v>
      </c>
      <c r="H108" s="221"/>
      <c r="I108" s="222"/>
    </row>
    <row r="109" spans="2:9" ht="18.95" customHeight="1">
      <c r="B109" s="216" t="s">
        <v>430</v>
      </c>
      <c r="C109" s="217"/>
      <c r="D109" s="218">
        <v>30</v>
      </c>
      <c r="E109" s="219"/>
      <c r="F109" s="217"/>
      <c r="G109" s="220">
        <v>179.1</v>
      </c>
      <c r="H109" s="221"/>
      <c r="I109" s="222"/>
    </row>
    <row r="110" spans="2:9" ht="18.95" customHeight="1">
      <c r="B110" s="216" t="s">
        <v>430</v>
      </c>
      <c r="C110" s="217"/>
      <c r="D110" s="218">
        <v>50</v>
      </c>
      <c r="E110" s="219"/>
      <c r="F110" s="217"/>
      <c r="G110" s="220">
        <v>192.7</v>
      </c>
      <c r="H110" s="221"/>
      <c r="I110" s="222"/>
    </row>
    <row r="111" spans="2:9" ht="18.95" customHeight="1">
      <c r="B111" s="216" t="s">
        <v>430</v>
      </c>
      <c r="C111" s="217"/>
      <c r="D111" s="218">
        <v>70</v>
      </c>
      <c r="E111" s="219"/>
      <c r="F111" s="217"/>
      <c r="G111" s="220">
        <v>201.6</v>
      </c>
      <c r="H111" s="221"/>
      <c r="I111" s="222"/>
    </row>
    <row r="112" spans="2:9" ht="18.95" customHeight="1">
      <c r="B112" s="216" t="s">
        <v>430</v>
      </c>
      <c r="C112" s="217"/>
      <c r="D112" s="218">
        <v>80</v>
      </c>
      <c r="E112" s="219"/>
      <c r="F112" s="217"/>
      <c r="G112" s="220">
        <v>205.2</v>
      </c>
      <c r="H112" s="221"/>
      <c r="I112" s="222"/>
    </row>
    <row r="113" spans="2:9" ht="18.95" customHeight="1">
      <c r="B113" s="216" t="s">
        <v>430</v>
      </c>
      <c r="C113" s="217"/>
      <c r="D113" s="218">
        <v>100</v>
      </c>
      <c r="E113" s="219"/>
      <c r="F113" s="217"/>
      <c r="G113" s="220">
        <v>211.1</v>
      </c>
      <c r="H113" s="221"/>
      <c r="I113" s="222"/>
    </row>
    <row r="114" spans="2:9" ht="18.95" customHeight="1">
      <c r="B114" s="216" t="s">
        <v>431</v>
      </c>
      <c r="C114" s="217"/>
      <c r="D114" s="218">
        <v>10</v>
      </c>
      <c r="E114" s="219"/>
      <c r="F114" s="217"/>
      <c r="G114" s="220">
        <v>147.4</v>
      </c>
      <c r="H114" s="221"/>
      <c r="I114" s="222"/>
    </row>
    <row r="115" spans="2:9" ht="18.95" customHeight="1">
      <c r="B115" s="216" t="s">
        <v>431</v>
      </c>
      <c r="C115" s="217"/>
      <c r="D115" s="218">
        <v>20</v>
      </c>
      <c r="E115" s="219"/>
      <c r="F115" s="217"/>
      <c r="G115" s="220">
        <v>164.7</v>
      </c>
      <c r="H115" s="221"/>
      <c r="I115" s="222"/>
    </row>
    <row r="116" spans="2:9" ht="18.95" customHeight="1">
      <c r="B116" s="216" t="s">
        <v>431</v>
      </c>
      <c r="C116" s="217"/>
      <c r="D116" s="218">
        <v>30</v>
      </c>
      <c r="E116" s="219"/>
      <c r="F116" s="217"/>
      <c r="G116" s="220">
        <v>174.6</v>
      </c>
      <c r="H116" s="221"/>
      <c r="I116" s="222"/>
    </row>
    <row r="117" spans="2:9" ht="18.95" customHeight="1">
      <c r="B117" s="216" t="s">
        <v>431</v>
      </c>
      <c r="C117" s="217"/>
      <c r="D117" s="218">
        <v>50</v>
      </c>
      <c r="E117" s="219"/>
      <c r="F117" s="217"/>
      <c r="G117" s="220">
        <v>187</v>
      </c>
      <c r="H117" s="221"/>
      <c r="I117" s="222"/>
    </row>
    <row r="118" spans="2:9" ht="18.95" customHeight="1">
      <c r="B118" s="216" t="s">
        <v>431</v>
      </c>
      <c r="C118" s="217"/>
      <c r="D118" s="218">
        <v>70</v>
      </c>
      <c r="E118" s="219"/>
      <c r="F118" s="217"/>
      <c r="G118" s="220">
        <v>195.2</v>
      </c>
      <c r="H118" s="221"/>
      <c r="I118" s="222"/>
    </row>
    <row r="119" spans="2:9" ht="18.95" customHeight="1">
      <c r="B119" s="216" t="s">
        <v>431</v>
      </c>
      <c r="C119" s="217"/>
      <c r="D119" s="218">
        <v>80</v>
      </c>
      <c r="E119" s="219"/>
      <c r="F119" s="217"/>
      <c r="G119" s="220">
        <v>198.4</v>
      </c>
      <c r="H119" s="221"/>
      <c r="I119" s="222"/>
    </row>
    <row r="120" spans="2:9" ht="18.95" customHeight="1">
      <c r="B120" s="216" t="s">
        <v>431</v>
      </c>
      <c r="C120" s="217"/>
      <c r="D120" s="218">
        <v>100</v>
      </c>
      <c r="E120" s="219"/>
      <c r="F120" s="217"/>
      <c r="G120" s="220">
        <v>203.8</v>
      </c>
      <c r="H120" s="221"/>
      <c r="I120" s="222"/>
    </row>
    <row r="121" spans="2:9" ht="18.95" customHeight="1">
      <c r="B121" s="216" t="s">
        <v>432</v>
      </c>
      <c r="C121" s="217"/>
      <c r="D121" s="218">
        <v>10</v>
      </c>
      <c r="E121" s="219"/>
      <c r="F121" s="217"/>
      <c r="G121" s="220">
        <v>168.1</v>
      </c>
      <c r="H121" s="221"/>
      <c r="I121" s="222"/>
    </row>
    <row r="122" spans="2:9" ht="18.95" customHeight="1">
      <c r="B122" s="216" t="s">
        <v>432</v>
      </c>
      <c r="C122" s="217"/>
      <c r="D122" s="218">
        <v>20</v>
      </c>
      <c r="E122" s="219"/>
      <c r="F122" s="217"/>
      <c r="G122" s="220">
        <v>188.2</v>
      </c>
      <c r="H122" s="221"/>
      <c r="I122" s="222"/>
    </row>
    <row r="123" spans="2:9" ht="18.95" customHeight="1">
      <c r="B123" s="216" t="s">
        <v>432</v>
      </c>
      <c r="C123" s="217"/>
      <c r="D123" s="218">
        <v>30</v>
      </c>
      <c r="E123" s="219"/>
      <c r="F123" s="217"/>
      <c r="G123" s="220">
        <v>199.7</v>
      </c>
      <c r="H123" s="221"/>
      <c r="I123" s="222"/>
    </row>
    <row r="124" spans="2:9" ht="18.95" customHeight="1">
      <c r="B124" s="216" t="s">
        <v>432</v>
      </c>
      <c r="C124" s="217"/>
      <c r="D124" s="218">
        <v>50</v>
      </c>
      <c r="E124" s="219"/>
      <c r="F124" s="217"/>
      <c r="G124" s="220">
        <v>214.2</v>
      </c>
      <c r="H124" s="221"/>
      <c r="I124" s="222"/>
    </row>
    <row r="125" spans="2:9" ht="18.95" customHeight="1">
      <c r="B125" s="216" t="s">
        <v>432</v>
      </c>
      <c r="C125" s="217"/>
      <c r="D125" s="218">
        <v>70</v>
      </c>
      <c r="E125" s="219"/>
      <c r="F125" s="217"/>
      <c r="G125" s="220">
        <v>223.6</v>
      </c>
      <c r="H125" s="221"/>
      <c r="I125" s="222"/>
    </row>
    <row r="126" spans="2:9" ht="18.95" customHeight="1">
      <c r="B126" s="216" t="s">
        <v>432</v>
      </c>
      <c r="C126" s="217"/>
      <c r="D126" s="218">
        <v>80</v>
      </c>
      <c r="E126" s="219"/>
      <c r="F126" s="217"/>
      <c r="G126" s="220">
        <v>227.4</v>
      </c>
      <c r="H126" s="221"/>
      <c r="I126" s="222"/>
    </row>
    <row r="127" spans="2:9" ht="18.95" customHeight="1">
      <c r="B127" s="216" t="s">
        <v>432</v>
      </c>
      <c r="C127" s="217"/>
      <c r="D127" s="218">
        <v>100</v>
      </c>
      <c r="E127" s="219"/>
      <c r="F127" s="217"/>
      <c r="G127" s="220">
        <v>233.6</v>
      </c>
      <c r="H127" s="221"/>
      <c r="I127" s="222"/>
    </row>
    <row r="128" spans="2:9" ht="18.95" customHeight="1"/>
    <row r="129" ht="18.95" customHeight="1"/>
  </sheetData>
  <mergeCells count="9">
    <mergeCell ref="J32:K32"/>
    <mergeCell ref="D43:F43"/>
    <mergeCell ref="G43:I43"/>
    <mergeCell ref="R1:Z1"/>
    <mergeCell ref="R2:Z2"/>
    <mergeCell ref="P5:Q5"/>
    <mergeCell ref="R6:S6"/>
    <mergeCell ref="J12:K12"/>
    <mergeCell ref="T26:X26"/>
  </mergeCells>
  <phoneticPr fontId="4" type="noConversion"/>
  <dataValidations disablePrompts="1" count="2">
    <dataValidation type="list" allowBlank="1" showInputMessage="1" showErrorMessage="1" sqref="O33:O34">
      <formula1>"울진,추풍령,안동,포항,대구,춘양,영주,문경,영덕,의성,구미,영천, "</formula1>
    </dataValidation>
    <dataValidation type="list" allowBlank="1" showInputMessage="1" showErrorMessage="1" sqref="P33:P34">
      <formula1>"10,20,30,50,70,80,100"</formula1>
    </dataValidation>
  </dataValidations>
  <pageMargins left="0.6" right="0.17" top="0.96000000000000008" bottom="0.28000000000000003" header="0.35" footer="0.18"/>
  <pageSetup paperSize="9" scale="90" orientation="landscape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22"/>
  <sheetViews>
    <sheetView showGridLines="0" zoomScale="115" zoomScaleNormal="115" workbookViewId="0">
      <selection activeCell="F22" sqref="F22"/>
    </sheetView>
  </sheetViews>
  <sheetFormatPr defaultRowHeight="17.25" customHeight="1"/>
  <cols>
    <col min="1" max="1" width="8.5" style="33" customWidth="1"/>
    <col min="2" max="2" width="4.625" style="33" customWidth="1"/>
    <col min="3" max="3" width="8.625" style="33" customWidth="1"/>
    <col min="4" max="4" width="13" style="33" customWidth="1"/>
    <col min="5" max="5" width="10.875" style="33" customWidth="1"/>
    <col min="6" max="6" width="13.5" style="33" customWidth="1"/>
    <col min="7" max="7" width="14.75" style="33" customWidth="1"/>
    <col min="8" max="8" width="12.75" style="33" customWidth="1"/>
    <col min="9" max="9" width="14.375" style="34" customWidth="1"/>
    <col min="10" max="16384" width="9" style="34"/>
  </cols>
  <sheetData>
    <row r="1" spans="1:17" ht="23.25" customHeight="1">
      <c r="A1" s="32" t="s">
        <v>17</v>
      </c>
      <c r="B1" s="32"/>
      <c r="C1" s="32"/>
      <c r="K1" s="35"/>
      <c r="L1" s="35"/>
      <c r="M1" s="35"/>
      <c r="N1" s="35"/>
      <c r="O1" s="35"/>
      <c r="P1" s="35"/>
      <c r="Q1" s="35"/>
    </row>
    <row r="2" spans="1:17" s="39" customFormat="1" ht="16.5" customHeight="1">
      <c r="A2" s="36"/>
      <c r="B2" s="36"/>
      <c r="C2" s="36"/>
      <c r="D2" s="36"/>
      <c r="E2" s="36"/>
      <c r="F2" s="36"/>
      <c r="G2" s="37">
        <v>10</v>
      </c>
      <c r="H2" s="36"/>
      <c r="I2" s="11"/>
      <c r="J2" s="11"/>
      <c r="K2" s="30"/>
      <c r="L2" s="38"/>
      <c r="M2" s="38"/>
      <c r="N2" s="38"/>
      <c r="O2" s="38"/>
      <c r="P2" s="38"/>
      <c r="Q2" s="38"/>
    </row>
    <row r="3" spans="1:17" s="39" customFormat="1" ht="20.100000000000001" customHeight="1">
      <c r="A3" s="1109" t="s">
        <v>18</v>
      </c>
      <c r="B3" s="1356"/>
      <c r="C3" s="1097"/>
      <c r="D3" s="1118" t="s">
        <v>19</v>
      </c>
      <c r="E3" s="1118" t="s">
        <v>20</v>
      </c>
      <c r="F3" s="1118" t="s">
        <v>21</v>
      </c>
      <c r="G3" s="1352" t="s">
        <v>22</v>
      </c>
      <c r="H3" s="1118" t="s">
        <v>23</v>
      </c>
      <c r="I3" s="1122" t="s">
        <v>24</v>
      </c>
      <c r="J3" s="11"/>
      <c r="K3" s="30"/>
      <c r="L3" s="38"/>
      <c r="M3" s="38"/>
      <c r="N3" s="38"/>
      <c r="O3" s="38"/>
      <c r="P3" s="38"/>
      <c r="Q3" s="38"/>
    </row>
    <row r="4" spans="1:17" s="39" customFormat="1" ht="22.5" customHeight="1">
      <c r="A4" s="1316"/>
      <c r="B4" s="1357"/>
      <c r="C4" s="1167"/>
      <c r="D4" s="1101"/>
      <c r="E4" s="1101"/>
      <c r="F4" s="1101"/>
      <c r="G4" s="1101"/>
      <c r="H4" s="1101"/>
      <c r="I4" s="1123"/>
      <c r="J4" s="11"/>
      <c r="K4" s="30"/>
      <c r="L4" s="38"/>
      <c r="M4" s="38"/>
      <c r="N4" s="38"/>
      <c r="O4" s="38"/>
      <c r="P4" s="38"/>
      <c r="Q4" s="38"/>
    </row>
    <row r="5" spans="1:17" s="39" customFormat="1" ht="25.5" customHeight="1">
      <c r="A5" s="41">
        <v>0</v>
      </c>
      <c r="B5" s="42" t="s">
        <v>25</v>
      </c>
      <c r="C5" s="43">
        <v>19</v>
      </c>
      <c r="D5" s="24">
        <v>380</v>
      </c>
      <c r="E5" s="44">
        <v>3</v>
      </c>
      <c r="F5" s="45">
        <f>E5*D5</f>
        <v>1140</v>
      </c>
      <c r="G5" s="46">
        <v>0.7</v>
      </c>
      <c r="H5" s="47">
        <f>F5*$G$2/100/G5</f>
        <v>162.85714285714286</v>
      </c>
      <c r="I5" s="21"/>
      <c r="J5" s="11"/>
      <c r="K5" s="30"/>
      <c r="L5" s="38"/>
      <c r="M5" s="38"/>
      <c r="N5" s="38"/>
      <c r="O5" s="38"/>
      <c r="P5" s="38"/>
      <c r="Q5" s="38"/>
    </row>
    <row r="6" spans="1:17" s="39" customFormat="1" ht="25.5" customHeight="1">
      <c r="A6" s="41">
        <v>0</v>
      </c>
      <c r="B6" s="42" t="s">
        <v>25</v>
      </c>
      <c r="C6" s="43">
        <v>15</v>
      </c>
      <c r="D6" s="24">
        <v>300</v>
      </c>
      <c r="E6" s="44">
        <v>3</v>
      </c>
      <c r="F6" s="45">
        <f>E6*D6</f>
        <v>900</v>
      </c>
      <c r="G6" s="46">
        <v>0.7</v>
      </c>
      <c r="H6" s="47">
        <f>F6*$G$2/100/G6</f>
        <v>128.57142857142858</v>
      </c>
      <c r="I6" s="21"/>
      <c r="J6" s="11"/>
      <c r="K6" s="30"/>
      <c r="L6" s="38"/>
      <c r="M6" s="38"/>
      <c r="N6" s="38"/>
      <c r="O6" s="38"/>
      <c r="P6" s="38"/>
      <c r="Q6" s="38"/>
    </row>
    <row r="7" spans="1:17" s="39" customFormat="1" ht="25.5" customHeight="1">
      <c r="A7" s="41"/>
      <c r="B7" s="42"/>
      <c r="C7" s="43"/>
      <c r="D7" s="24">
        <f>-구조물위치!I21</f>
        <v>-10</v>
      </c>
      <c r="E7" s="44">
        <v>3.5</v>
      </c>
      <c r="F7" s="45">
        <f>E7*D7</f>
        <v>-35</v>
      </c>
      <c r="G7" s="46">
        <v>0.7</v>
      </c>
      <c r="H7" s="47">
        <f>F7*$G$2/100/G7</f>
        <v>-5</v>
      </c>
      <c r="I7" s="21" t="s">
        <v>26</v>
      </c>
      <c r="J7" s="11"/>
      <c r="K7" s="30"/>
      <c r="L7" s="38"/>
      <c r="M7" s="38"/>
      <c r="N7" s="38"/>
      <c r="O7" s="38"/>
      <c r="P7" s="38"/>
      <c r="Q7" s="38"/>
    </row>
    <row r="8" spans="1:17" s="39" customFormat="1" ht="25.5" customHeight="1">
      <c r="A8" s="41"/>
      <c r="B8" s="42"/>
      <c r="C8" s="43"/>
      <c r="D8" s="24"/>
      <c r="E8" s="44"/>
      <c r="F8" s="45"/>
      <c r="G8" s="46"/>
      <c r="H8" s="47"/>
      <c r="I8" s="21"/>
      <c r="J8" s="11"/>
      <c r="K8" s="30"/>
      <c r="L8" s="38"/>
      <c r="M8" s="38"/>
      <c r="N8" s="38"/>
      <c r="O8" s="38"/>
      <c r="P8" s="38"/>
      <c r="Q8" s="38"/>
    </row>
    <row r="9" spans="1:17" ht="21.95" customHeight="1">
      <c r="A9" s="1353"/>
      <c r="B9" s="1354"/>
      <c r="C9" s="1355"/>
      <c r="D9" s="24"/>
      <c r="E9" s="44"/>
      <c r="F9" s="45"/>
      <c r="G9" s="47"/>
      <c r="H9" s="48"/>
      <c r="I9" s="49"/>
      <c r="J9" s="39"/>
      <c r="K9" s="38"/>
    </row>
    <row r="10" spans="1:17" ht="21.95" customHeight="1">
      <c r="A10" s="41"/>
      <c r="B10" s="42"/>
      <c r="C10" s="43"/>
      <c r="D10" s="24"/>
      <c r="E10" s="44"/>
      <c r="F10" s="45"/>
      <c r="G10" s="47"/>
      <c r="H10" s="48"/>
      <c r="I10" s="50"/>
      <c r="J10" s="39"/>
      <c r="K10" s="38"/>
    </row>
    <row r="11" spans="1:17" ht="21.95" customHeight="1">
      <c r="A11" s="1358" t="s">
        <v>379</v>
      </c>
      <c r="B11" s="1359"/>
      <c r="C11" s="1360"/>
      <c r="D11" s="51">
        <v>15</v>
      </c>
      <c r="E11" s="19">
        <v>1.5</v>
      </c>
      <c r="F11" s="45">
        <f>E11*D11</f>
        <v>22.5</v>
      </c>
      <c r="G11" s="47">
        <f>F11/10</f>
        <v>2.25</v>
      </c>
      <c r="H11" s="47">
        <f>F11*$G$2/100/G11</f>
        <v>1</v>
      </c>
      <c r="I11" s="50"/>
      <c r="J11" s="39"/>
      <c r="K11" s="38"/>
    </row>
    <row r="12" spans="1:17" ht="21.95" customHeight="1">
      <c r="A12" s="1358" t="s">
        <v>376</v>
      </c>
      <c r="B12" s="1359"/>
      <c r="C12" s="1360"/>
      <c r="D12" s="51">
        <v>15</v>
      </c>
      <c r="E12" s="19">
        <v>1.5</v>
      </c>
      <c r="F12" s="45">
        <f>E12*D12</f>
        <v>22.5</v>
      </c>
      <c r="G12" s="47">
        <f>F12/10</f>
        <v>2.25</v>
      </c>
      <c r="H12" s="47">
        <f>F12*$G$2/100/G12</f>
        <v>1</v>
      </c>
      <c r="I12" s="50"/>
      <c r="J12" s="39"/>
      <c r="K12" s="38"/>
    </row>
    <row r="13" spans="1:17" ht="21.95" customHeight="1">
      <c r="A13" s="1358" t="s">
        <v>377</v>
      </c>
      <c r="B13" s="1359"/>
      <c r="C13" s="1360"/>
      <c r="D13" s="51">
        <v>15</v>
      </c>
      <c r="E13" s="19">
        <v>1.5</v>
      </c>
      <c r="F13" s="45">
        <f>E13*D13</f>
        <v>22.5</v>
      </c>
      <c r="G13" s="47">
        <f>F13/10</f>
        <v>2.25</v>
      </c>
      <c r="H13" s="47">
        <f>F13*$G$2/100/G13</f>
        <v>1</v>
      </c>
      <c r="I13" s="50"/>
      <c r="J13" s="39"/>
      <c r="K13" s="38"/>
    </row>
    <row r="14" spans="1:17" ht="21.95" customHeight="1">
      <c r="A14" s="1358"/>
      <c r="B14" s="1359"/>
      <c r="C14" s="1360"/>
      <c r="D14" s="51"/>
      <c r="E14" s="19"/>
      <c r="F14" s="45"/>
      <c r="G14" s="47"/>
      <c r="H14" s="47"/>
      <c r="I14" s="50"/>
      <c r="J14" s="39"/>
      <c r="K14" s="38"/>
    </row>
    <row r="15" spans="1:17" ht="21.95" customHeight="1">
      <c r="A15" s="1358"/>
      <c r="B15" s="1359"/>
      <c r="C15" s="1360"/>
      <c r="D15" s="51"/>
      <c r="E15" s="19"/>
      <c r="F15" s="45"/>
      <c r="G15" s="47"/>
      <c r="H15" s="47"/>
      <c r="I15" s="50"/>
      <c r="J15" s="39"/>
      <c r="K15" s="38"/>
    </row>
    <row r="16" spans="1:17" ht="21.95" customHeight="1">
      <c r="A16" s="1358"/>
      <c r="B16" s="1359"/>
      <c r="C16" s="1360"/>
      <c r="D16" s="51"/>
      <c r="E16" s="19"/>
      <c r="F16" s="45"/>
      <c r="G16" s="47"/>
      <c r="H16" s="47"/>
      <c r="I16" s="50"/>
      <c r="J16" s="39"/>
      <c r="K16" s="38"/>
    </row>
    <row r="17" spans="1:17" ht="21.95" customHeight="1">
      <c r="A17" s="1358"/>
      <c r="B17" s="1359"/>
      <c r="C17" s="1360"/>
      <c r="D17" s="51"/>
      <c r="E17" s="19"/>
      <c r="F17" s="45"/>
      <c r="G17" s="47"/>
      <c r="H17" s="47"/>
      <c r="I17" s="49"/>
      <c r="J17" s="39"/>
      <c r="K17" s="38"/>
    </row>
    <row r="18" spans="1:17" ht="21.95" customHeight="1">
      <c r="A18" s="1358"/>
      <c r="B18" s="1359"/>
      <c r="C18" s="1360"/>
      <c r="D18" s="51"/>
      <c r="E18" s="19"/>
      <c r="F18" s="45"/>
      <c r="G18" s="47"/>
      <c r="H18" s="52"/>
      <c r="I18" s="53"/>
      <c r="J18" s="39"/>
      <c r="K18" s="38"/>
    </row>
    <row r="19" spans="1:17" s="39" customFormat="1" ht="24.75" customHeight="1">
      <c r="A19" s="1362" t="s">
        <v>27</v>
      </c>
      <c r="B19" s="1363"/>
      <c r="C19" s="1096"/>
      <c r="D19" s="54">
        <f>SUM(D5:D18)</f>
        <v>715</v>
      </c>
      <c r="E19" s="54"/>
      <c r="F19" s="55">
        <f>ROUND(SUM(F5:F18),-1)</f>
        <v>2070</v>
      </c>
      <c r="G19" s="55"/>
      <c r="H19" s="55">
        <f>SUM(H5:H18)</f>
        <v>289.42857142857144</v>
      </c>
      <c r="I19" s="56"/>
      <c r="J19" s="11"/>
      <c r="K19" s="30"/>
      <c r="L19" s="38"/>
      <c r="M19" s="38"/>
      <c r="N19" s="38"/>
      <c r="O19" s="38"/>
      <c r="P19" s="38"/>
      <c r="Q19" s="38"/>
    </row>
    <row r="20" spans="1:17" s="58" customFormat="1" ht="20.100000000000001" customHeight="1">
      <c r="A20" s="1361" t="s">
        <v>28</v>
      </c>
      <c r="B20" s="1361"/>
      <c r="C20" s="1361"/>
      <c r="D20" s="1361"/>
      <c r="E20" s="1361"/>
      <c r="F20" s="1361"/>
      <c r="G20" s="1361"/>
      <c r="H20" s="1361"/>
      <c r="I20" s="1361"/>
      <c r="J20" s="11"/>
      <c r="K20" s="30"/>
      <c r="L20" s="57"/>
      <c r="M20" s="57"/>
      <c r="N20" s="57"/>
      <c r="O20" s="57"/>
      <c r="P20" s="57"/>
      <c r="Q20" s="57"/>
    </row>
    <row r="21" spans="1:17" s="39" customFormat="1" ht="17.25" customHeight="1">
      <c r="A21" s="36"/>
      <c r="B21" s="36"/>
      <c r="C21" s="36"/>
      <c r="D21" s="36"/>
      <c r="E21" s="36"/>
      <c r="F21" s="36"/>
      <c r="G21" s="36"/>
      <c r="H21" s="59"/>
      <c r="I21" s="11"/>
      <c r="J21" s="11"/>
      <c r="K21" s="30"/>
      <c r="L21" s="38"/>
      <c r="M21" s="38"/>
      <c r="N21" s="38"/>
      <c r="O21" s="38"/>
      <c r="P21" s="38"/>
      <c r="Q21" s="38"/>
    </row>
    <row r="22" spans="1:17" s="39" customFormat="1" ht="17.25" customHeight="1">
      <c r="A22" s="36"/>
      <c r="B22" s="36"/>
      <c r="C22" s="36"/>
      <c r="D22" s="36"/>
      <c r="E22" s="61"/>
      <c r="F22" s="61">
        <f>D19+구조물위치!I21</f>
        <v>725</v>
      </c>
      <c r="G22" s="36"/>
      <c r="H22" s="59"/>
      <c r="I22" s="11"/>
      <c r="J22" s="11"/>
      <c r="K22" s="30"/>
      <c r="L22" s="38"/>
      <c r="M22" s="38"/>
      <c r="N22" s="38"/>
      <c r="O22" s="38"/>
      <c r="P22" s="38"/>
      <c r="Q22" s="38"/>
    </row>
  </sheetData>
  <mergeCells count="18">
    <mergeCell ref="A11:C11"/>
    <mergeCell ref="A20:I20"/>
    <mergeCell ref="A16:C16"/>
    <mergeCell ref="A17:C17"/>
    <mergeCell ref="A18:C18"/>
    <mergeCell ref="A19:C19"/>
    <mergeCell ref="A12:C12"/>
    <mergeCell ref="A13:C13"/>
    <mergeCell ref="A14:C14"/>
    <mergeCell ref="A15:C15"/>
    <mergeCell ref="G3:G4"/>
    <mergeCell ref="H3:H4"/>
    <mergeCell ref="I3:I4"/>
    <mergeCell ref="A9:C9"/>
    <mergeCell ref="A3:C4"/>
    <mergeCell ref="D3:D4"/>
    <mergeCell ref="E3:E4"/>
    <mergeCell ref="F3:F4"/>
  </mergeCells>
  <phoneticPr fontId="4" type="noConversion"/>
  <pageMargins left="2.0078740157480315" right="0.23622047244094491" top="0.98425196850393704" bottom="0.27559055118110237" header="0.27559055118110237" footer="0.1574803149606299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20"/>
  <sheetViews>
    <sheetView showGridLines="0" view="pageBreakPreview" zoomScale="115" zoomScaleNormal="130" zoomScaleSheetLayoutView="115" workbookViewId="0">
      <selection activeCell="F24" sqref="F24"/>
    </sheetView>
  </sheetViews>
  <sheetFormatPr defaultColWidth="13.625" defaultRowHeight="16.5" customHeight="1"/>
  <cols>
    <col min="1" max="2" width="12.875" style="34" customWidth="1"/>
    <col min="3" max="3" width="16.875" style="34" customWidth="1"/>
    <col min="4" max="4" width="9.875" style="34" customWidth="1"/>
    <col min="5" max="5" width="14.75" style="34" customWidth="1"/>
    <col min="6" max="6" width="10.25" style="34" customWidth="1"/>
    <col min="7" max="7" width="15.875" style="34" customWidth="1"/>
    <col min="8" max="8" width="10.75" style="34" customWidth="1"/>
    <col min="9" max="16384" width="13.625" style="34"/>
  </cols>
  <sheetData>
    <row r="1" spans="1:11" ht="24.75" customHeight="1">
      <c r="A1" s="64" t="s">
        <v>39</v>
      </c>
      <c r="C1" s="74"/>
      <c r="D1" s="74"/>
      <c r="E1" s="74"/>
      <c r="F1" s="74"/>
      <c r="G1" s="74"/>
      <c r="H1" s="74"/>
      <c r="K1" s="35"/>
    </row>
    <row r="2" spans="1:11" ht="6.75" customHeight="1">
      <c r="A2" s="68"/>
      <c r="B2" s="68"/>
      <c r="C2" s="68"/>
      <c r="D2" s="68"/>
      <c r="E2" s="75"/>
      <c r="F2" s="68"/>
      <c r="G2" s="68"/>
      <c r="H2" s="68"/>
      <c r="I2" s="68"/>
      <c r="J2" s="68"/>
      <c r="K2" s="35"/>
    </row>
    <row r="3" spans="1:11" s="39" customFormat="1" ht="24.95" customHeight="1">
      <c r="A3" s="1067" t="s">
        <v>40</v>
      </c>
      <c r="B3" s="1068"/>
      <c r="C3" s="25" t="s">
        <v>41</v>
      </c>
      <c r="D3" s="25" t="s">
        <v>42</v>
      </c>
      <c r="E3" s="25" t="s">
        <v>43</v>
      </c>
      <c r="F3" s="25" t="s">
        <v>44</v>
      </c>
      <c r="G3" s="25" t="s">
        <v>45</v>
      </c>
      <c r="H3" s="76" t="s">
        <v>46</v>
      </c>
      <c r="I3" s="11"/>
      <c r="J3" s="11"/>
      <c r="K3" s="38"/>
    </row>
    <row r="4" spans="1:11" s="39" customFormat="1" ht="24.95" customHeight="1">
      <c r="A4" s="1069" t="s">
        <v>491</v>
      </c>
      <c r="B4" s="24" t="s">
        <v>47</v>
      </c>
      <c r="C4" s="24"/>
      <c r="D4" s="24" t="s">
        <v>48</v>
      </c>
      <c r="E4" s="46">
        <f>콘크리트자재!G8</f>
        <v>20.9161</v>
      </c>
      <c r="F4" s="77">
        <v>0.1</v>
      </c>
      <c r="G4" s="78">
        <f>ROUNDUP(E4*(1+F4),0)</f>
        <v>24</v>
      </c>
      <c r="H4" s="21"/>
      <c r="I4" s="11"/>
      <c r="J4" s="11"/>
      <c r="K4" s="38"/>
    </row>
    <row r="5" spans="1:11" s="39" customFormat="1" ht="24.95" customHeight="1">
      <c r="A5" s="1070"/>
      <c r="B5" s="16" t="s">
        <v>49</v>
      </c>
      <c r="C5" s="16"/>
      <c r="D5" s="16" t="s">
        <v>50</v>
      </c>
      <c r="E5" s="79">
        <f>콘크리트자재!I8</f>
        <v>26.377000000000006</v>
      </c>
      <c r="F5" s="80">
        <v>0.03</v>
      </c>
      <c r="G5" s="81">
        <f>ROUNDUP(E5*(1+F5),0)</f>
        <v>28</v>
      </c>
      <c r="H5" s="22"/>
      <c r="I5" s="11"/>
      <c r="J5" s="11"/>
      <c r="K5" s="38"/>
    </row>
    <row r="6" spans="1:11" s="39" customFormat="1" ht="24.95" hidden="1" customHeight="1">
      <c r="A6" s="1070"/>
      <c r="B6" s="16" t="s">
        <v>51</v>
      </c>
      <c r="C6" s="16"/>
      <c r="D6" s="16" t="s">
        <v>50</v>
      </c>
      <c r="E6" s="79">
        <f>혼합석!H19</f>
        <v>289.42857142857144</v>
      </c>
      <c r="F6" s="80">
        <v>0.02</v>
      </c>
      <c r="G6" s="81">
        <f>ROUNDUP(E6*(1+F6),0)</f>
        <v>296</v>
      </c>
      <c r="H6" s="22"/>
      <c r="I6" s="11"/>
      <c r="J6" s="11"/>
      <c r="K6" s="38"/>
    </row>
    <row r="7" spans="1:11" s="39" customFormat="1" ht="24.95" customHeight="1">
      <c r="A7" s="1070"/>
      <c r="B7" s="16" t="s">
        <v>52</v>
      </c>
      <c r="C7" s="16"/>
      <c r="D7" s="16" t="s">
        <v>53</v>
      </c>
      <c r="E7" s="79">
        <f>수량집계표!N37</f>
        <v>580.53599999999994</v>
      </c>
      <c r="F7" s="80"/>
      <c r="G7" s="81">
        <f>ROUNDUP(E7*(1+F7),0)</f>
        <v>581</v>
      </c>
      <c r="H7" s="22"/>
      <c r="I7" s="11"/>
      <c r="J7" s="11"/>
      <c r="K7" s="38"/>
    </row>
    <row r="8" spans="1:11" s="39" customFormat="1" ht="24.95" hidden="1" customHeight="1">
      <c r="A8" s="1071" t="s">
        <v>492</v>
      </c>
      <c r="B8" s="1072"/>
      <c r="C8" s="16" t="s">
        <v>54</v>
      </c>
      <c r="D8" s="16" t="s">
        <v>364</v>
      </c>
      <c r="E8" s="79"/>
      <c r="F8" s="80"/>
      <c r="G8" s="82">
        <f>SUM(G9:G9)</f>
        <v>0</v>
      </c>
      <c r="H8" s="1075" t="s">
        <v>55</v>
      </c>
      <c r="I8" s="11"/>
      <c r="J8" s="11"/>
      <c r="K8" s="38"/>
    </row>
    <row r="9" spans="1:11" s="39" customFormat="1" ht="24.95" hidden="1" customHeight="1">
      <c r="A9" s="1073"/>
      <c r="B9" s="1074"/>
      <c r="C9" s="16" t="str">
        <f>수량집계표!F4</f>
        <v>25-21-80</v>
      </c>
      <c r="D9" s="16" t="s">
        <v>50</v>
      </c>
      <c r="E9" s="79">
        <f>수량집계표!F37</f>
        <v>0</v>
      </c>
      <c r="F9" s="80">
        <v>0.02</v>
      </c>
      <c r="G9" s="81">
        <f>ROUND(E9*(1+F9),2)</f>
        <v>0</v>
      </c>
      <c r="H9" s="1076"/>
      <c r="I9" s="11"/>
      <c r="J9" s="11"/>
      <c r="K9" s="38"/>
    </row>
    <row r="10" spans="1:11" s="39" customFormat="1" ht="24.95" customHeight="1">
      <c r="A10" s="1081" t="s">
        <v>505</v>
      </c>
      <c r="B10" s="1083" t="s">
        <v>54</v>
      </c>
      <c r="C10" s="1084"/>
      <c r="D10" s="16" t="s">
        <v>56</v>
      </c>
      <c r="E10" s="83"/>
      <c r="F10" s="80"/>
      <c r="G10" s="83">
        <f>G12+G11</f>
        <v>8.0000000000000002E-3</v>
      </c>
      <c r="H10" s="22"/>
      <c r="I10" s="11"/>
      <c r="J10" s="11"/>
      <c r="K10" s="38"/>
    </row>
    <row r="11" spans="1:11" s="39" customFormat="1" ht="24.95" customHeight="1">
      <c r="A11" s="1082"/>
      <c r="B11" s="84" t="s">
        <v>370</v>
      </c>
      <c r="C11" s="16" t="s">
        <v>438</v>
      </c>
      <c r="D11" s="16" t="s">
        <v>56</v>
      </c>
      <c r="E11" s="83">
        <f>ROUNDUP(수량집계표!J37/1000,3)</f>
        <v>0</v>
      </c>
      <c r="F11" s="80">
        <v>0.03</v>
      </c>
      <c r="G11" s="83">
        <f>ROUND(E11*(1+F11),3)</f>
        <v>0</v>
      </c>
      <c r="H11" s="22"/>
      <c r="I11" s="11"/>
      <c r="J11" s="11"/>
      <c r="K11" s="38"/>
    </row>
    <row r="12" spans="1:11" s="39" customFormat="1" ht="24.95" customHeight="1">
      <c r="A12" s="1082"/>
      <c r="B12" s="84" t="s">
        <v>370</v>
      </c>
      <c r="C12" s="16" t="s">
        <v>372</v>
      </c>
      <c r="D12" s="16" t="s">
        <v>56</v>
      </c>
      <c r="E12" s="83">
        <f>ROUND(수량집계표!K37/1000,3)</f>
        <v>8.0000000000000002E-3</v>
      </c>
      <c r="F12" s="80">
        <v>0.03</v>
      </c>
      <c r="G12" s="83">
        <f>ROUND(E12*(1+F12),3)</f>
        <v>8.0000000000000002E-3</v>
      </c>
      <c r="H12" s="22"/>
      <c r="I12" s="11"/>
      <c r="J12" s="11"/>
      <c r="K12" s="38"/>
    </row>
    <row r="13" spans="1:11" s="39" customFormat="1" ht="24.95" customHeight="1">
      <c r="A13" s="1085" t="s">
        <v>506</v>
      </c>
      <c r="B13" s="1086"/>
      <c r="C13" s="16" t="s">
        <v>57</v>
      </c>
      <c r="D13" s="16" t="s">
        <v>58</v>
      </c>
      <c r="E13" s="83">
        <f>콘크리트자재!E8/40</f>
        <v>344.34775000000002</v>
      </c>
      <c r="F13" s="80">
        <v>0.02</v>
      </c>
      <c r="G13" s="81">
        <f>ROUNDUP(E13*(1+F13),0)</f>
        <v>352</v>
      </c>
      <c r="H13" s="22"/>
      <c r="I13" s="11"/>
      <c r="J13" s="11"/>
      <c r="K13" s="38"/>
    </row>
    <row r="14" spans="1:11" s="39" customFormat="1" ht="24.95" customHeight="1">
      <c r="A14" s="1071" t="s">
        <v>507</v>
      </c>
      <c r="B14" s="1072"/>
      <c r="C14" s="84" t="s">
        <v>59</v>
      </c>
      <c r="D14" s="84" t="s">
        <v>60</v>
      </c>
      <c r="E14" s="85">
        <f>구조물위치!Q21</f>
        <v>76</v>
      </c>
      <c r="F14" s="86"/>
      <c r="G14" s="85">
        <f>ROUNDUP(E14*(1+F14),0)</f>
        <v>76</v>
      </c>
      <c r="H14" s="22" t="s">
        <v>55</v>
      </c>
      <c r="I14" s="11"/>
      <c r="J14" s="11"/>
      <c r="K14" s="38"/>
    </row>
    <row r="15" spans="1:11" s="39" customFormat="1" ht="24.95" customHeight="1">
      <c r="A15" s="1087"/>
      <c r="B15" s="1088"/>
      <c r="C15" s="84" t="s">
        <v>499</v>
      </c>
      <c r="D15" s="84" t="s">
        <v>12</v>
      </c>
      <c r="E15" s="85">
        <f>구조물위치!S21</f>
        <v>18</v>
      </c>
      <c r="F15" s="86"/>
      <c r="G15" s="85">
        <f>ROUNDUP(E15*(1+F15),0)</f>
        <v>18</v>
      </c>
      <c r="H15" s="22" t="s">
        <v>55</v>
      </c>
      <c r="I15" s="11"/>
      <c r="J15" s="11"/>
      <c r="K15" s="38"/>
    </row>
    <row r="16" spans="1:11" s="39" customFormat="1" ht="24.95" customHeight="1">
      <c r="A16" s="1071" t="s">
        <v>563</v>
      </c>
      <c r="B16" s="1072"/>
      <c r="C16" s="84" t="s">
        <v>59</v>
      </c>
      <c r="D16" s="84" t="s">
        <v>568</v>
      </c>
      <c r="E16" s="85">
        <f>구조물위치!R21</f>
        <v>9</v>
      </c>
      <c r="F16" s="86"/>
      <c r="G16" s="85">
        <f>ROUNDUP(E16*(1+F16),0)</f>
        <v>9</v>
      </c>
      <c r="H16" s="22" t="s">
        <v>55</v>
      </c>
      <c r="I16" s="11"/>
      <c r="J16" s="11"/>
      <c r="K16" s="38"/>
    </row>
    <row r="17" spans="1:11" s="39" customFormat="1" ht="24.95" customHeight="1">
      <c r="A17" s="1087"/>
      <c r="B17" s="1088"/>
      <c r="C17" s="84" t="s">
        <v>499</v>
      </c>
      <c r="D17" s="84" t="s">
        <v>569</v>
      </c>
      <c r="E17" s="85">
        <f>구조물위치!T21</f>
        <v>2</v>
      </c>
      <c r="F17" s="86"/>
      <c r="G17" s="85">
        <f>ROUNDUP(E17*(1+F17),0)</f>
        <v>2</v>
      </c>
      <c r="H17" s="22" t="s">
        <v>55</v>
      </c>
      <c r="I17" s="11"/>
      <c r="J17" s="11"/>
      <c r="K17" s="38"/>
    </row>
    <row r="18" spans="1:11" s="39" customFormat="1" ht="24.95" customHeight="1">
      <c r="A18" s="1079" t="s">
        <v>374</v>
      </c>
      <c r="B18" s="1080"/>
      <c r="C18" s="71" t="s">
        <v>365</v>
      </c>
      <c r="D18" s="71" t="s">
        <v>366</v>
      </c>
      <c r="E18" s="699">
        <f>수량집계표!H37</f>
        <v>55.679999999999993</v>
      </c>
      <c r="F18" s="87"/>
      <c r="G18" s="699">
        <f>ROUND(E18*(1+F18),2)</f>
        <v>55.68</v>
      </c>
      <c r="H18" s="700"/>
      <c r="I18" s="11"/>
      <c r="J18" s="11"/>
      <c r="K18" s="38"/>
    </row>
    <row r="19" spans="1:11" s="39" customFormat="1" ht="21" hidden="1" customHeight="1">
      <c r="A19" s="1077" t="s">
        <v>375</v>
      </c>
      <c r="B19" s="1078"/>
      <c r="C19" s="40"/>
      <c r="D19" s="40" t="s">
        <v>366</v>
      </c>
      <c r="E19" s="697">
        <f>사방공!I10</f>
        <v>20</v>
      </c>
      <c r="F19" s="698">
        <v>0.1</v>
      </c>
      <c r="G19" s="697">
        <f>ROUNDUP(E19*(1+F19),0)</f>
        <v>22</v>
      </c>
      <c r="H19" s="667"/>
      <c r="I19" s="11"/>
      <c r="J19" s="11"/>
      <c r="K19" s="38"/>
    </row>
    <row r="20" spans="1:11" s="39" customFormat="1" ht="16.5" customHeight="1"/>
  </sheetData>
  <mergeCells count="11">
    <mergeCell ref="A3:B3"/>
    <mergeCell ref="A4:A7"/>
    <mergeCell ref="A8:B9"/>
    <mergeCell ref="H8:H9"/>
    <mergeCell ref="A19:B19"/>
    <mergeCell ref="A18:B18"/>
    <mergeCell ref="A10:A12"/>
    <mergeCell ref="B10:C10"/>
    <mergeCell ref="A13:B13"/>
    <mergeCell ref="A16:B17"/>
    <mergeCell ref="A14:B15"/>
  </mergeCells>
  <phoneticPr fontId="4" type="noConversion"/>
  <pageMargins left="1.8897637795275593" right="0.43307086614173229" top="1.5748031496062993" bottom="0.27559055118110237" header="1.1811023622047245" footer="0.2755905511811023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13"/>
  <sheetViews>
    <sheetView showGridLines="0" zoomScale="115" zoomScaleNormal="115" workbookViewId="0">
      <selection activeCell="C17" sqref="C17"/>
    </sheetView>
  </sheetViews>
  <sheetFormatPr defaultColWidth="14.875" defaultRowHeight="25.5" customHeight="1"/>
  <cols>
    <col min="1" max="2" width="14.875" style="33" customWidth="1"/>
    <col min="3" max="3" width="9.375" style="33" customWidth="1"/>
    <col min="4" max="4" width="14.875" style="33" customWidth="1"/>
    <col min="5" max="5" width="11.625" style="33" customWidth="1"/>
    <col min="6" max="6" width="14.875" style="33" customWidth="1"/>
    <col min="7" max="7" width="12.5" style="33" customWidth="1"/>
    <col min="8" max="8" width="12.375" style="33" customWidth="1"/>
    <col min="9" max="9" width="12.75" style="33" customWidth="1"/>
    <col min="10" max="16384" width="14.875" style="33"/>
  </cols>
  <sheetData>
    <row r="1" spans="1:9" ht="25.5" customHeight="1">
      <c r="A1" s="1089" t="s">
        <v>61</v>
      </c>
      <c r="B1" s="1089"/>
      <c r="C1" s="1089"/>
      <c r="D1" s="1089"/>
      <c r="E1" s="1089"/>
      <c r="F1" s="1089"/>
      <c r="G1" s="1089"/>
      <c r="H1" s="1089"/>
      <c r="I1" s="1089"/>
    </row>
    <row r="2" spans="1:9" ht="25.5" customHeight="1">
      <c r="A2" s="72"/>
      <c r="B2" s="72"/>
      <c r="C2" s="72"/>
      <c r="D2" s="72"/>
      <c r="E2" s="72"/>
      <c r="F2" s="75"/>
      <c r="G2" s="69"/>
      <c r="H2" s="72"/>
      <c r="I2" s="72"/>
    </row>
    <row r="3" spans="1:9" ht="30" customHeight="1">
      <c r="A3" s="1090" t="s">
        <v>62</v>
      </c>
      <c r="B3" s="1091"/>
      <c r="C3" s="1094" t="s">
        <v>63</v>
      </c>
      <c r="D3" s="1090" t="s">
        <v>64</v>
      </c>
      <c r="E3" s="1091"/>
      <c r="F3" s="1090" t="s">
        <v>65</v>
      </c>
      <c r="G3" s="1091"/>
      <c r="H3" s="1090" t="s">
        <v>66</v>
      </c>
      <c r="I3" s="1091"/>
    </row>
    <row r="4" spans="1:9" ht="30" customHeight="1">
      <c r="A4" s="1092"/>
      <c r="B4" s="1093"/>
      <c r="C4" s="1095"/>
      <c r="D4" s="92" t="s">
        <v>67</v>
      </c>
      <c r="E4" s="93" t="s">
        <v>63</v>
      </c>
      <c r="F4" s="92" t="s">
        <v>67</v>
      </c>
      <c r="G4" s="93" t="s">
        <v>63</v>
      </c>
      <c r="H4" s="92" t="s">
        <v>67</v>
      </c>
      <c r="I4" s="93" t="s">
        <v>63</v>
      </c>
    </row>
    <row r="5" spans="1:9" ht="30" customHeight="1">
      <c r="A5" s="94" t="s">
        <v>68</v>
      </c>
      <c r="B5" s="95" t="s">
        <v>69</v>
      </c>
      <c r="C5" s="96">
        <f>수량집계표!I37</f>
        <v>40.580000000000005</v>
      </c>
      <c r="D5" s="97">
        <v>323</v>
      </c>
      <c r="E5" s="98">
        <f>D5*$C5</f>
        <v>13107.340000000002</v>
      </c>
      <c r="F5" s="97">
        <v>0.48</v>
      </c>
      <c r="G5" s="99">
        <f>F5*$C5</f>
        <v>19.478400000000001</v>
      </c>
      <c r="H5" s="97">
        <v>0.65</v>
      </c>
      <c r="I5" s="99">
        <f>H5*$C5</f>
        <v>26.377000000000006</v>
      </c>
    </row>
    <row r="6" spans="1:9" ht="30" customHeight="1">
      <c r="A6" s="95" t="s">
        <v>70</v>
      </c>
      <c r="B6" s="100" t="s">
        <v>71</v>
      </c>
      <c r="C6" s="96">
        <f>수량집계표!L37</f>
        <v>1.3069999999999999</v>
      </c>
      <c r="D6" s="97">
        <v>510</v>
      </c>
      <c r="E6" s="98">
        <f>D6*$C6</f>
        <v>666.56999999999994</v>
      </c>
      <c r="F6" s="97">
        <v>1.1000000000000001</v>
      </c>
      <c r="G6" s="99">
        <f>F6*$C6</f>
        <v>1.4377</v>
      </c>
      <c r="H6" s="97"/>
      <c r="I6" s="99"/>
    </row>
    <row r="7" spans="1:9" ht="30" customHeight="1">
      <c r="A7" s="101" t="s">
        <v>72</v>
      </c>
      <c r="B7" s="102"/>
      <c r="C7" s="101"/>
      <c r="D7" s="103"/>
      <c r="E7" s="104"/>
      <c r="F7" s="103"/>
      <c r="G7" s="105"/>
      <c r="H7" s="103"/>
      <c r="I7" s="105"/>
    </row>
    <row r="8" spans="1:9" ht="30" customHeight="1">
      <c r="A8" s="106" t="s">
        <v>54</v>
      </c>
      <c r="B8" s="106"/>
      <c r="C8" s="106"/>
      <c r="D8" s="107"/>
      <c r="E8" s="108">
        <f>SUM(E5:E7)</f>
        <v>13773.910000000002</v>
      </c>
      <c r="F8" s="107"/>
      <c r="G8" s="109">
        <f>SUM(G5:G7)</f>
        <v>20.9161</v>
      </c>
      <c r="H8" s="107"/>
      <c r="I8" s="109">
        <f>SUM(I5:I7)</f>
        <v>26.377000000000006</v>
      </c>
    </row>
    <row r="9" spans="1:9" ht="25.5" customHeight="1">
      <c r="A9" s="72"/>
      <c r="B9" s="72"/>
      <c r="C9" s="72"/>
      <c r="D9" s="72"/>
      <c r="E9" s="72"/>
      <c r="F9" s="72"/>
      <c r="G9" s="72"/>
      <c r="H9" s="72"/>
      <c r="I9" s="72"/>
    </row>
    <row r="10" spans="1:9" ht="25.5" customHeight="1">
      <c r="A10" s="72"/>
      <c r="B10" s="72"/>
      <c r="C10" s="72"/>
      <c r="D10" s="72"/>
      <c r="E10" s="72"/>
      <c r="F10" s="72"/>
      <c r="G10" s="72"/>
      <c r="H10" s="72"/>
      <c r="I10" s="72"/>
    </row>
    <row r="11" spans="1:9" ht="25.5" customHeight="1">
      <c r="A11" s="62"/>
      <c r="B11" s="62"/>
      <c r="C11" s="62"/>
      <c r="D11" s="62"/>
      <c r="E11" s="62"/>
      <c r="F11" s="62"/>
      <c r="G11" s="62"/>
      <c r="H11" s="62"/>
      <c r="I11" s="62"/>
    </row>
    <row r="12" spans="1:9" ht="25.5" customHeight="1">
      <c r="A12" s="62"/>
      <c r="B12" s="62"/>
      <c r="C12" s="62"/>
      <c r="D12" s="62"/>
      <c r="E12" s="62"/>
      <c r="F12" s="62"/>
      <c r="G12" s="62"/>
      <c r="H12" s="62"/>
      <c r="I12" s="62"/>
    </row>
    <row r="13" spans="1:9" ht="25.5" customHeight="1">
      <c r="A13" s="72"/>
      <c r="B13" s="72"/>
      <c r="C13" s="72"/>
      <c r="D13" s="72"/>
      <c r="E13" s="72"/>
      <c r="F13" s="72"/>
      <c r="G13" s="72"/>
      <c r="H13" s="72"/>
      <c r="I13" s="72"/>
    </row>
  </sheetData>
  <mergeCells count="6">
    <mergeCell ref="A1:I1"/>
    <mergeCell ref="A3:B4"/>
    <mergeCell ref="C3:C4"/>
    <mergeCell ref="D3:E3"/>
    <mergeCell ref="F3:G3"/>
    <mergeCell ref="H3:I3"/>
  </mergeCells>
  <phoneticPr fontId="4" type="noConversion"/>
  <pageMargins left="1.31" right="0.36" top="2.13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X67"/>
  <sheetViews>
    <sheetView showGridLines="0" view="pageBreakPreview" zoomScaleNormal="100" zoomScaleSheetLayoutView="100" workbookViewId="0">
      <pane xSplit="5" ySplit="6" topLeftCell="F7" activePane="bottomRight" state="frozen"/>
      <selection activeCell="E9" sqref="E9"/>
      <selection pane="topRight" activeCell="E9" sqref="E9"/>
      <selection pane="bottomLeft" activeCell="E9" sqref="E9"/>
      <selection pane="bottomRight" activeCell="N22" sqref="N22"/>
    </sheetView>
  </sheetViews>
  <sheetFormatPr defaultRowHeight="14.25"/>
  <cols>
    <col min="1" max="1" width="9.5" style="35" customWidth="1"/>
    <col min="2" max="2" width="11.75" style="35" customWidth="1"/>
    <col min="3" max="3" width="7.375" style="38" customWidth="1"/>
    <col min="4" max="4" width="6.5" style="35" customWidth="1"/>
    <col min="5" max="5" width="9.5" style="35" customWidth="1"/>
    <col min="6" max="7" width="8.75" style="35" customWidth="1"/>
    <col min="8" max="8" width="14" style="35" customWidth="1"/>
    <col min="9" max="9" width="11.25" style="35" customWidth="1"/>
    <col min="10" max="11" width="10.375" style="35" customWidth="1"/>
    <col min="12" max="12" width="11.625" style="35" customWidth="1"/>
    <col min="13" max="14" width="9.375" style="35" customWidth="1"/>
    <col min="15" max="15" width="8.5" style="35" bestFit="1" customWidth="1"/>
    <col min="16" max="16" width="7.5" style="35" customWidth="1"/>
    <col min="17" max="16384" width="9" style="35"/>
  </cols>
  <sheetData>
    <row r="1" spans="1:24" ht="15.75" customHeight="1">
      <c r="A1" s="1089" t="s">
        <v>73</v>
      </c>
      <c r="B1" s="1089"/>
      <c r="E1" s="69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24" ht="9.75" customHeight="1">
      <c r="A2" s="110"/>
      <c r="B2" s="69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</row>
    <row r="3" spans="1:24" s="30" customFormat="1" ht="17.100000000000001" customHeight="1">
      <c r="A3" s="1115" t="s">
        <v>62</v>
      </c>
      <c r="B3" s="1118" t="s">
        <v>74</v>
      </c>
      <c r="C3" s="1118" t="s">
        <v>63</v>
      </c>
      <c r="D3" s="1122" t="s">
        <v>75</v>
      </c>
      <c r="E3" s="1124" t="s">
        <v>76</v>
      </c>
      <c r="F3" s="1105" t="s">
        <v>77</v>
      </c>
      <c r="G3" s="1106"/>
      <c r="H3" s="503" t="s">
        <v>367</v>
      </c>
      <c r="I3" s="111" t="s">
        <v>78</v>
      </c>
      <c r="J3" s="1105" t="s">
        <v>363</v>
      </c>
      <c r="K3" s="1106"/>
      <c r="L3" s="111" t="s">
        <v>79</v>
      </c>
      <c r="M3" s="1109" t="s">
        <v>80</v>
      </c>
      <c r="N3" s="1110"/>
      <c r="O3" s="1145" t="s">
        <v>475</v>
      </c>
      <c r="P3" s="1107"/>
      <c r="Q3" s="1107" t="s">
        <v>476</v>
      </c>
      <c r="R3" s="1143" t="s">
        <v>81</v>
      </c>
      <c r="S3" s="29"/>
      <c r="T3" s="29"/>
      <c r="U3" s="29"/>
      <c r="V3" s="29"/>
      <c r="W3" s="29"/>
      <c r="X3" s="29"/>
    </row>
    <row r="4" spans="1:24" s="30" customFormat="1" ht="17.100000000000001" customHeight="1">
      <c r="A4" s="1116"/>
      <c r="B4" s="1119"/>
      <c r="C4" s="1119"/>
      <c r="D4" s="1076"/>
      <c r="E4" s="1125"/>
      <c r="F4" s="1120" t="s">
        <v>256</v>
      </c>
      <c r="G4" s="1075" t="s">
        <v>358</v>
      </c>
      <c r="H4" s="1140" t="s">
        <v>368</v>
      </c>
      <c r="I4" s="1141" t="s">
        <v>82</v>
      </c>
      <c r="J4" s="1127" t="s">
        <v>437</v>
      </c>
      <c r="K4" s="1140" t="s">
        <v>387</v>
      </c>
      <c r="L4" s="1102" t="s">
        <v>83</v>
      </c>
      <c r="M4" s="1111"/>
      <c r="N4" s="1112"/>
      <c r="O4" s="1146"/>
      <c r="P4" s="1147"/>
      <c r="Q4" s="1108"/>
      <c r="R4" s="1144"/>
      <c r="S4" s="29"/>
      <c r="T4" s="29"/>
      <c r="U4" s="29"/>
      <c r="V4" s="29"/>
      <c r="W4" s="29"/>
    </row>
    <row r="5" spans="1:24" s="30" customFormat="1" ht="16.5" customHeight="1">
      <c r="A5" s="1116"/>
      <c r="B5" s="1119"/>
      <c r="C5" s="1119"/>
      <c r="D5" s="1076"/>
      <c r="E5" s="1125"/>
      <c r="F5" s="1121"/>
      <c r="G5" s="1104"/>
      <c r="H5" s="1114"/>
      <c r="I5" s="1142"/>
      <c r="J5" s="1128"/>
      <c r="K5" s="1114"/>
      <c r="L5" s="1103"/>
      <c r="M5" s="1113"/>
      <c r="N5" s="1114"/>
      <c r="O5" s="97" t="s">
        <v>84</v>
      </c>
      <c r="P5" s="336" t="s">
        <v>246</v>
      </c>
      <c r="Q5" s="113" t="s">
        <v>84</v>
      </c>
      <c r="R5" s="113"/>
      <c r="S5" s="29"/>
      <c r="T5" s="29"/>
      <c r="U5" s="29"/>
      <c r="V5" s="29"/>
      <c r="W5" s="29"/>
    </row>
    <row r="6" spans="1:24" s="29" customFormat="1" ht="17.100000000000001" customHeight="1">
      <c r="A6" s="1117"/>
      <c r="B6" s="1101"/>
      <c r="C6" s="1101"/>
      <c r="D6" s="1123"/>
      <c r="E6" s="1126"/>
      <c r="F6" s="71" t="s">
        <v>85</v>
      </c>
      <c r="G6" s="88" t="s">
        <v>85</v>
      </c>
      <c r="H6" s="17" t="s">
        <v>366</v>
      </c>
      <c r="I6" s="116" t="s">
        <v>85</v>
      </c>
      <c r="J6" s="70" t="s">
        <v>86</v>
      </c>
      <c r="K6" s="17" t="s">
        <v>86</v>
      </c>
      <c r="L6" s="116" t="s">
        <v>85</v>
      </c>
      <c r="M6" s="70" t="s">
        <v>87</v>
      </c>
      <c r="N6" s="88" t="s">
        <v>88</v>
      </c>
      <c r="O6" s="92" t="s">
        <v>85</v>
      </c>
      <c r="P6" s="90" t="s">
        <v>85</v>
      </c>
      <c r="Q6" s="90" t="s">
        <v>85</v>
      </c>
      <c r="R6" s="91" t="s">
        <v>85</v>
      </c>
    </row>
    <row r="7" spans="1:24" s="30" customFormat="1" ht="17.100000000000001" customHeight="1">
      <c r="A7" s="1157" t="s">
        <v>495</v>
      </c>
      <c r="B7" s="1096" t="str">
        <f>구조물위치!C4</f>
        <v>H=1.5m</v>
      </c>
      <c r="C7" s="1098">
        <f>구조물위치!C21</f>
        <v>35</v>
      </c>
      <c r="D7" s="1156" t="str">
        <f>구조물위치!C5</f>
        <v>m</v>
      </c>
      <c r="E7" s="111" t="s">
        <v>89</v>
      </c>
      <c r="F7" s="117"/>
      <c r="G7" s="118"/>
      <c r="H7" s="119"/>
      <c r="I7" s="120">
        <v>0.31</v>
      </c>
      <c r="J7" s="121"/>
      <c r="K7" s="643"/>
      <c r="L7" s="529">
        <v>1.4E-2</v>
      </c>
      <c r="M7" s="121">
        <v>1.57</v>
      </c>
      <c r="N7" s="118">
        <v>1.44</v>
      </c>
      <c r="O7" s="121">
        <v>1.55</v>
      </c>
      <c r="P7" s="119"/>
      <c r="Q7" s="119">
        <v>0.3</v>
      </c>
      <c r="R7" s="119">
        <v>1.25</v>
      </c>
    </row>
    <row r="8" spans="1:24" s="30" customFormat="1" ht="17.100000000000001" customHeight="1">
      <c r="A8" s="1163"/>
      <c r="B8" s="1097"/>
      <c r="C8" s="1099"/>
      <c r="D8" s="1122"/>
      <c r="E8" s="112" t="s">
        <v>90</v>
      </c>
      <c r="F8" s="631">
        <f>F7*C7</f>
        <v>0</v>
      </c>
      <c r="G8" s="632"/>
      <c r="H8" s="633"/>
      <c r="I8" s="634">
        <f>I7*C7</f>
        <v>10.85</v>
      </c>
      <c r="J8" s="635"/>
      <c r="K8" s="644">
        <f>K7*C7</f>
        <v>0</v>
      </c>
      <c r="L8" s="634">
        <f>L7*C7</f>
        <v>0.49</v>
      </c>
      <c r="M8" s="635">
        <f>M7*C7</f>
        <v>54.95</v>
      </c>
      <c r="N8" s="632">
        <f>M8*N7</f>
        <v>79.128</v>
      </c>
      <c r="O8" s="635">
        <f>O7*C7</f>
        <v>54.25</v>
      </c>
      <c r="P8" s="633"/>
      <c r="Q8" s="633">
        <f>Q7*C7</f>
        <v>10.5</v>
      </c>
      <c r="R8" s="633">
        <f>R7*C7</f>
        <v>43.75</v>
      </c>
    </row>
    <row r="9" spans="1:24" s="30" customFormat="1" ht="17.100000000000001" hidden="1" customHeight="1">
      <c r="A9" s="1163"/>
      <c r="B9" s="1173" t="str">
        <f>구조물위치!D4</f>
        <v>H=2.0m</v>
      </c>
      <c r="C9" s="1172">
        <f>구조물위치!D21</f>
        <v>0</v>
      </c>
      <c r="D9" s="1129" t="str">
        <f>구조물위치!D5</f>
        <v>m</v>
      </c>
      <c r="E9" s="18" t="s">
        <v>89</v>
      </c>
      <c r="F9" s="647"/>
      <c r="G9" s="636"/>
      <c r="H9" s="637"/>
      <c r="I9" s="638">
        <v>0.42</v>
      </c>
      <c r="J9" s="639"/>
      <c r="K9" s="684"/>
      <c r="L9" s="685">
        <v>1.9E-2</v>
      </c>
      <c r="M9" s="639">
        <v>2.09</v>
      </c>
      <c r="N9" s="636">
        <v>1.92</v>
      </c>
      <c r="O9" s="639">
        <v>2.06</v>
      </c>
      <c r="P9" s="637"/>
      <c r="Q9" s="637">
        <v>0.4</v>
      </c>
      <c r="R9" s="637">
        <v>1.66</v>
      </c>
    </row>
    <row r="10" spans="1:24" s="30" customFormat="1" ht="17.100000000000001" hidden="1" customHeight="1">
      <c r="A10" s="1163"/>
      <c r="B10" s="1175"/>
      <c r="C10" s="1170"/>
      <c r="D10" s="1130"/>
      <c r="E10" s="18" t="s">
        <v>90</v>
      </c>
      <c r="F10" s="742">
        <f>F9*C9</f>
        <v>0</v>
      </c>
      <c r="G10" s="743"/>
      <c r="H10" s="744"/>
      <c r="I10" s="745">
        <f>I9*C9</f>
        <v>0</v>
      </c>
      <c r="J10" s="746"/>
      <c r="K10" s="747">
        <f>K9*C9</f>
        <v>0</v>
      </c>
      <c r="L10" s="745">
        <f>L9*C9</f>
        <v>0</v>
      </c>
      <c r="M10" s="746">
        <f>M9*C9</f>
        <v>0</v>
      </c>
      <c r="N10" s="743">
        <f>M10*N9</f>
        <v>0</v>
      </c>
      <c r="O10" s="746">
        <f>O9*C9</f>
        <v>0</v>
      </c>
      <c r="P10" s="744"/>
      <c r="Q10" s="744">
        <f>Q9*C9</f>
        <v>0</v>
      </c>
      <c r="R10" s="744">
        <f>R9*C9</f>
        <v>0</v>
      </c>
    </row>
    <row r="11" spans="1:24" s="30" customFormat="1" ht="17.100000000000001" hidden="1" customHeight="1">
      <c r="A11" s="1163"/>
      <c r="B11" s="1167" t="str">
        <f>구조물위치!E4</f>
        <v>H=2.5m</v>
      </c>
      <c r="C11" s="1100">
        <f>구조물위치!E21</f>
        <v>0</v>
      </c>
      <c r="D11" s="1123" t="str">
        <f>구조물위치!E5</f>
        <v>m</v>
      </c>
      <c r="E11" s="660" t="s">
        <v>89</v>
      </c>
      <c r="F11" s="739"/>
      <c r="G11" s="726"/>
      <c r="H11" s="731"/>
      <c r="I11" s="740">
        <v>0.52</v>
      </c>
      <c r="J11" s="728"/>
      <c r="K11" s="741"/>
      <c r="L11" s="730">
        <v>2.3E-2</v>
      </c>
      <c r="M11" s="728">
        <v>2.61</v>
      </c>
      <c r="N11" s="726">
        <v>2.4</v>
      </c>
      <c r="O11" s="728">
        <v>2.58</v>
      </c>
      <c r="P11" s="731"/>
      <c r="Q11" s="731">
        <v>0.5</v>
      </c>
      <c r="R11" s="731">
        <v>2.08</v>
      </c>
    </row>
    <row r="12" spans="1:24" s="30" customFormat="1" ht="17.100000000000001" hidden="1" customHeight="1">
      <c r="A12" s="1180"/>
      <c r="B12" s="1097"/>
      <c r="C12" s="1099"/>
      <c r="D12" s="1122"/>
      <c r="E12" s="112" t="s">
        <v>90</v>
      </c>
      <c r="F12" s="631">
        <f>F11*C11</f>
        <v>0</v>
      </c>
      <c r="G12" s="632"/>
      <c r="H12" s="633"/>
      <c r="I12" s="634">
        <f>I11*C11</f>
        <v>0</v>
      </c>
      <c r="J12" s="635"/>
      <c r="K12" s="644">
        <f>K11*C11</f>
        <v>0</v>
      </c>
      <c r="L12" s="634">
        <f>L11*C11</f>
        <v>0</v>
      </c>
      <c r="M12" s="635">
        <f>M11*C11</f>
        <v>0</v>
      </c>
      <c r="N12" s="632">
        <f>M12*N11</f>
        <v>0</v>
      </c>
      <c r="O12" s="635">
        <f>O11*C11</f>
        <v>0</v>
      </c>
      <c r="P12" s="633"/>
      <c r="Q12" s="633">
        <f>Q11*C11</f>
        <v>0</v>
      </c>
      <c r="R12" s="633">
        <f>R11*C11</f>
        <v>0</v>
      </c>
    </row>
    <row r="13" spans="1:24" s="30" customFormat="1" ht="17.100000000000001" customHeight="1">
      <c r="A13" s="1181" t="s">
        <v>496</v>
      </c>
      <c r="B13" s="1173" t="str">
        <f>구조물위치!F4</f>
        <v>H=2.0m</v>
      </c>
      <c r="C13" s="1172">
        <f>구조물위치!F21</f>
        <v>75</v>
      </c>
      <c r="D13" s="1129" t="str">
        <f>구조물위치!F5</f>
        <v>m</v>
      </c>
      <c r="E13" s="18" t="s">
        <v>89</v>
      </c>
      <c r="F13" s="647"/>
      <c r="G13" s="636"/>
      <c r="H13" s="637"/>
      <c r="I13" s="638"/>
      <c r="J13" s="639"/>
      <c r="K13" s="684"/>
      <c r="L13" s="685"/>
      <c r="M13" s="639">
        <v>2.09</v>
      </c>
      <c r="N13" s="636">
        <v>1.92</v>
      </c>
      <c r="O13" s="639">
        <v>2.06</v>
      </c>
      <c r="P13" s="637"/>
      <c r="Q13" s="637">
        <v>0.4</v>
      </c>
      <c r="R13" s="637">
        <v>1.66</v>
      </c>
    </row>
    <row r="14" spans="1:24" s="30" customFormat="1" ht="17.100000000000001" customHeight="1">
      <c r="A14" s="1163"/>
      <c r="B14" s="1175"/>
      <c r="C14" s="1170"/>
      <c r="D14" s="1130"/>
      <c r="E14" s="18" t="s">
        <v>90</v>
      </c>
      <c r="F14" s="742">
        <f>F13*C13</f>
        <v>0</v>
      </c>
      <c r="G14" s="743"/>
      <c r="H14" s="744"/>
      <c r="I14" s="745">
        <f>I13*C13</f>
        <v>0</v>
      </c>
      <c r="J14" s="746"/>
      <c r="K14" s="747">
        <f>K13*C13</f>
        <v>0</v>
      </c>
      <c r="L14" s="745">
        <f>L13*C13</f>
        <v>0</v>
      </c>
      <c r="M14" s="746">
        <f>M13*C13</f>
        <v>156.75</v>
      </c>
      <c r="N14" s="743">
        <f>M14*N13</f>
        <v>300.95999999999998</v>
      </c>
      <c r="O14" s="746">
        <f>O13*C13</f>
        <v>154.5</v>
      </c>
      <c r="P14" s="744"/>
      <c r="Q14" s="744">
        <f>Q13*C13</f>
        <v>30</v>
      </c>
      <c r="R14" s="744">
        <f>R13*C13</f>
        <v>124.5</v>
      </c>
    </row>
    <row r="15" spans="1:24" s="30" customFormat="1" ht="17.100000000000001" customHeight="1">
      <c r="A15" s="1163"/>
      <c r="B15" s="1101" t="str">
        <f>구조물위치!G4</f>
        <v>H=2.5m</v>
      </c>
      <c r="C15" s="1100">
        <f>구조물위치!G21</f>
        <v>32</v>
      </c>
      <c r="D15" s="1123" t="str">
        <f>구조물위치!G5</f>
        <v>m</v>
      </c>
      <c r="E15" s="660" t="s">
        <v>89</v>
      </c>
      <c r="F15" s="739"/>
      <c r="G15" s="726"/>
      <c r="H15" s="731"/>
      <c r="I15" s="740"/>
      <c r="J15" s="728"/>
      <c r="K15" s="741"/>
      <c r="L15" s="730"/>
      <c r="M15" s="728">
        <v>2.61</v>
      </c>
      <c r="N15" s="726">
        <v>2.4</v>
      </c>
      <c r="O15" s="728">
        <v>2.58</v>
      </c>
      <c r="P15" s="731"/>
      <c r="Q15" s="731">
        <v>0.5</v>
      </c>
      <c r="R15" s="731">
        <v>2.08</v>
      </c>
    </row>
    <row r="16" spans="1:24" s="30" customFormat="1" ht="17.100000000000001" customHeight="1">
      <c r="A16" s="1158"/>
      <c r="B16" s="1068"/>
      <c r="C16" s="1098"/>
      <c r="D16" s="1156"/>
      <c r="E16" s="116" t="s">
        <v>90</v>
      </c>
      <c r="F16" s="124">
        <f>F15*C15</f>
        <v>0</v>
      </c>
      <c r="G16" s="122"/>
      <c r="H16" s="123"/>
      <c r="I16" s="125">
        <f>I15*C15</f>
        <v>0</v>
      </c>
      <c r="J16" s="126"/>
      <c r="K16" s="642">
        <f>K15*C15</f>
        <v>0</v>
      </c>
      <c r="L16" s="125">
        <f>L15*C15</f>
        <v>0</v>
      </c>
      <c r="M16" s="126">
        <f>M15*C15</f>
        <v>83.52</v>
      </c>
      <c r="N16" s="122">
        <f>M16*N15</f>
        <v>200.44799999999998</v>
      </c>
      <c r="O16" s="126">
        <f>O15*C15</f>
        <v>82.56</v>
      </c>
      <c r="P16" s="123"/>
      <c r="Q16" s="123">
        <f>Q15*C15</f>
        <v>16</v>
      </c>
      <c r="R16" s="123">
        <f>R15*C15</f>
        <v>66.56</v>
      </c>
    </row>
    <row r="17" spans="1:18" s="30" customFormat="1" ht="17.100000000000001" customHeight="1">
      <c r="A17" s="1157" t="s">
        <v>455</v>
      </c>
      <c r="B17" s="1096" t="s">
        <v>92</v>
      </c>
      <c r="C17" s="1176">
        <f>구조물위치!J21</f>
        <v>48</v>
      </c>
      <c r="D17" s="1156" t="s">
        <v>13</v>
      </c>
      <c r="E17" s="111" t="s">
        <v>89</v>
      </c>
      <c r="F17" s="117"/>
      <c r="G17" s="507"/>
      <c r="H17" s="508">
        <v>1.1599999999999999</v>
      </c>
      <c r="I17" s="771">
        <v>0.2</v>
      </c>
      <c r="J17" s="510"/>
      <c r="K17" s="641"/>
      <c r="L17" s="509"/>
      <c r="M17" s="510"/>
      <c r="N17" s="507"/>
      <c r="O17" s="121">
        <v>0.2</v>
      </c>
      <c r="P17" s="119"/>
      <c r="Q17" s="119"/>
      <c r="R17" s="119">
        <v>0.2</v>
      </c>
    </row>
    <row r="18" spans="1:18" s="30" customFormat="1" ht="17.100000000000001" customHeight="1">
      <c r="A18" s="1158"/>
      <c r="B18" s="1096"/>
      <c r="C18" s="1177"/>
      <c r="D18" s="1156"/>
      <c r="E18" s="116" t="s">
        <v>90</v>
      </c>
      <c r="F18" s="124">
        <f>F17*C17</f>
        <v>0</v>
      </c>
      <c r="G18" s="122"/>
      <c r="H18" s="123">
        <f>H17*C17</f>
        <v>55.679999999999993</v>
      </c>
      <c r="I18" s="125">
        <f>C17*I17</f>
        <v>9.6000000000000014</v>
      </c>
      <c r="J18" s="126"/>
      <c r="K18" s="642"/>
      <c r="L18" s="125"/>
      <c r="M18" s="126"/>
      <c r="N18" s="122"/>
      <c r="O18" s="126">
        <f>O17*C17</f>
        <v>9.6000000000000014</v>
      </c>
      <c r="P18" s="123"/>
      <c r="Q18" s="123"/>
      <c r="R18" s="123">
        <f>R17*C17</f>
        <v>9.6000000000000014</v>
      </c>
    </row>
    <row r="19" spans="1:18" s="30" customFormat="1" ht="17.100000000000001" customHeight="1">
      <c r="A19" s="1157" t="s">
        <v>541</v>
      </c>
      <c r="B19" s="1096" t="s">
        <v>545</v>
      </c>
      <c r="C19" s="1176">
        <f>구조물위치!M21</f>
        <v>0</v>
      </c>
      <c r="D19" s="1156" t="s">
        <v>543</v>
      </c>
      <c r="E19" s="111" t="s">
        <v>89</v>
      </c>
      <c r="F19" s="117"/>
      <c r="G19" s="507"/>
      <c r="H19" s="508"/>
      <c r="I19" s="771">
        <v>0.08</v>
      </c>
      <c r="J19" s="510"/>
      <c r="K19" s="641"/>
      <c r="L19" s="509"/>
      <c r="M19" s="510"/>
      <c r="N19" s="507"/>
      <c r="O19" s="121">
        <v>0.12</v>
      </c>
      <c r="P19" s="119"/>
      <c r="Q19" s="119">
        <v>0.04</v>
      </c>
      <c r="R19" s="119">
        <v>0.08</v>
      </c>
    </row>
    <row r="20" spans="1:18" s="30" customFormat="1" ht="17.100000000000001" customHeight="1">
      <c r="A20" s="1158"/>
      <c r="B20" s="1096"/>
      <c r="C20" s="1177"/>
      <c r="D20" s="1156"/>
      <c r="E20" s="116" t="s">
        <v>90</v>
      </c>
      <c r="F20" s="124">
        <f>F19*C19</f>
        <v>0</v>
      </c>
      <c r="G20" s="122"/>
      <c r="H20" s="123">
        <f>H19*C19</f>
        <v>0</v>
      </c>
      <c r="I20" s="125">
        <f>C19*I19</f>
        <v>0</v>
      </c>
      <c r="J20" s="126"/>
      <c r="K20" s="642"/>
      <c r="L20" s="125"/>
      <c r="M20" s="126"/>
      <c r="N20" s="122"/>
      <c r="O20" s="126">
        <f>O19*C19</f>
        <v>0</v>
      </c>
      <c r="P20" s="123"/>
      <c r="Q20" s="123">
        <f>C19*Q19</f>
        <v>0</v>
      </c>
      <c r="R20" s="123">
        <f>R19*C19</f>
        <v>0</v>
      </c>
    </row>
    <row r="21" spans="1:18" s="30" customFormat="1" ht="17.100000000000001" customHeight="1">
      <c r="A21" s="1157" t="s">
        <v>542</v>
      </c>
      <c r="B21" s="1096"/>
      <c r="C21" s="1176">
        <f>구조물위치!N21</f>
        <v>1</v>
      </c>
      <c r="D21" s="1156" t="s">
        <v>544</v>
      </c>
      <c r="E21" s="111" t="s">
        <v>89</v>
      </c>
      <c r="F21" s="117"/>
      <c r="G21" s="507"/>
      <c r="H21" s="508"/>
      <c r="I21" s="771">
        <v>0.32</v>
      </c>
      <c r="J21" s="510"/>
      <c r="K21" s="772">
        <v>7.8</v>
      </c>
      <c r="L21" s="509"/>
      <c r="M21" s="510"/>
      <c r="N21" s="507"/>
      <c r="O21" s="121"/>
      <c r="P21" s="119"/>
      <c r="Q21" s="119"/>
      <c r="R21" s="119"/>
    </row>
    <row r="22" spans="1:18" s="30" customFormat="1" ht="17.100000000000001" customHeight="1">
      <c r="A22" s="1158"/>
      <c r="B22" s="1096"/>
      <c r="C22" s="1177"/>
      <c r="D22" s="1156"/>
      <c r="E22" s="116" t="s">
        <v>90</v>
      </c>
      <c r="F22" s="124">
        <f>F21*C21</f>
        <v>0</v>
      </c>
      <c r="G22" s="122"/>
      <c r="H22" s="123">
        <f>H21*C21</f>
        <v>0</v>
      </c>
      <c r="I22" s="125">
        <f>C21*I21</f>
        <v>0.32</v>
      </c>
      <c r="J22" s="126"/>
      <c r="K22" s="642">
        <f>C21*K21</f>
        <v>7.8</v>
      </c>
      <c r="L22" s="125"/>
      <c r="M22" s="126"/>
      <c r="N22" s="122"/>
      <c r="O22" s="126">
        <f>O21*C21</f>
        <v>0</v>
      </c>
      <c r="P22" s="123"/>
      <c r="Q22" s="123"/>
      <c r="R22" s="123">
        <f>R21*C21</f>
        <v>0</v>
      </c>
    </row>
    <row r="23" spans="1:18" s="30" customFormat="1" ht="17.100000000000001" customHeight="1">
      <c r="A23" s="1160" t="s">
        <v>93</v>
      </c>
      <c r="B23" s="1178" t="s">
        <v>459</v>
      </c>
      <c r="C23" s="1068">
        <f>구조물위치!O21</f>
        <v>52</v>
      </c>
      <c r="D23" s="1168" t="s">
        <v>13</v>
      </c>
      <c r="E23" s="89" t="s">
        <v>89</v>
      </c>
      <c r="F23" s="127"/>
      <c r="G23" s="128"/>
      <c r="H23" s="129"/>
      <c r="I23" s="640">
        <v>0.2</v>
      </c>
      <c r="J23" s="130"/>
      <c r="K23" s="645"/>
      <c r="L23" s="131">
        <f>'[1]돌붙임L3=45(야면석찰붙임)'!$U$25</f>
        <v>8.9999999999999993E-3</v>
      </c>
      <c r="M23" s="130"/>
      <c r="N23" s="530"/>
      <c r="O23" s="130">
        <v>0.45</v>
      </c>
      <c r="P23" s="132"/>
      <c r="Q23" s="132"/>
      <c r="R23" s="132">
        <v>0.45</v>
      </c>
    </row>
    <row r="24" spans="1:18" s="30" customFormat="1" ht="17.100000000000001" customHeight="1">
      <c r="A24" s="1161"/>
      <c r="B24" s="1179"/>
      <c r="C24" s="1118"/>
      <c r="D24" s="1169"/>
      <c r="E24" s="101" t="s">
        <v>90</v>
      </c>
      <c r="F24" s="669"/>
      <c r="G24" s="670"/>
      <c r="H24" s="670"/>
      <c r="I24" s="634">
        <f>I23*C23</f>
        <v>10.4</v>
      </c>
      <c r="J24" s="635"/>
      <c r="K24" s="644"/>
      <c r="L24" s="634">
        <f>L23*C23</f>
        <v>0.46799999999999997</v>
      </c>
      <c r="M24" s="671"/>
      <c r="N24" s="672"/>
      <c r="O24" s="671">
        <f>O23*C23</f>
        <v>23.400000000000002</v>
      </c>
      <c r="P24" s="673"/>
      <c r="Q24" s="674"/>
      <c r="R24" s="674">
        <f>R23*C23</f>
        <v>23.400000000000002</v>
      </c>
    </row>
    <row r="25" spans="1:18" s="30" customFormat="1" ht="17.100000000000001" customHeight="1">
      <c r="A25" s="1161"/>
      <c r="B25" s="1165" t="s">
        <v>458</v>
      </c>
      <c r="C25" s="1173">
        <f>구조물위치!P21</f>
        <v>0</v>
      </c>
      <c r="D25" s="1174" t="s">
        <v>13</v>
      </c>
      <c r="E25" s="95" t="s">
        <v>89</v>
      </c>
      <c r="F25" s="675"/>
      <c r="G25" s="676"/>
      <c r="H25" s="677"/>
      <c r="I25" s="678"/>
      <c r="J25" s="679"/>
      <c r="K25" s="680"/>
      <c r="L25" s="681"/>
      <c r="M25" s="679"/>
      <c r="N25" s="682"/>
      <c r="O25" s="679">
        <v>0.45</v>
      </c>
      <c r="P25" s="683"/>
      <c r="Q25" s="683"/>
      <c r="R25" s="683">
        <v>0.45</v>
      </c>
    </row>
    <row r="26" spans="1:18" s="30" customFormat="1" ht="17.100000000000001" customHeight="1">
      <c r="A26" s="1162"/>
      <c r="B26" s="1166"/>
      <c r="C26" s="1068"/>
      <c r="D26" s="1168"/>
      <c r="E26" s="91" t="s">
        <v>90</v>
      </c>
      <c r="F26" s="133"/>
      <c r="G26" s="134"/>
      <c r="H26" s="134"/>
      <c r="I26" s="125">
        <f>I25*C25</f>
        <v>0</v>
      </c>
      <c r="J26" s="126"/>
      <c r="K26" s="642"/>
      <c r="L26" s="125">
        <f>L25*C25</f>
        <v>0</v>
      </c>
      <c r="M26" s="135"/>
      <c r="N26" s="136"/>
      <c r="O26" s="135">
        <f>O25*C25</f>
        <v>0</v>
      </c>
      <c r="P26" s="335"/>
      <c r="Q26" s="137"/>
      <c r="R26" s="137">
        <f>R25*C25</f>
        <v>0</v>
      </c>
    </row>
    <row r="27" spans="1:18" s="30" customFormat="1" ht="17.100000000000001" customHeight="1">
      <c r="A27" s="1157" t="str">
        <f>구조물위치!Q2</f>
        <v>관공</v>
      </c>
      <c r="B27" s="1068" t="str">
        <f>구조물위치!Q3</f>
        <v>Φ800m/m</v>
      </c>
      <c r="C27" s="1098">
        <f>구조물위치!Q21</f>
        <v>76</v>
      </c>
      <c r="D27" s="1156" t="str">
        <f>구조물위치!Q5</f>
        <v>m</v>
      </c>
      <c r="E27" s="111" t="s">
        <v>89</v>
      </c>
      <c r="F27" s="117"/>
      <c r="G27" s="118"/>
      <c r="H27" s="119"/>
      <c r="I27" s="120"/>
      <c r="J27" s="121"/>
      <c r="K27" s="643"/>
      <c r="L27" s="120"/>
      <c r="M27" s="121"/>
      <c r="N27" s="118"/>
      <c r="O27" s="121">
        <v>4.5</v>
      </c>
      <c r="P27" s="119"/>
      <c r="Q27" s="119">
        <v>3.99</v>
      </c>
      <c r="R27" s="119">
        <v>2.93</v>
      </c>
    </row>
    <row r="28" spans="1:18" s="30" customFormat="1" ht="17.100000000000001" customHeight="1">
      <c r="A28" s="1163"/>
      <c r="B28" s="1175"/>
      <c r="C28" s="1170"/>
      <c r="D28" s="1130"/>
      <c r="E28" s="18" t="s">
        <v>90</v>
      </c>
      <c r="F28" s="742"/>
      <c r="G28" s="743"/>
      <c r="H28" s="744"/>
      <c r="I28" s="745"/>
      <c r="J28" s="746"/>
      <c r="K28" s="747">
        <f>K27*C27</f>
        <v>0</v>
      </c>
      <c r="L28" s="745"/>
      <c r="M28" s="746"/>
      <c r="N28" s="743"/>
      <c r="O28" s="746">
        <f>O27*C27</f>
        <v>342</v>
      </c>
      <c r="P28" s="744"/>
      <c r="Q28" s="744">
        <f>Q27*C27</f>
        <v>303.24</v>
      </c>
      <c r="R28" s="744">
        <f>R27*C27</f>
        <v>222.68</v>
      </c>
    </row>
    <row r="29" spans="1:18" s="30" customFormat="1" ht="17.100000000000001" customHeight="1">
      <c r="A29" s="1163"/>
      <c r="B29" s="1167" t="str">
        <f>구조물위치!S3</f>
        <v>Φ1000m/m</v>
      </c>
      <c r="C29" s="1100">
        <f>구조물위치!S21</f>
        <v>18</v>
      </c>
      <c r="D29" s="1123" t="str">
        <f>구조물위치!S5</f>
        <v>m</v>
      </c>
      <c r="E29" s="660" t="s">
        <v>89</v>
      </c>
      <c r="F29" s="739"/>
      <c r="G29" s="726"/>
      <c r="H29" s="731"/>
      <c r="I29" s="740"/>
      <c r="J29" s="728"/>
      <c r="K29" s="741"/>
      <c r="L29" s="740"/>
      <c r="M29" s="728"/>
      <c r="N29" s="726"/>
      <c r="O29" s="728">
        <v>5.6</v>
      </c>
      <c r="P29" s="731"/>
      <c r="Q29" s="731">
        <v>4.8099999999999996</v>
      </c>
      <c r="R29" s="731">
        <v>3.83</v>
      </c>
    </row>
    <row r="30" spans="1:18" s="30" customFormat="1" ht="17.100000000000001" customHeight="1">
      <c r="A30" s="1158"/>
      <c r="B30" s="1096"/>
      <c r="C30" s="1098"/>
      <c r="D30" s="1156"/>
      <c r="E30" s="116" t="s">
        <v>90</v>
      </c>
      <c r="F30" s="124"/>
      <c r="G30" s="122"/>
      <c r="H30" s="123"/>
      <c r="I30" s="125"/>
      <c r="J30" s="126"/>
      <c r="K30" s="642">
        <f>K29*C29</f>
        <v>0</v>
      </c>
      <c r="L30" s="125"/>
      <c r="M30" s="126"/>
      <c r="N30" s="122"/>
      <c r="O30" s="635">
        <f>O29*C29</f>
        <v>100.8</v>
      </c>
      <c r="P30" s="633"/>
      <c r="Q30" s="633">
        <f>Q29*C29</f>
        <v>86.58</v>
      </c>
      <c r="R30" s="633">
        <f>R29*C29</f>
        <v>68.94</v>
      </c>
    </row>
    <row r="31" spans="1:18" s="30" customFormat="1" ht="17.100000000000001" customHeight="1">
      <c r="A31" s="1157" t="str">
        <f>구조물위치!U2</f>
        <v>관보호공</v>
      </c>
      <c r="B31" s="1159" t="s">
        <v>456</v>
      </c>
      <c r="C31" s="1098">
        <f>구조물위치!U21</f>
        <v>1</v>
      </c>
      <c r="D31" s="1156" t="str">
        <f>구조물위치!U5</f>
        <v>개소</v>
      </c>
      <c r="E31" s="111" t="s">
        <v>89</v>
      </c>
      <c r="F31" s="117"/>
      <c r="G31" s="118"/>
      <c r="H31" s="119"/>
      <c r="I31" s="120">
        <v>4.03</v>
      </c>
      <c r="J31" s="121"/>
      <c r="K31" s="646"/>
      <c r="L31" s="529">
        <v>0.157</v>
      </c>
      <c r="M31" s="121"/>
      <c r="N31" s="118"/>
      <c r="O31" s="121">
        <v>14.8</v>
      </c>
      <c r="P31" s="119">
        <v>6.3</v>
      </c>
      <c r="Q31" s="119">
        <v>2.6</v>
      </c>
      <c r="R31" s="119">
        <v>18.5</v>
      </c>
    </row>
    <row r="32" spans="1:18" s="30" customFormat="1" ht="17.100000000000001" customHeight="1">
      <c r="A32" s="1163"/>
      <c r="B32" s="1097"/>
      <c r="C32" s="1099"/>
      <c r="D32" s="1122"/>
      <c r="E32" s="112" t="s">
        <v>90</v>
      </c>
      <c r="F32" s="631">
        <f>F31*C31</f>
        <v>0</v>
      </c>
      <c r="G32" s="632"/>
      <c r="H32" s="633"/>
      <c r="I32" s="634">
        <f>I31*C31</f>
        <v>4.03</v>
      </c>
      <c r="J32" s="635"/>
      <c r="K32" s="644"/>
      <c r="L32" s="634">
        <f>L31*C31</f>
        <v>0.157</v>
      </c>
      <c r="M32" s="635"/>
      <c r="N32" s="632"/>
      <c r="O32" s="635">
        <f>O31*C31</f>
        <v>14.8</v>
      </c>
      <c r="P32" s="633">
        <f>P31*C31</f>
        <v>6.3</v>
      </c>
      <c r="Q32" s="633">
        <f>Q31*C31</f>
        <v>2.6</v>
      </c>
      <c r="R32" s="633">
        <f>R31*C31</f>
        <v>18.5</v>
      </c>
    </row>
    <row r="33" spans="1:18" s="30" customFormat="1" ht="17.100000000000001" customHeight="1">
      <c r="A33" s="1163"/>
      <c r="B33" s="1171" t="s">
        <v>457</v>
      </c>
      <c r="C33" s="1172">
        <f>구조물위치!V21</f>
        <v>2</v>
      </c>
      <c r="D33" s="1129" t="str">
        <f>구조물위치!V5</f>
        <v>개소</v>
      </c>
      <c r="E33" s="18" t="s">
        <v>89</v>
      </c>
      <c r="F33" s="647"/>
      <c r="G33" s="636"/>
      <c r="H33" s="686"/>
      <c r="I33" s="638">
        <v>2.69</v>
      </c>
      <c r="J33" s="639"/>
      <c r="K33" s="648"/>
      <c r="L33" s="685">
        <v>9.6000000000000002E-2</v>
      </c>
      <c r="M33" s="639"/>
      <c r="N33" s="636"/>
      <c r="O33" s="639">
        <v>4.9000000000000004</v>
      </c>
      <c r="P33" s="637">
        <v>11.5</v>
      </c>
      <c r="Q33" s="637">
        <v>1.2</v>
      </c>
      <c r="R33" s="637">
        <v>15.2</v>
      </c>
    </row>
    <row r="34" spans="1:18" s="30" customFormat="1" ht="17.100000000000001" customHeight="1">
      <c r="A34" s="1158"/>
      <c r="B34" s="1068"/>
      <c r="C34" s="1098"/>
      <c r="D34" s="1156"/>
      <c r="E34" s="116" t="s">
        <v>90</v>
      </c>
      <c r="F34" s="124">
        <f>F33*C33</f>
        <v>0</v>
      </c>
      <c r="G34" s="122"/>
      <c r="H34" s="125"/>
      <c r="I34" s="125">
        <f>I33*C33</f>
        <v>5.38</v>
      </c>
      <c r="J34" s="126"/>
      <c r="K34" s="642"/>
      <c r="L34" s="125">
        <f>L33*C33</f>
        <v>0.192</v>
      </c>
      <c r="M34" s="126"/>
      <c r="N34" s="122"/>
      <c r="O34" s="126">
        <f>O33*C33</f>
        <v>9.8000000000000007</v>
      </c>
      <c r="P34" s="123">
        <f>P33*C33</f>
        <v>23</v>
      </c>
      <c r="Q34" s="123">
        <f>Q33*C33</f>
        <v>2.4</v>
      </c>
      <c r="R34" s="123">
        <f>R33*C33</f>
        <v>30.4</v>
      </c>
    </row>
    <row r="35" spans="1:18" s="30" customFormat="1" ht="17.100000000000001" hidden="1" customHeight="1">
      <c r="A35" s="1157" t="str">
        <f>구조물위치!W2</f>
        <v>취수정</v>
      </c>
      <c r="B35" s="1164"/>
      <c r="C35" s="1100">
        <f>구조물위치!W21</f>
        <v>0</v>
      </c>
      <c r="D35" s="1123" t="str">
        <f>구조물위치!W5</f>
        <v>개소</v>
      </c>
      <c r="E35" s="660" t="s">
        <v>89</v>
      </c>
      <c r="F35" s="732"/>
      <c r="G35" s="726"/>
      <c r="H35" s="727"/>
      <c r="I35" s="730">
        <v>3.2639999999999998</v>
      </c>
      <c r="J35" s="728"/>
      <c r="K35" s="729">
        <v>164.74</v>
      </c>
      <c r="L35" s="730"/>
      <c r="M35" s="728"/>
      <c r="N35" s="726"/>
      <c r="O35" s="728">
        <v>6.09</v>
      </c>
      <c r="P35" s="731"/>
      <c r="Q35" s="731">
        <v>2.63</v>
      </c>
      <c r="R35" s="731">
        <v>3.46</v>
      </c>
    </row>
    <row r="36" spans="1:18" s="30" customFormat="1" ht="17.100000000000001" hidden="1" customHeight="1">
      <c r="A36" s="1158"/>
      <c r="B36" s="1068"/>
      <c r="C36" s="1098"/>
      <c r="D36" s="1156"/>
      <c r="E36" s="116" t="s">
        <v>90</v>
      </c>
      <c r="F36" s="124">
        <f>F35*C35</f>
        <v>0</v>
      </c>
      <c r="G36" s="122"/>
      <c r="H36" s="125"/>
      <c r="I36" s="125">
        <f>I35*C35</f>
        <v>0</v>
      </c>
      <c r="J36" s="126"/>
      <c r="K36" s="642">
        <f>K35*C35</f>
        <v>0</v>
      </c>
      <c r="L36" s="125">
        <f>L35*C35</f>
        <v>0</v>
      </c>
      <c r="M36" s="126"/>
      <c r="N36" s="122"/>
      <c r="O36" s="126">
        <f>O35*C35</f>
        <v>0</v>
      </c>
      <c r="P36" s="123">
        <f>P35*C35</f>
        <v>0</v>
      </c>
      <c r="Q36" s="123">
        <f>Q35*C35</f>
        <v>0</v>
      </c>
      <c r="R36" s="123">
        <f>R35*C35</f>
        <v>0</v>
      </c>
    </row>
    <row r="37" spans="1:18" s="30" customFormat="1" ht="17.100000000000001" customHeight="1">
      <c r="A37" s="1116" t="s">
        <v>54</v>
      </c>
      <c r="B37" s="1119"/>
      <c r="C37" s="1119"/>
      <c r="D37" s="1076"/>
      <c r="E37" s="629"/>
      <c r="F37" s="1152">
        <f t="shared" ref="F37:N37" si="0">SUMIF($E7:$E36,"수  량",F7:F36)</f>
        <v>0</v>
      </c>
      <c r="G37" s="1365">
        <f t="shared" si="0"/>
        <v>0</v>
      </c>
      <c r="H37" s="1150">
        <f t="shared" si="0"/>
        <v>55.679999999999993</v>
      </c>
      <c r="I37" s="1154">
        <f t="shared" si="0"/>
        <v>40.580000000000005</v>
      </c>
      <c r="J37" s="1364">
        <f t="shared" si="0"/>
        <v>0</v>
      </c>
      <c r="K37" s="1133">
        <f t="shared" si="0"/>
        <v>7.8</v>
      </c>
      <c r="L37" s="1131">
        <f t="shared" si="0"/>
        <v>1.3069999999999999</v>
      </c>
      <c r="M37" s="1135">
        <f t="shared" si="0"/>
        <v>295.21999999999997</v>
      </c>
      <c r="N37" s="1137">
        <f t="shared" si="0"/>
        <v>580.53599999999994</v>
      </c>
      <c r="O37" s="1135">
        <f>ROUND(SUMIF($E7:$E36,"수  량",O7:O36),)</f>
        <v>792</v>
      </c>
      <c r="P37" s="1148">
        <f>ROUND(SUMIF($E7:$E36,"수  량",P7:P36),)</f>
        <v>29</v>
      </c>
      <c r="Q37" s="1131">
        <f>ROUND(SUMIF($E7:$E36,"수  량",Q7:Q36),)</f>
        <v>451</v>
      </c>
      <c r="R37" s="1131">
        <f>ROUND(SUMIF($E7:$E36,"수  량",R7:R36),)</f>
        <v>608</v>
      </c>
    </row>
    <row r="38" spans="1:18" s="30" customFormat="1" ht="17.100000000000001" customHeight="1">
      <c r="A38" s="1117"/>
      <c r="B38" s="1101"/>
      <c r="C38" s="1101"/>
      <c r="D38" s="1123"/>
      <c r="E38" s="114"/>
      <c r="F38" s="1153"/>
      <c r="G38" s="1149"/>
      <c r="H38" s="1151"/>
      <c r="I38" s="1155"/>
      <c r="J38" s="1139"/>
      <c r="K38" s="1134"/>
      <c r="L38" s="1132"/>
      <c r="M38" s="1136"/>
      <c r="N38" s="1138"/>
      <c r="O38" s="1136"/>
      <c r="P38" s="1149"/>
      <c r="Q38" s="1132"/>
      <c r="R38" s="1132"/>
    </row>
    <row r="39" spans="1:18" s="30" customFormat="1" ht="9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8" s="30" customFormat="1" ht="9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18" s="30" customFormat="1" ht="9.75" customHeight="1"/>
    <row r="42" spans="1:18" s="30" customFormat="1" ht="9.75" customHeight="1"/>
    <row r="43" spans="1:18" s="30" customFormat="1" ht="9.75" customHeight="1"/>
    <row r="44" spans="1:18" s="30" customFormat="1" ht="9.75" customHeight="1"/>
    <row r="45" spans="1:18" s="30" customFormat="1" ht="9.75" customHeight="1"/>
    <row r="46" spans="1:18" s="30" customFormat="1" ht="9.75" customHeight="1"/>
    <row r="47" spans="1:18" s="30" customFormat="1" ht="9.75" customHeight="1"/>
    <row r="48" spans="1:18" s="30" customFormat="1" ht="9.75" customHeight="1"/>
    <row r="49" s="30" customFormat="1" ht="9.75" customHeight="1"/>
    <row r="50" s="30" customFormat="1" ht="9.75" customHeight="1"/>
    <row r="51" s="30" customFormat="1" ht="9.75" customHeight="1"/>
    <row r="52" s="30" customFormat="1" ht="9.75" customHeight="1"/>
    <row r="53" s="30" customFormat="1" ht="9.75" customHeight="1"/>
    <row r="54" s="30" customFormat="1" ht="9.75" customHeight="1"/>
    <row r="55" s="30" customFormat="1" ht="9.75" customHeight="1"/>
    <row r="56" s="30" customFormat="1" ht="9.75" customHeight="1"/>
    <row r="57" s="30" customFormat="1" ht="9.75" customHeight="1"/>
    <row r="58" ht="9.75" customHeight="1"/>
    <row r="59" ht="9.75" customHeight="1"/>
    <row r="60" ht="9.75" customHeight="1"/>
    <row r="61" ht="9.75" customHeight="1"/>
    <row r="62" ht="9.75" customHeight="1"/>
    <row r="63" ht="9.75" customHeight="1"/>
    <row r="64" ht="9.75" customHeight="1"/>
    <row r="65" ht="9.75" customHeight="1"/>
    <row r="66" ht="9.75" customHeight="1"/>
    <row r="67" ht="9.75" customHeight="1"/>
  </sheetData>
  <mergeCells count="90">
    <mergeCell ref="A7:A12"/>
    <mergeCell ref="A21:A22"/>
    <mergeCell ref="B21:B22"/>
    <mergeCell ref="C15:C16"/>
    <mergeCell ref="D15:D16"/>
    <mergeCell ref="C21:C22"/>
    <mergeCell ref="D21:D22"/>
    <mergeCell ref="A13:A16"/>
    <mergeCell ref="B17:B18"/>
    <mergeCell ref="A17:A18"/>
    <mergeCell ref="C29:C30"/>
    <mergeCell ref="D27:D28"/>
    <mergeCell ref="A27:A30"/>
    <mergeCell ref="B9:B10"/>
    <mergeCell ref="C9:C10"/>
    <mergeCell ref="D9:D10"/>
    <mergeCell ref="A19:A20"/>
    <mergeCell ref="B19:B20"/>
    <mergeCell ref="D11:D12"/>
    <mergeCell ref="D29:D30"/>
    <mergeCell ref="C19:C20"/>
    <mergeCell ref="D19:D20"/>
    <mergeCell ref="B27:B28"/>
    <mergeCell ref="C17:C18"/>
    <mergeCell ref="B23:B24"/>
    <mergeCell ref="B13:B14"/>
    <mergeCell ref="C31:C32"/>
    <mergeCell ref="D17:D18"/>
    <mergeCell ref="B25:B26"/>
    <mergeCell ref="B11:B12"/>
    <mergeCell ref="D35:D36"/>
    <mergeCell ref="C23:C24"/>
    <mergeCell ref="D23:D24"/>
    <mergeCell ref="C35:C36"/>
    <mergeCell ref="D31:D32"/>
    <mergeCell ref="C27:C28"/>
    <mergeCell ref="B33:B34"/>
    <mergeCell ref="C33:C34"/>
    <mergeCell ref="D33:D34"/>
    <mergeCell ref="C25:C26"/>
    <mergeCell ref="D25:D26"/>
    <mergeCell ref="B29:B30"/>
    <mergeCell ref="A35:A36"/>
    <mergeCell ref="B31:B32"/>
    <mergeCell ref="A23:A26"/>
    <mergeCell ref="A31:A34"/>
    <mergeCell ref="B35:B36"/>
    <mergeCell ref="A37:A38"/>
    <mergeCell ref="H37:H38"/>
    <mergeCell ref="F37:F38"/>
    <mergeCell ref="G37:G38"/>
    <mergeCell ref="B37:B38"/>
    <mergeCell ref="D37:D38"/>
    <mergeCell ref="C37:C38"/>
    <mergeCell ref="J37:J38"/>
    <mergeCell ref="H4:H5"/>
    <mergeCell ref="I4:I5"/>
    <mergeCell ref="R3:R4"/>
    <mergeCell ref="O3:P4"/>
    <mergeCell ref="K4:K5"/>
    <mergeCell ref="P37:P38"/>
    <mergeCell ref="I37:I38"/>
    <mergeCell ref="R37:R38"/>
    <mergeCell ref="K37:K38"/>
    <mergeCell ref="L37:L38"/>
    <mergeCell ref="M37:M38"/>
    <mergeCell ref="N37:N38"/>
    <mergeCell ref="O37:O38"/>
    <mergeCell ref="Q37:Q38"/>
    <mergeCell ref="F3:G3"/>
    <mergeCell ref="J3:K3"/>
    <mergeCell ref="Q3:Q4"/>
    <mergeCell ref="M3:N5"/>
    <mergeCell ref="A1:B1"/>
    <mergeCell ref="A3:A6"/>
    <mergeCell ref="B3:B6"/>
    <mergeCell ref="C3:C6"/>
    <mergeCell ref="F4:F5"/>
    <mergeCell ref="D3:D6"/>
    <mergeCell ref="E3:E6"/>
    <mergeCell ref="J4:J5"/>
    <mergeCell ref="B7:B8"/>
    <mergeCell ref="C7:C8"/>
    <mergeCell ref="C11:C12"/>
    <mergeCell ref="B15:B16"/>
    <mergeCell ref="L4:L5"/>
    <mergeCell ref="G4:G5"/>
    <mergeCell ref="D13:D14"/>
    <mergeCell ref="D7:D8"/>
    <mergeCell ref="C13:C14"/>
  </mergeCells>
  <phoneticPr fontId="4" type="noConversion"/>
  <pageMargins left="0.98425196850393704" right="0.19685039370078741" top="0.70866141732283472" bottom="0.19685039370078741" header="0.39370078740157483" footer="0.15748031496062992"/>
  <pageSetup paperSize="9" scale="85" orientation="landscape" r:id="rId1"/>
  <headerFooter alignWithMargins="0"/>
  <colBreaks count="1" manualBreakCount="1">
    <brk id="12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P22"/>
  <sheetViews>
    <sheetView showGridLines="0" zoomScale="75" workbookViewId="0">
      <selection activeCell="H30" sqref="H30"/>
    </sheetView>
  </sheetViews>
  <sheetFormatPr defaultRowHeight="14.25"/>
  <cols>
    <col min="1" max="1" width="25.5" style="1" customWidth="1"/>
    <col min="2" max="6" width="9" style="1"/>
    <col min="7" max="7" width="13.5" style="1" customWidth="1"/>
    <col min="8" max="16384" width="9" style="1"/>
  </cols>
  <sheetData>
    <row r="1" spans="1:16" ht="30" customHeight="1">
      <c r="O1" s="4"/>
      <c r="P1" s="4"/>
    </row>
    <row r="2" spans="1:16" ht="34.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O2" s="4"/>
      <c r="P2" s="4"/>
    </row>
    <row r="3" spans="1:16" ht="34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O3" s="4"/>
      <c r="P3" s="4"/>
    </row>
    <row r="4" spans="1:16" ht="34.5" customHeight="1">
      <c r="A4" s="2"/>
      <c r="B4" s="5" t="s">
        <v>0</v>
      </c>
      <c r="C4" s="1182" t="s">
        <v>94</v>
      </c>
      <c r="D4" s="1182"/>
      <c r="E4" s="1182"/>
      <c r="F4" s="1182"/>
      <c r="G4" s="1182"/>
      <c r="H4" s="1182"/>
      <c r="I4" s="1182"/>
      <c r="J4" s="2"/>
      <c r="K4" s="2"/>
      <c r="O4" s="4"/>
      <c r="P4" s="4"/>
    </row>
    <row r="5" spans="1:16" ht="34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O5" s="4"/>
      <c r="P5" s="4"/>
    </row>
    <row r="6" spans="1:16" ht="34.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O6" s="4"/>
      <c r="P6" s="4"/>
    </row>
    <row r="7" spans="1:16" ht="34.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O7" s="4"/>
      <c r="P7" s="4"/>
    </row>
    <row r="8" spans="1:16" ht="34.5" customHeight="1">
      <c r="A8" s="2"/>
      <c r="C8" s="6" t="s">
        <v>95</v>
      </c>
      <c r="D8" s="1034" t="s">
        <v>511</v>
      </c>
      <c r="E8" s="1035"/>
      <c r="F8" s="1035"/>
      <c r="G8" s="1035"/>
      <c r="H8" s="1035"/>
      <c r="I8" s="531"/>
      <c r="J8" s="2"/>
      <c r="K8" s="2"/>
      <c r="O8" s="4"/>
      <c r="P8" s="4"/>
    </row>
    <row r="9" spans="1:16" ht="34.5" customHeight="1">
      <c r="A9" s="2"/>
      <c r="B9" s="7"/>
      <c r="I9" s="2"/>
      <c r="J9" s="2"/>
      <c r="K9" s="2"/>
      <c r="O9" s="4"/>
      <c r="P9" s="4"/>
    </row>
    <row r="10" spans="1:16" ht="34.5" customHeight="1">
      <c r="A10" s="2"/>
      <c r="B10" s="8"/>
      <c r="C10" s="9"/>
      <c r="D10" s="2"/>
      <c r="E10" s="2"/>
      <c r="F10" s="2"/>
      <c r="G10" s="2"/>
      <c r="H10" s="2"/>
      <c r="I10" s="2"/>
      <c r="J10" s="2"/>
      <c r="K10" s="2"/>
      <c r="O10" s="4"/>
      <c r="P10" s="4"/>
    </row>
    <row r="11" spans="1:16" ht="34.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O11" s="4"/>
      <c r="P11" s="4"/>
    </row>
    <row r="12" spans="1:16" ht="27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4"/>
      <c r="M12" s="4"/>
      <c r="N12" s="4"/>
      <c r="O12" s="4"/>
      <c r="P12" s="4"/>
    </row>
    <row r="13" spans="1:1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1:1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</row>
    <row r="15" spans="1:1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</row>
    <row r="16" spans="1:1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1:1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1:1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1:1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1:1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1:1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1:1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</sheetData>
  <mergeCells count="2">
    <mergeCell ref="C4:I4"/>
    <mergeCell ref="D8:H8"/>
  </mergeCells>
  <phoneticPr fontId="4" type="noConversion"/>
  <pageMargins left="1.24" right="0.75" top="1.29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41"/>
  <sheetViews>
    <sheetView showGridLines="0" topLeftCell="A7" zoomScale="130" zoomScaleNormal="130" workbookViewId="0">
      <selection activeCell="D22" sqref="D22"/>
    </sheetView>
  </sheetViews>
  <sheetFormatPr defaultRowHeight="14.25"/>
  <cols>
    <col min="1" max="1" width="20" style="200" bestFit="1" customWidth="1"/>
    <col min="2" max="2" width="8.375" style="200" customWidth="1"/>
    <col min="3" max="6" width="16" style="1" customWidth="1"/>
    <col min="7" max="7" width="11.5" style="1" customWidth="1"/>
    <col min="8" max="8" width="10.25" style="333" bestFit="1" customWidth="1"/>
    <col min="9" max="16384" width="9" style="1"/>
  </cols>
  <sheetData>
    <row r="1" spans="1:13" ht="22.5">
      <c r="A1" s="1189" t="s">
        <v>388</v>
      </c>
      <c r="B1" s="1189"/>
      <c r="C1" s="1189"/>
      <c r="D1" s="1189"/>
      <c r="E1" s="1189"/>
      <c r="F1" s="1189"/>
      <c r="G1" s="1189"/>
      <c r="K1" s="4"/>
      <c r="L1" s="4"/>
      <c r="M1" s="4"/>
    </row>
    <row r="2" spans="1:13" s="34" customFormat="1" ht="6" customHeight="1">
      <c r="A2" s="72"/>
      <c r="B2" s="72"/>
      <c r="C2" s="68"/>
      <c r="D2" s="68"/>
      <c r="E2" s="75"/>
      <c r="F2" s="69"/>
      <c r="G2" s="68"/>
      <c r="H2" s="11"/>
      <c r="I2" s="68"/>
      <c r="K2" s="35"/>
      <c r="L2" s="35"/>
      <c r="M2" s="35"/>
    </row>
    <row r="3" spans="1:13" s="34" customFormat="1" ht="17.100000000000001" customHeight="1" thickBot="1">
      <c r="A3" s="178" t="s">
        <v>132</v>
      </c>
      <c r="B3" s="179" t="s">
        <v>133</v>
      </c>
      <c r="C3" s="179" t="s">
        <v>134</v>
      </c>
      <c r="D3" s="179" t="s">
        <v>54</v>
      </c>
      <c r="E3" s="179" t="s">
        <v>135</v>
      </c>
      <c r="F3" s="179"/>
      <c r="G3" s="180" t="s">
        <v>136</v>
      </c>
      <c r="H3" s="11"/>
      <c r="I3" s="68"/>
      <c r="K3" s="35"/>
      <c r="L3" s="35"/>
      <c r="M3" s="35"/>
    </row>
    <row r="4" spans="1:13" s="39" customFormat="1" ht="17.100000000000001" customHeight="1" thickTop="1">
      <c r="A4" s="325" t="s">
        <v>137</v>
      </c>
      <c r="B4" s="326" t="s">
        <v>91</v>
      </c>
      <c r="C4" s="326"/>
      <c r="D4" s="327">
        <f t="shared" ref="D4:D32" si="0">SUM(E4:F4)</f>
        <v>380</v>
      </c>
      <c r="E4" s="327">
        <v>380</v>
      </c>
      <c r="F4" s="327"/>
      <c r="G4" s="328"/>
      <c r="H4" s="11"/>
      <c r="I4" s="11"/>
      <c r="K4" s="38"/>
      <c r="L4" s="38"/>
      <c r="M4" s="38"/>
    </row>
    <row r="5" spans="1:13" s="39" customFormat="1" ht="17.100000000000001" customHeight="1">
      <c r="A5" s="1187" t="s">
        <v>473</v>
      </c>
      <c r="B5" s="1118" t="s">
        <v>35</v>
      </c>
      <c r="C5" s="24"/>
      <c r="D5" s="183">
        <f>SUM(E5:F5)</f>
        <v>7556</v>
      </c>
      <c r="E5" s="184">
        <f>SUM(E6:E7)</f>
        <v>7556</v>
      </c>
      <c r="F5" s="708"/>
      <c r="G5" s="709"/>
      <c r="H5" s="11"/>
      <c r="I5" s="11"/>
      <c r="K5" s="38"/>
      <c r="L5" s="38"/>
      <c r="M5" s="38"/>
    </row>
    <row r="6" spans="1:13" s="39" customFormat="1" ht="17.100000000000001" customHeight="1">
      <c r="A6" s="1190"/>
      <c r="B6" s="1119"/>
      <c r="C6" s="16" t="s">
        <v>149</v>
      </c>
      <c r="D6" s="186">
        <f>SUM(E6:F6)</f>
        <v>3777</v>
      </c>
      <c r="E6" s="186">
        <f>토적표!Z78</f>
        <v>3777</v>
      </c>
      <c r="F6" s="710"/>
      <c r="G6" s="711"/>
      <c r="H6" s="11"/>
      <c r="I6" s="11"/>
      <c r="K6" s="38"/>
      <c r="L6" s="38"/>
      <c r="M6" s="38"/>
    </row>
    <row r="7" spans="1:13" s="39" customFormat="1" ht="17.100000000000001" customHeight="1">
      <c r="A7" s="1188"/>
      <c r="B7" s="1101"/>
      <c r="C7" s="71" t="s">
        <v>150</v>
      </c>
      <c r="D7" s="181">
        <f>SUM(E7:F7)</f>
        <v>3779</v>
      </c>
      <c r="E7" s="181">
        <f>토적표!AB78*0.5</f>
        <v>3779</v>
      </c>
      <c r="F7" s="706"/>
      <c r="G7" s="707"/>
      <c r="H7" s="11"/>
      <c r="I7" s="11"/>
      <c r="K7" s="38"/>
      <c r="L7" s="38"/>
      <c r="M7" s="38"/>
    </row>
    <row r="8" spans="1:13" s="39" customFormat="1" ht="17.100000000000001" customHeight="1">
      <c r="A8" s="1185" t="s">
        <v>474</v>
      </c>
      <c r="B8" s="1118" t="s">
        <v>138</v>
      </c>
      <c r="C8" s="182"/>
      <c r="D8" s="183">
        <f t="shared" si="0"/>
        <v>10107.9</v>
      </c>
      <c r="E8" s="184">
        <f>SUM(E9:E10)</f>
        <v>10107.9</v>
      </c>
      <c r="F8" s="184"/>
      <c r="G8" s="185"/>
      <c r="H8" s="11"/>
      <c r="I8" s="11"/>
      <c r="K8" s="38"/>
      <c r="L8" s="38"/>
      <c r="M8" s="38"/>
    </row>
    <row r="9" spans="1:13" s="39" customFormat="1" ht="17.100000000000001" customHeight="1">
      <c r="A9" s="1082"/>
      <c r="B9" s="1119"/>
      <c r="C9" s="16" t="s">
        <v>139</v>
      </c>
      <c r="D9" s="186">
        <f t="shared" si="0"/>
        <v>7164</v>
      </c>
      <c r="E9" s="186">
        <f>토적표!D78</f>
        <v>7164</v>
      </c>
      <c r="F9" s="186"/>
      <c r="G9" s="187"/>
      <c r="H9" s="11"/>
      <c r="I9" s="11"/>
      <c r="K9" s="38"/>
      <c r="L9" s="38"/>
      <c r="M9" s="38"/>
    </row>
    <row r="10" spans="1:13" s="39" customFormat="1" ht="17.100000000000001" customHeight="1">
      <c r="A10" s="1082"/>
      <c r="B10" s="1119"/>
      <c r="C10" s="84" t="s">
        <v>140</v>
      </c>
      <c r="D10" s="735">
        <f t="shared" si="0"/>
        <v>2943.9</v>
      </c>
      <c r="E10" s="735">
        <f>토적표!G78*0.3</f>
        <v>2943.9</v>
      </c>
      <c r="F10" s="735"/>
      <c r="G10" s="736"/>
      <c r="H10" s="701"/>
      <c r="I10" s="11"/>
      <c r="K10" s="38"/>
      <c r="L10" s="38"/>
      <c r="M10" s="38"/>
    </row>
    <row r="11" spans="1:13" s="39" customFormat="1" ht="17.100000000000001" customHeight="1">
      <c r="A11" s="1186"/>
      <c r="B11" s="1101"/>
      <c r="C11" s="71" t="s">
        <v>504</v>
      </c>
      <c r="D11" s="181">
        <f t="shared" ref="D11:D16" si="1">SUM(E11:F11)</f>
        <v>6869.0999999999995</v>
      </c>
      <c r="E11" s="181">
        <f>토적표!G78*0.7</f>
        <v>6869.0999999999995</v>
      </c>
      <c r="F11" s="181"/>
      <c r="G11" s="188"/>
      <c r="H11" s="701"/>
      <c r="I11" s="11"/>
      <c r="K11" s="38"/>
      <c r="L11" s="38"/>
      <c r="M11" s="38"/>
    </row>
    <row r="12" spans="1:13" s="39" customFormat="1" ht="17.100000000000001" customHeight="1">
      <c r="A12" s="1185" t="s">
        <v>488</v>
      </c>
      <c r="B12" s="666" t="s">
        <v>138</v>
      </c>
      <c r="C12" s="666" t="s">
        <v>139</v>
      </c>
      <c r="D12" s="696">
        <f t="shared" si="1"/>
        <v>792</v>
      </c>
      <c r="E12" s="695">
        <f>수량집계표!O37</f>
        <v>792</v>
      </c>
      <c r="F12" s="695"/>
      <c r="G12" s="713"/>
      <c r="H12" s="501"/>
      <c r="I12" s="11"/>
      <c r="K12" s="38"/>
      <c r="L12" s="38"/>
      <c r="M12" s="38"/>
    </row>
    <row r="13" spans="1:13" s="39" customFormat="1" ht="17.100000000000001" customHeight="1">
      <c r="A13" s="1186"/>
      <c r="B13" s="71" t="s">
        <v>138</v>
      </c>
      <c r="C13" s="71" t="s">
        <v>246</v>
      </c>
      <c r="D13" s="186">
        <f t="shared" si="1"/>
        <v>29</v>
      </c>
      <c r="E13" s="181">
        <f>수량집계표!P37</f>
        <v>29</v>
      </c>
      <c r="F13" s="181"/>
      <c r="G13" s="188"/>
      <c r="H13" s="501"/>
      <c r="I13" s="11"/>
      <c r="K13" s="38"/>
      <c r="L13" s="38"/>
      <c r="M13" s="38"/>
    </row>
    <row r="14" spans="1:13" s="39" customFormat="1" ht="17.100000000000001" customHeight="1">
      <c r="A14" s="694" t="s">
        <v>489</v>
      </c>
      <c r="B14" s="40" t="s">
        <v>138</v>
      </c>
      <c r="C14" s="40"/>
      <c r="D14" s="191">
        <f t="shared" si="1"/>
        <v>451</v>
      </c>
      <c r="E14" s="189">
        <f>수량집계표!Q37</f>
        <v>451</v>
      </c>
      <c r="F14" s="189"/>
      <c r="G14" s="190"/>
      <c r="H14" s="501"/>
      <c r="I14" s="11"/>
      <c r="K14" s="38"/>
      <c r="L14" s="38"/>
      <c r="M14" s="38"/>
    </row>
    <row r="15" spans="1:13" s="39" customFormat="1" ht="17.100000000000001" customHeight="1">
      <c r="A15" s="1187" t="s">
        <v>477</v>
      </c>
      <c r="B15" s="40" t="s">
        <v>138</v>
      </c>
      <c r="C15" s="40" t="s">
        <v>139</v>
      </c>
      <c r="D15" s="191">
        <f t="shared" si="1"/>
        <v>8</v>
      </c>
      <c r="E15" s="189">
        <f>토적표!J78</f>
        <v>8</v>
      </c>
      <c r="F15" s="189"/>
      <c r="G15" s="190"/>
      <c r="H15" s="11"/>
      <c r="I15" s="11"/>
      <c r="K15" s="38"/>
      <c r="L15" s="38"/>
      <c r="M15" s="38"/>
    </row>
    <row r="16" spans="1:13" s="39" customFormat="1" ht="17.100000000000001" customHeight="1">
      <c r="A16" s="1188"/>
      <c r="B16" s="40" t="s">
        <v>138</v>
      </c>
      <c r="C16" s="40" t="s">
        <v>246</v>
      </c>
      <c r="D16" s="192">
        <f t="shared" si="1"/>
        <v>182</v>
      </c>
      <c r="E16" s="189">
        <f>토적표!M78</f>
        <v>182</v>
      </c>
      <c r="F16" s="189"/>
      <c r="G16" s="190"/>
      <c r="H16" s="11"/>
      <c r="I16" s="11"/>
      <c r="K16" s="38"/>
      <c r="L16" s="38"/>
      <c r="M16" s="38"/>
    </row>
    <row r="17" spans="1:13" s="39" customFormat="1" ht="17.100000000000001" customHeight="1">
      <c r="A17" s="193" t="s">
        <v>478</v>
      </c>
      <c r="B17" s="25" t="s">
        <v>141</v>
      </c>
      <c r="C17" s="194"/>
      <c r="D17" s="191">
        <f t="shared" si="0"/>
        <v>4720</v>
      </c>
      <c r="E17" s="191">
        <f>토적표!Q78</f>
        <v>4720</v>
      </c>
      <c r="F17" s="191"/>
      <c r="G17" s="195"/>
      <c r="H17" s="11"/>
      <c r="I17" s="11"/>
      <c r="K17" s="38"/>
      <c r="L17" s="38"/>
      <c r="M17" s="38"/>
    </row>
    <row r="18" spans="1:13" s="39" customFormat="1" ht="17.100000000000001" customHeight="1">
      <c r="A18" s="193" t="s">
        <v>479</v>
      </c>
      <c r="B18" s="25" t="s">
        <v>142</v>
      </c>
      <c r="C18" s="194"/>
      <c r="D18" s="191">
        <f t="shared" si="0"/>
        <v>5169</v>
      </c>
      <c r="E18" s="191">
        <f>토적표!AF78-구조물위치!J21</f>
        <v>5169</v>
      </c>
      <c r="F18" s="191"/>
      <c r="G18" s="492" t="s">
        <v>357</v>
      </c>
      <c r="H18" s="11"/>
      <c r="I18" s="11"/>
      <c r="K18" s="38"/>
      <c r="L18" s="38"/>
      <c r="M18" s="38"/>
    </row>
    <row r="19" spans="1:13" s="39" customFormat="1" ht="17.100000000000001" customHeight="1">
      <c r="A19" s="193" t="s">
        <v>480</v>
      </c>
      <c r="B19" s="25" t="s">
        <v>142</v>
      </c>
      <c r="C19" s="194"/>
      <c r="D19" s="191">
        <f>SUM(E19:F19)</f>
        <v>810</v>
      </c>
      <c r="E19" s="191">
        <f>토적표!AD78</f>
        <v>810</v>
      </c>
      <c r="F19" s="191"/>
      <c r="G19" s="492"/>
      <c r="H19" s="11"/>
      <c r="I19" s="11"/>
      <c r="K19" s="38"/>
      <c r="L19" s="38"/>
      <c r="M19" s="38"/>
    </row>
    <row r="20" spans="1:13" s="39" customFormat="1" ht="17.100000000000001" customHeight="1">
      <c r="A20" s="1183" t="s">
        <v>481</v>
      </c>
      <c r="B20" s="1175" t="s">
        <v>143</v>
      </c>
      <c r="C20" s="182"/>
      <c r="D20" s="183">
        <f t="shared" si="0"/>
        <v>3424.6099999999997</v>
      </c>
      <c r="E20" s="184">
        <f>SUM(E21:E22)</f>
        <v>3424.6099999999997</v>
      </c>
      <c r="F20" s="184">
        <f>SUM(F21:F22)</f>
        <v>0</v>
      </c>
      <c r="G20" s="185"/>
      <c r="H20" s="11"/>
      <c r="I20" s="11"/>
      <c r="K20" s="38"/>
      <c r="L20" s="38"/>
      <c r="M20" s="38"/>
    </row>
    <row r="21" spans="1:13" s="39" customFormat="1" ht="17.100000000000001" customHeight="1">
      <c r="A21" s="1085"/>
      <c r="B21" s="1184"/>
      <c r="C21" s="16" t="s">
        <v>144</v>
      </c>
      <c r="D21" s="186">
        <f>SUM(E21:F21)</f>
        <v>2083.16</v>
      </c>
      <c r="E21" s="186">
        <v>2083.16</v>
      </c>
      <c r="F21" s="186"/>
      <c r="G21" s="187"/>
      <c r="H21" s="11"/>
      <c r="I21" s="11"/>
      <c r="K21" s="38"/>
      <c r="L21" s="38"/>
      <c r="M21" s="38"/>
    </row>
    <row r="22" spans="1:13" s="39" customFormat="1" ht="17.100000000000001" customHeight="1">
      <c r="A22" s="1079"/>
      <c r="B22" s="1173"/>
      <c r="C22" s="71" t="s">
        <v>145</v>
      </c>
      <c r="D22" s="181">
        <f>SUM(E22:F22)</f>
        <v>1341.45</v>
      </c>
      <c r="E22" s="181">
        <v>1341.45</v>
      </c>
      <c r="F22" s="181"/>
      <c r="G22" s="188"/>
      <c r="H22" s="11"/>
      <c r="I22" s="11"/>
      <c r="K22" s="38"/>
      <c r="L22" s="38"/>
      <c r="M22" s="38"/>
    </row>
    <row r="23" spans="1:13" s="39" customFormat="1" ht="17.100000000000001" customHeight="1">
      <c r="A23" s="1183" t="s">
        <v>482</v>
      </c>
      <c r="B23" s="60"/>
      <c r="C23" s="196"/>
      <c r="D23" s="183">
        <f t="shared" si="0"/>
        <v>1175.1500000000001</v>
      </c>
      <c r="E23" s="184">
        <f>SUM(E24:E25)</f>
        <v>1175.1500000000001</v>
      </c>
      <c r="F23" s="184"/>
      <c r="G23" s="185"/>
      <c r="H23" s="11"/>
      <c r="I23" s="11"/>
      <c r="K23" s="38"/>
      <c r="L23" s="38"/>
      <c r="M23" s="38"/>
    </row>
    <row r="24" spans="1:13" s="39" customFormat="1" ht="17.100000000000001" customHeight="1">
      <c r="A24" s="1085"/>
      <c r="B24" s="16" t="s">
        <v>143</v>
      </c>
      <c r="C24" s="16" t="s">
        <v>146</v>
      </c>
      <c r="D24" s="186">
        <f t="shared" si="0"/>
        <v>313.45999999999998</v>
      </c>
      <c r="E24" s="186">
        <v>313.45999999999998</v>
      </c>
      <c r="F24" s="186"/>
      <c r="G24" s="490">
        <v>40.94</v>
      </c>
      <c r="H24" s="11"/>
      <c r="I24" s="11"/>
      <c r="K24" s="38"/>
      <c r="L24" s="38"/>
      <c r="M24" s="38"/>
    </row>
    <row r="25" spans="1:13" s="39" customFormat="1" ht="17.100000000000001" customHeight="1">
      <c r="A25" s="1079"/>
      <c r="B25" s="71" t="s">
        <v>143</v>
      </c>
      <c r="C25" s="71" t="s">
        <v>147</v>
      </c>
      <c r="D25" s="181">
        <f t="shared" si="0"/>
        <v>861.69</v>
      </c>
      <c r="E25" s="181">
        <v>861.69</v>
      </c>
      <c r="F25" s="181"/>
      <c r="G25" s="491">
        <v>39.130000000000003</v>
      </c>
      <c r="H25" s="11"/>
      <c r="I25" s="11"/>
      <c r="K25" s="38"/>
      <c r="L25" s="38"/>
      <c r="M25" s="38"/>
    </row>
    <row r="26" spans="1:13" s="39" customFormat="1" ht="17.100000000000001" customHeight="1">
      <c r="A26" s="1183" t="s">
        <v>483</v>
      </c>
      <c r="B26" s="60"/>
      <c r="C26" s="196"/>
      <c r="D26" s="183">
        <f t="shared" si="0"/>
        <v>120.46</v>
      </c>
      <c r="E26" s="184">
        <f>SUM(E27:E28)</f>
        <v>120.46</v>
      </c>
      <c r="F26" s="184">
        <f>SUM(F27:F28)</f>
        <v>0</v>
      </c>
      <c r="G26" s="199"/>
      <c r="H26" s="11"/>
      <c r="I26" s="11"/>
      <c r="K26" s="38"/>
      <c r="L26" s="38"/>
      <c r="M26" s="38"/>
    </row>
    <row r="27" spans="1:13" s="39" customFormat="1" ht="17.100000000000001" customHeight="1">
      <c r="A27" s="1085"/>
      <c r="B27" s="16" t="s">
        <v>138</v>
      </c>
      <c r="C27" s="16" t="s">
        <v>146</v>
      </c>
      <c r="D27" s="186">
        <f t="shared" si="0"/>
        <v>27.08</v>
      </c>
      <c r="E27" s="186">
        <v>27.08</v>
      </c>
      <c r="F27" s="186"/>
      <c r="G27" s="197">
        <v>64.11</v>
      </c>
      <c r="H27" s="11"/>
      <c r="I27" s="11"/>
      <c r="K27" s="38"/>
      <c r="L27" s="38"/>
      <c r="M27" s="38"/>
    </row>
    <row r="28" spans="1:13" s="39" customFormat="1" ht="17.100000000000001" customHeight="1">
      <c r="A28" s="1079"/>
      <c r="B28" s="71" t="s">
        <v>143</v>
      </c>
      <c r="C28" s="71" t="s">
        <v>147</v>
      </c>
      <c r="D28" s="181">
        <f t="shared" si="0"/>
        <v>93.38</v>
      </c>
      <c r="E28" s="181">
        <v>93.38</v>
      </c>
      <c r="F28" s="181"/>
      <c r="G28" s="198">
        <v>64.27</v>
      </c>
      <c r="H28" s="11"/>
      <c r="I28" s="11"/>
      <c r="K28" s="38"/>
      <c r="L28" s="38"/>
      <c r="M28" s="38"/>
    </row>
    <row r="29" spans="1:13" s="39" customFormat="1" ht="17.100000000000001" customHeight="1">
      <c r="A29" s="1183" t="s">
        <v>484</v>
      </c>
      <c r="B29" s="60" t="s">
        <v>148</v>
      </c>
      <c r="C29" s="182"/>
      <c r="D29" s="184">
        <f t="shared" si="0"/>
        <v>4952</v>
      </c>
      <c r="E29" s="184">
        <f>SUM(E30:E31)</f>
        <v>4952</v>
      </c>
      <c r="F29" s="184">
        <f>SUM(F30:F31)</f>
        <v>0</v>
      </c>
      <c r="G29" s="199"/>
      <c r="H29" s="11"/>
      <c r="I29" s="11"/>
      <c r="K29" s="38"/>
      <c r="L29" s="38"/>
      <c r="M29" s="38"/>
    </row>
    <row r="30" spans="1:13" s="39" customFormat="1" ht="17.100000000000001" customHeight="1">
      <c r="A30" s="1085"/>
      <c r="B30" s="16" t="s">
        <v>35</v>
      </c>
      <c r="C30" s="16" t="s">
        <v>149</v>
      </c>
      <c r="D30" s="186">
        <f t="shared" si="0"/>
        <v>1490</v>
      </c>
      <c r="E30" s="186">
        <f>토적표!X78</f>
        <v>1490</v>
      </c>
      <c r="F30" s="186"/>
      <c r="G30" s="197"/>
      <c r="H30" s="11"/>
      <c r="I30" s="11"/>
      <c r="K30" s="38"/>
      <c r="L30" s="38"/>
      <c r="M30" s="38"/>
    </row>
    <row r="31" spans="1:13" s="39" customFormat="1" ht="17.100000000000001" customHeight="1">
      <c r="A31" s="1079"/>
      <c r="B31" s="71" t="s">
        <v>35</v>
      </c>
      <c r="C31" s="71" t="s">
        <v>150</v>
      </c>
      <c r="D31" s="181">
        <f t="shared" si="0"/>
        <v>3462</v>
      </c>
      <c r="E31" s="181">
        <f>토적표!V78</f>
        <v>3462</v>
      </c>
      <c r="F31" s="181"/>
      <c r="G31" s="198"/>
      <c r="H31" s="11"/>
      <c r="I31" s="11"/>
      <c r="K31" s="38"/>
      <c r="L31" s="38"/>
      <c r="M31" s="38"/>
    </row>
    <row r="32" spans="1:13" s="39" customFormat="1" ht="17.100000000000001" customHeight="1">
      <c r="A32" s="193" t="s">
        <v>490</v>
      </c>
      <c r="B32" s="25" t="s">
        <v>151</v>
      </c>
      <c r="C32" s="25"/>
      <c r="D32" s="500">
        <f t="shared" si="0"/>
        <v>6738</v>
      </c>
      <c r="E32" s="500">
        <f>(토적표!S78+수량집계표!R37)*0.5</f>
        <v>6738</v>
      </c>
      <c r="F32" s="191"/>
      <c r="G32" s="329" t="s">
        <v>359</v>
      </c>
      <c r="H32" s="501"/>
      <c r="I32" s="11"/>
      <c r="K32" s="38"/>
      <c r="L32" s="38"/>
      <c r="M32" s="38"/>
    </row>
    <row r="33" spans="1:13" s="333" customFormat="1">
      <c r="A33" s="330"/>
      <c r="B33" s="330"/>
      <c r="C33" s="331"/>
      <c r="D33" s="331"/>
      <c r="E33" s="331"/>
      <c r="F33" s="331"/>
      <c r="G33" s="332"/>
      <c r="H33" s="331"/>
      <c r="I33" s="331"/>
      <c r="K33" s="334"/>
      <c r="L33" s="334"/>
      <c r="M33" s="334"/>
    </row>
    <row r="34" spans="1:13" s="333" customFormat="1">
      <c r="A34" s="733"/>
      <c r="B34" s="733"/>
      <c r="G34" s="734"/>
      <c r="K34" s="334"/>
      <c r="L34" s="334"/>
      <c r="M34" s="334"/>
    </row>
    <row r="35" spans="1:13" s="333" customFormat="1">
      <c r="A35" s="733"/>
      <c r="B35" s="733"/>
      <c r="G35" s="734"/>
    </row>
    <row r="36" spans="1:13" s="333" customFormat="1">
      <c r="A36" s="733"/>
      <c r="B36" s="733"/>
      <c r="G36" s="734"/>
    </row>
    <row r="37" spans="1:13" s="333" customFormat="1">
      <c r="A37" s="733"/>
      <c r="B37" s="733"/>
    </row>
    <row r="38" spans="1:13" s="333" customFormat="1">
      <c r="A38" s="733"/>
      <c r="B38" s="733"/>
    </row>
    <row r="39" spans="1:13" s="333" customFormat="1">
      <c r="A39" s="733"/>
      <c r="B39" s="733"/>
      <c r="E39" s="737"/>
      <c r="F39" s="737"/>
      <c r="G39" s="737"/>
    </row>
    <row r="40" spans="1:13">
      <c r="A40" s="201"/>
    </row>
    <row r="41" spans="1:13">
      <c r="A41" s="202"/>
    </row>
  </sheetData>
  <mergeCells count="12">
    <mergeCell ref="A8:A11"/>
    <mergeCell ref="B8:B11"/>
    <mergeCell ref="A12:A13"/>
    <mergeCell ref="A15:A16"/>
    <mergeCell ref="A1:G1"/>
    <mergeCell ref="A5:A7"/>
    <mergeCell ref="B5:B7"/>
    <mergeCell ref="A29:A31"/>
    <mergeCell ref="A20:A22"/>
    <mergeCell ref="B20:B22"/>
    <mergeCell ref="A23:A25"/>
    <mergeCell ref="A26:A28"/>
  </mergeCells>
  <phoneticPr fontId="4" type="noConversion"/>
  <printOptions horizontalCentered="1" verticalCentered="1"/>
  <pageMargins left="1.24" right="0.74803149606299213" top="0.24" bottom="0.26" header="0.2" footer="0.2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86"/>
  <sheetViews>
    <sheetView showGridLines="0" view="pageBreakPreview" zoomScale="70" zoomScaleNormal="85" zoomScaleSheetLayoutView="70" workbookViewId="0">
      <pane xSplit="2" ySplit="3" topLeftCell="C35" activePane="bottomRight" state="frozen"/>
      <selection activeCell="E9" sqref="E9"/>
      <selection pane="topRight" activeCell="E9" sqref="E9"/>
      <selection pane="bottomLeft" activeCell="E9" sqref="E9"/>
      <selection pane="bottomRight" activeCell="P61" sqref="P61"/>
    </sheetView>
  </sheetViews>
  <sheetFormatPr defaultRowHeight="13.5"/>
  <cols>
    <col min="1" max="1" width="7.5" style="514" bestFit="1" customWidth="1"/>
    <col min="2" max="2" width="8.5" style="515" bestFit="1" customWidth="1"/>
    <col min="3" max="3" width="9.5" style="516" bestFit="1" customWidth="1"/>
    <col min="4" max="4" width="8.5" style="517" bestFit="1" customWidth="1"/>
    <col min="5" max="5" width="9.5" style="517" bestFit="1" customWidth="1"/>
    <col min="6" max="6" width="9.5" style="516" bestFit="1" customWidth="1"/>
    <col min="7" max="7" width="8.5" style="517" bestFit="1" customWidth="1"/>
    <col min="8" max="8" width="9.5" style="517" bestFit="1" customWidth="1"/>
    <col min="9" max="9" width="9.5" style="516" bestFit="1" customWidth="1"/>
    <col min="10" max="10" width="7.5" style="517" bestFit="1" customWidth="1"/>
    <col min="11" max="11" width="9.5" style="517" bestFit="1" customWidth="1"/>
    <col min="12" max="12" width="9.5" style="516" bestFit="1" customWidth="1"/>
    <col min="13" max="13" width="7.5" style="517" bestFit="1" customWidth="1"/>
    <col min="14" max="14" width="9.5" style="517" bestFit="1" customWidth="1"/>
    <col min="15" max="15" width="11.625" style="517" bestFit="1" customWidth="1"/>
    <col min="16" max="16" width="9.5" style="516" bestFit="1" customWidth="1"/>
    <col min="17" max="17" width="8.5" style="517" bestFit="1" customWidth="1"/>
    <col min="18" max="18" width="9.5" style="517" bestFit="1" customWidth="1"/>
    <col min="19" max="20" width="11.625" style="517" bestFit="1" customWidth="1"/>
    <col min="21" max="21" width="7.5" style="518" bestFit="1" customWidth="1"/>
    <col min="22" max="22" width="8.5" style="519" bestFit="1" customWidth="1"/>
    <col min="23" max="23" width="7.5" style="518" bestFit="1" customWidth="1"/>
    <col min="24" max="24" width="8.5" style="519" bestFit="1" customWidth="1"/>
    <col min="25" max="25" width="7.5" style="518" bestFit="1" customWidth="1"/>
    <col min="26" max="26" width="8.5" style="519" bestFit="1" customWidth="1"/>
    <col min="27" max="27" width="7.5" style="518" bestFit="1" customWidth="1"/>
    <col min="28" max="28" width="11.625" style="519" bestFit="1" customWidth="1"/>
    <col min="29" max="29" width="7.5" style="518" bestFit="1" customWidth="1"/>
    <col min="30" max="30" width="7.5" style="519" bestFit="1" customWidth="1"/>
    <col min="31" max="31" width="7.5" style="518" bestFit="1" customWidth="1"/>
    <col min="32" max="32" width="8.5" style="519" bestFit="1" customWidth="1"/>
    <col min="33" max="16384" width="9" style="520"/>
  </cols>
  <sheetData>
    <row r="1" spans="1:32" s="511" customFormat="1" ht="25.5" customHeight="1">
      <c r="A1" s="1194" t="s">
        <v>152</v>
      </c>
      <c r="B1" s="1197" t="s">
        <v>153</v>
      </c>
      <c r="C1" s="1200" t="s">
        <v>154</v>
      </c>
      <c r="D1" s="1200"/>
      <c r="E1" s="1200"/>
      <c r="F1" s="1200"/>
      <c r="G1" s="1200"/>
      <c r="H1" s="1200"/>
      <c r="I1" s="1200" t="s">
        <v>155</v>
      </c>
      <c r="J1" s="1200"/>
      <c r="K1" s="1200"/>
      <c r="L1" s="1200"/>
      <c r="M1" s="1200"/>
      <c r="N1" s="1200"/>
      <c r="O1" s="1200" t="s">
        <v>156</v>
      </c>
      <c r="P1" s="1200" t="s">
        <v>157</v>
      </c>
      <c r="Q1" s="1200"/>
      <c r="R1" s="1200" t="s">
        <v>158</v>
      </c>
      <c r="S1" s="1200" t="s">
        <v>159</v>
      </c>
      <c r="T1" s="1200" t="s">
        <v>160</v>
      </c>
      <c r="U1" s="1191" t="s">
        <v>161</v>
      </c>
      <c r="V1" s="1191"/>
      <c r="W1" s="1191" t="str">
        <f>U1</f>
        <v>[면고르기]</v>
      </c>
      <c r="X1" s="1191"/>
      <c r="Y1" s="1191" t="s">
        <v>162</v>
      </c>
      <c r="Z1" s="1191"/>
      <c r="AA1" s="1191"/>
      <c r="AB1" s="1191"/>
      <c r="AC1" s="1191" t="s">
        <v>436</v>
      </c>
      <c r="AD1" s="1191"/>
      <c r="AE1" s="1191" t="s">
        <v>163</v>
      </c>
      <c r="AF1" s="1191"/>
    </row>
    <row r="2" spans="1:32" s="511" customFormat="1" ht="24.75" customHeight="1">
      <c r="A2" s="1195"/>
      <c r="B2" s="1198"/>
      <c r="C2" s="1193" t="s">
        <v>164</v>
      </c>
      <c r="D2" s="1193"/>
      <c r="E2" s="1193"/>
      <c r="F2" s="1193" t="s">
        <v>165</v>
      </c>
      <c r="G2" s="1193"/>
      <c r="H2" s="1193"/>
      <c r="I2" s="1193" t="s">
        <v>164</v>
      </c>
      <c r="J2" s="1193"/>
      <c r="K2" s="1193"/>
      <c r="L2" s="1193" t="s">
        <v>166</v>
      </c>
      <c r="M2" s="1193"/>
      <c r="N2" s="1193"/>
      <c r="O2" s="1193"/>
      <c r="P2" s="1193"/>
      <c r="Q2" s="1193"/>
      <c r="R2" s="1193"/>
      <c r="S2" s="1193"/>
      <c r="T2" s="1193"/>
      <c r="U2" s="1192" t="s">
        <v>150</v>
      </c>
      <c r="V2" s="1192"/>
      <c r="W2" s="1192" t="s">
        <v>149</v>
      </c>
      <c r="X2" s="1192"/>
      <c r="Y2" s="1192" t="s">
        <v>167</v>
      </c>
      <c r="Z2" s="1192"/>
      <c r="AA2" s="1202" t="s">
        <v>168</v>
      </c>
      <c r="AB2" s="1202"/>
      <c r="AC2" s="1192"/>
      <c r="AD2" s="1192"/>
      <c r="AE2" s="1192"/>
      <c r="AF2" s="1192"/>
    </row>
    <row r="3" spans="1:32" s="511" customFormat="1" ht="25.5" customHeight="1">
      <c r="A3" s="1196"/>
      <c r="B3" s="1199"/>
      <c r="C3" s="748" t="s">
        <v>169</v>
      </c>
      <c r="D3" s="738" t="s">
        <v>170</v>
      </c>
      <c r="E3" s="738" t="s">
        <v>171</v>
      </c>
      <c r="F3" s="748" t="s">
        <v>169</v>
      </c>
      <c r="G3" s="738" t="s">
        <v>170</v>
      </c>
      <c r="H3" s="738" t="s">
        <v>171</v>
      </c>
      <c r="I3" s="748" t="s">
        <v>169</v>
      </c>
      <c r="J3" s="738" t="s">
        <v>170</v>
      </c>
      <c r="K3" s="738" t="s">
        <v>171</v>
      </c>
      <c r="L3" s="748" t="s">
        <v>169</v>
      </c>
      <c r="M3" s="738" t="s">
        <v>170</v>
      </c>
      <c r="N3" s="738" t="s">
        <v>171</v>
      </c>
      <c r="O3" s="1201"/>
      <c r="P3" s="748" t="s">
        <v>169</v>
      </c>
      <c r="Q3" s="738" t="s">
        <v>170</v>
      </c>
      <c r="R3" s="1201"/>
      <c r="S3" s="1201"/>
      <c r="T3" s="1201"/>
      <c r="U3" s="749" t="s">
        <v>172</v>
      </c>
      <c r="V3" s="750" t="s">
        <v>173</v>
      </c>
      <c r="W3" s="749" t="s">
        <v>172</v>
      </c>
      <c r="X3" s="750" t="s">
        <v>173</v>
      </c>
      <c r="Y3" s="749" t="s">
        <v>254</v>
      </c>
      <c r="Z3" s="750" t="s">
        <v>255</v>
      </c>
      <c r="AA3" s="749" t="s">
        <v>254</v>
      </c>
      <c r="AB3" s="750" t="s">
        <v>255</v>
      </c>
      <c r="AC3" s="749" t="s">
        <v>172</v>
      </c>
      <c r="AD3" s="750" t="s">
        <v>173</v>
      </c>
      <c r="AE3" s="749" t="s">
        <v>172</v>
      </c>
      <c r="AF3" s="750" t="s">
        <v>173</v>
      </c>
    </row>
    <row r="4" spans="1:32" s="512" customFormat="1" ht="12.6" customHeight="1">
      <c r="A4" s="755">
        <v>120</v>
      </c>
      <c r="B4" s="755">
        <v>0</v>
      </c>
      <c r="C4" s="751">
        <v>3.28</v>
      </c>
      <c r="D4" s="723"/>
      <c r="E4" s="723">
        <f>D4*0.9</f>
        <v>0</v>
      </c>
      <c r="F4" s="751">
        <v>1.61</v>
      </c>
      <c r="G4" s="725"/>
      <c r="H4" s="725">
        <f>G4*1.25</f>
        <v>0</v>
      </c>
      <c r="I4" s="751">
        <v>0</v>
      </c>
      <c r="J4" s="723"/>
      <c r="K4" s="723">
        <f>J4*0.88</f>
        <v>0</v>
      </c>
      <c r="L4" s="751">
        <v>0.18</v>
      </c>
      <c r="M4" s="725"/>
      <c r="N4" s="805">
        <f>M4*1.15</f>
        <v>0</v>
      </c>
      <c r="O4" s="723">
        <f>H4+E4</f>
        <v>0</v>
      </c>
      <c r="P4" s="751">
        <v>1.9</v>
      </c>
      <c r="Q4" s="723"/>
      <c r="R4" s="723">
        <f>MIN(O4,Q4)</f>
        <v>0</v>
      </c>
      <c r="S4" s="723">
        <f>O4-Q4</f>
        <v>0</v>
      </c>
      <c r="T4" s="723"/>
      <c r="U4" s="751">
        <v>4.4000000000000004</v>
      </c>
      <c r="V4" s="725"/>
      <c r="W4" s="751">
        <v>1.3</v>
      </c>
      <c r="X4" s="723"/>
      <c r="Y4" s="751">
        <v>4.7</v>
      </c>
      <c r="Z4" s="723"/>
      <c r="AA4" s="751">
        <v>4.5999999999999996</v>
      </c>
      <c r="AB4" s="723"/>
      <c r="AC4" s="752">
        <v>1.3</v>
      </c>
      <c r="AD4" s="723"/>
      <c r="AE4" s="751">
        <v>4</v>
      </c>
      <c r="AF4" s="723"/>
    </row>
    <row r="5" spans="1:32" s="512" customFormat="1" ht="12.6" customHeight="1">
      <c r="A5" s="756" t="s">
        <v>546</v>
      </c>
      <c r="B5" s="756">
        <v>18</v>
      </c>
      <c r="C5" s="757">
        <v>1.29</v>
      </c>
      <c r="D5" s="513">
        <f>(C5+C4)/2*$B5</f>
        <v>41.13</v>
      </c>
      <c r="E5" s="513">
        <f>D5*0.88</f>
        <v>36.194400000000002</v>
      </c>
      <c r="F5" s="757">
        <v>3.72</v>
      </c>
      <c r="G5" s="513">
        <f>(F5+F4)/2*$B5</f>
        <v>47.97</v>
      </c>
      <c r="H5" s="513">
        <f>G5*1.15</f>
        <v>55.165499999999994</v>
      </c>
      <c r="I5" s="757">
        <v>0</v>
      </c>
      <c r="J5" s="513">
        <f>(I5+I4)/2*$B5</f>
        <v>0</v>
      </c>
      <c r="K5" s="513">
        <f>J5*0.88</f>
        <v>0</v>
      </c>
      <c r="L5" s="757">
        <v>0</v>
      </c>
      <c r="M5" s="513">
        <f>(L5+L4)/2*$B5</f>
        <v>1.6199999999999999</v>
      </c>
      <c r="N5" s="513">
        <f>M5*1.15</f>
        <v>1.8629999999999998</v>
      </c>
      <c r="O5" s="513">
        <f>H5+E5</f>
        <v>91.359899999999996</v>
      </c>
      <c r="P5" s="757">
        <v>19.13</v>
      </c>
      <c r="Q5" s="513">
        <f>(P5+P4)/2*$B5</f>
        <v>189.26999999999998</v>
      </c>
      <c r="R5" s="513">
        <f>MIN(O5,Q5)</f>
        <v>91.359899999999996</v>
      </c>
      <c r="S5" s="513">
        <f>O5-Q5</f>
        <v>-97.910099999999986</v>
      </c>
      <c r="T5" s="513">
        <f>S5+T4</f>
        <v>-97.910099999999986</v>
      </c>
      <c r="U5" s="757">
        <v>6.9</v>
      </c>
      <c r="V5" s="513">
        <f>(U5+U4)/2*$B5</f>
        <v>101.7</v>
      </c>
      <c r="W5" s="757">
        <v>0.4</v>
      </c>
      <c r="X5" s="513">
        <f>(W5+W4)/2*$B5</f>
        <v>15.3</v>
      </c>
      <c r="Y5" s="757">
        <v>10.1</v>
      </c>
      <c r="Z5" s="513">
        <f t="shared" ref="Z5:Z28" si="0">(Y5+Y4)/2*$B5</f>
        <v>133.20000000000002</v>
      </c>
      <c r="AA5" s="757">
        <v>4.5999999999999996</v>
      </c>
      <c r="AB5" s="513">
        <f>(AA5+AA4)/2*$B5</f>
        <v>82.8</v>
      </c>
      <c r="AC5" s="753">
        <v>4.8</v>
      </c>
      <c r="AD5" s="513">
        <f>(AC5+AC4)/2*$B5</f>
        <v>54.9</v>
      </c>
      <c r="AE5" s="757">
        <v>5.7</v>
      </c>
      <c r="AF5" s="513">
        <f>(AE5+AE4)/2*$B5</f>
        <v>87.3</v>
      </c>
    </row>
    <row r="6" spans="1:32" s="512" customFormat="1" ht="12.6" customHeight="1">
      <c r="A6" s="756">
        <v>121</v>
      </c>
      <c r="B6" s="756">
        <v>2</v>
      </c>
      <c r="C6" s="757">
        <v>1.42</v>
      </c>
      <c r="D6" s="513">
        <f t="shared" ref="D6:D28" si="1">(C6+C5)/2*$B6</f>
        <v>2.71</v>
      </c>
      <c r="E6" s="513">
        <f>D6*0.88</f>
        <v>2.3847999999999998</v>
      </c>
      <c r="F6" s="757">
        <v>0.09</v>
      </c>
      <c r="G6" s="513">
        <f t="shared" ref="G6:G28" si="2">(F6+F5)/2*$B6</f>
        <v>3.81</v>
      </c>
      <c r="H6" s="513">
        <f>G6*1.15</f>
        <v>4.3815</v>
      </c>
      <c r="I6" s="757">
        <v>0.03</v>
      </c>
      <c r="J6" s="513">
        <f t="shared" ref="J6:J28" si="3">(I6+I5)/2*$B6</f>
        <v>0.03</v>
      </c>
      <c r="K6" s="723">
        <f t="shared" ref="K6:K69" si="4">J6*0.88</f>
        <v>2.64E-2</v>
      </c>
      <c r="L6" s="757">
        <v>0.16</v>
      </c>
      <c r="M6" s="513">
        <f t="shared" ref="M6:M28" si="5">(L6+L5)/2*$B6</f>
        <v>0.16</v>
      </c>
      <c r="N6" s="513">
        <f t="shared" ref="N6:N69" si="6">M6*1.15</f>
        <v>0.184</v>
      </c>
      <c r="O6" s="723">
        <f t="shared" ref="O6:O69" si="7">H6+E6</f>
        <v>6.7662999999999993</v>
      </c>
      <c r="P6" s="757">
        <v>18.68</v>
      </c>
      <c r="Q6" s="513">
        <f t="shared" ref="Q6:Q28" si="8">(P6+P5)/2*$B6</f>
        <v>37.81</v>
      </c>
      <c r="R6" s="513">
        <f t="shared" ref="R6:R28" si="9">MIN(O6,Q6)</f>
        <v>6.7662999999999993</v>
      </c>
      <c r="S6" s="513">
        <f t="shared" ref="S6:S28" si="10">O6-Q6</f>
        <v>-31.043700000000001</v>
      </c>
      <c r="T6" s="513">
        <f t="shared" ref="T6:T28" si="11">S6+T5</f>
        <v>-128.9538</v>
      </c>
      <c r="U6" s="757">
        <v>7.4</v>
      </c>
      <c r="V6" s="513">
        <f t="shared" ref="V6:V69" si="12">(U6+U5)/2*$B6</f>
        <v>14.3</v>
      </c>
      <c r="W6" s="757">
        <v>1.3</v>
      </c>
      <c r="X6" s="513">
        <f t="shared" ref="X6:X28" si="13">(W6+W5)/2*$B6</f>
        <v>1.7000000000000002</v>
      </c>
      <c r="Y6" s="757">
        <v>2.5</v>
      </c>
      <c r="Z6" s="513">
        <f t="shared" si="0"/>
        <v>12.6</v>
      </c>
      <c r="AA6" s="757">
        <v>2.6</v>
      </c>
      <c r="AB6" s="513">
        <f t="shared" ref="AB6:AB28" si="14">(AA6+AA5)/2*$B6</f>
        <v>7.1999999999999993</v>
      </c>
      <c r="AC6" s="753">
        <v>4.5999999999999996</v>
      </c>
      <c r="AD6" s="513">
        <f t="shared" ref="AD6:AD28" si="15">(AC6+AC5)/2*$B6</f>
        <v>9.3999999999999986</v>
      </c>
      <c r="AE6" s="757">
        <v>5.7</v>
      </c>
      <c r="AF6" s="513">
        <f t="shared" ref="AF6:AF28" si="16">(AE6+AE5)/2*$B6</f>
        <v>11.4</v>
      </c>
    </row>
    <row r="7" spans="1:32" s="512" customFormat="1" ht="12.6" customHeight="1">
      <c r="A7" s="756">
        <v>122</v>
      </c>
      <c r="B7" s="756">
        <v>20</v>
      </c>
      <c r="C7" s="757">
        <v>4.82</v>
      </c>
      <c r="D7" s="513">
        <f t="shared" si="1"/>
        <v>62.400000000000006</v>
      </c>
      <c r="E7" s="513">
        <f t="shared" ref="E7:E70" si="17">D7*0.88</f>
        <v>54.912000000000006</v>
      </c>
      <c r="F7" s="757">
        <v>5.59</v>
      </c>
      <c r="G7" s="513">
        <f t="shared" si="2"/>
        <v>56.8</v>
      </c>
      <c r="H7" s="513">
        <f t="shared" ref="H7:H70" si="18">G7*1.15</f>
        <v>65.319999999999993</v>
      </c>
      <c r="I7" s="757">
        <v>0</v>
      </c>
      <c r="J7" s="513">
        <f t="shared" si="3"/>
        <v>0.3</v>
      </c>
      <c r="K7" s="513">
        <f t="shared" si="4"/>
        <v>0.26400000000000001</v>
      </c>
      <c r="L7" s="757">
        <v>0.18</v>
      </c>
      <c r="M7" s="513">
        <f t="shared" si="5"/>
        <v>3.3999999999999995</v>
      </c>
      <c r="N7" s="513">
        <f t="shared" si="6"/>
        <v>3.9099999999999993</v>
      </c>
      <c r="O7" s="513">
        <f t="shared" si="7"/>
        <v>120.232</v>
      </c>
      <c r="P7" s="757">
        <v>1.25</v>
      </c>
      <c r="Q7" s="513">
        <f t="shared" si="8"/>
        <v>199.3</v>
      </c>
      <c r="R7" s="513">
        <f t="shared" si="9"/>
        <v>120.232</v>
      </c>
      <c r="S7" s="513">
        <f t="shared" si="10"/>
        <v>-79.068000000000012</v>
      </c>
      <c r="T7" s="513">
        <f t="shared" si="11"/>
        <v>-208.02180000000001</v>
      </c>
      <c r="U7" s="757">
        <v>6</v>
      </c>
      <c r="V7" s="513">
        <f t="shared" si="12"/>
        <v>134</v>
      </c>
      <c r="W7" s="757">
        <v>1.4</v>
      </c>
      <c r="X7" s="513">
        <f t="shared" si="13"/>
        <v>27</v>
      </c>
      <c r="Y7" s="757">
        <v>5.0999999999999996</v>
      </c>
      <c r="Z7" s="513">
        <f t="shared" si="0"/>
        <v>76</v>
      </c>
      <c r="AA7" s="757">
        <v>6.1</v>
      </c>
      <c r="AB7" s="513">
        <f t="shared" si="14"/>
        <v>87</v>
      </c>
      <c r="AC7" s="753">
        <v>0.6</v>
      </c>
      <c r="AD7" s="513">
        <f t="shared" si="15"/>
        <v>51.999999999999993</v>
      </c>
      <c r="AE7" s="757">
        <v>4</v>
      </c>
      <c r="AF7" s="513">
        <f t="shared" si="16"/>
        <v>97</v>
      </c>
    </row>
    <row r="8" spans="1:32" s="512" customFormat="1" ht="12.6" customHeight="1">
      <c r="A8" s="756">
        <v>123</v>
      </c>
      <c r="B8" s="756">
        <v>20</v>
      </c>
      <c r="C8" s="757">
        <v>4.8600000000000003</v>
      </c>
      <c r="D8" s="513">
        <f t="shared" si="1"/>
        <v>96.8</v>
      </c>
      <c r="E8" s="513">
        <f t="shared" si="17"/>
        <v>85.183999999999997</v>
      </c>
      <c r="F8" s="757">
        <v>5.42</v>
      </c>
      <c r="G8" s="513">
        <f t="shared" si="2"/>
        <v>110.1</v>
      </c>
      <c r="H8" s="513">
        <f t="shared" si="18"/>
        <v>126.61499999999998</v>
      </c>
      <c r="I8" s="757">
        <v>0</v>
      </c>
      <c r="J8" s="513">
        <f t="shared" si="3"/>
        <v>0</v>
      </c>
      <c r="K8" s="723">
        <f t="shared" si="4"/>
        <v>0</v>
      </c>
      <c r="L8" s="757">
        <v>0.18</v>
      </c>
      <c r="M8" s="513">
        <f t="shared" si="5"/>
        <v>3.5999999999999996</v>
      </c>
      <c r="N8" s="513">
        <f t="shared" si="6"/>
        <v>4.1399999999999997</v>
      </c>
      <c r="O8" s="723">
        <f t="shared" si="7"/>
        <v>211.79899999999998</v>
      </c>
      <c r="P8" s="757">
        <v>0.73</v>
      </c>
      <c r="Q8" s="513">
        <f t="shared" si="8"/>
        <v>19.8</v>
      </c>
      <c r="R8" s="513">
        <f t="shared" si="9"/>
        <v>19.8</v>
      </c>
      <c r="S8" s="513">
        <f t="shared" si="10"/>
        <v>191.99899999999997</v>
      </c>
      <c r="T8" s="513">
        <f t="shared" si="11"/>
        <v>-16.022800000000046</v>
      </c>
      <c r="U8" s="757">
        <v>5.0999999999999996</v>
      </c>
      <c r="V8" s="513">
        <f t="shared" si="12"/>
        <v>111</v>
      </c>
      <c r="W8" s="757">
        <v>1.3</v>
      </c>
      <c r="X8" s="513">
        <f t="shared" si="13"/>
        <v>27</v>
      </c>
      <c r="Y8" s="757">
        <v>4.4000000000000004</v>
      </c>
      <c r="Z8" s="513">
        <f t="shared" si="0"/>
        <v>95</v>
      </c>
      <c r="AA8" s="757">
        <v>6.2</v>
      </c>
      <c r="AB8" s="513">
        <f t="shared" si="14"/>
        <v>123</v>
      </c>
      <c r="AC8" s="753">
        <v>0.4</v>
      </c>
      <c r="AD8" s="513">
        <f t="shared" si="15"/>
        <v>10</v>
      </c>
      <c r="AE8" s="757">
        <v>4</v>
      </c>
      <c r="AF8" s="513">
        <f t="shared" si="16"/>
        <v>80</v>
      </c>
    </row>
    <row r="9" spans="1:32" s="512" customFormat="1" ht="12.6" customHeight="1">
      <c r="A9" s="756">
        <v>124</v>
      </c>
      <c r="B9" s="756">
        <v>20</v>
      </c>
      <c r="C9" s="757">
        <v>5</v>
      </c>
      <c r="D9" s="513">
        <f t="shared" si="1"/>
        <v>98.6</v>
      </c>
      <c r="E9" s="513">
        <f t="shared" si="17"/>
        <v>86.768000000000001</v>
      </c>
      <c r="F9" s="757">
        <v>5.79</v>
      </c>
      <c r="G9" s="513">
        <f t="shared" si="2"/>
        <v>112.10000000000001</v>
      </c>
      <c r="H9" s="513">
        <f t="shared" si="18"/>
        <v>128.91499999999999</v>
      </c>
      <c r="I9" s="757">
        <v>0</v>
      </c>
      <c r="J9" s="513">
        <f t="shared" si="3"/>
        <v>0</v>
      </c>
      <c r="K9" s="513">
        <f t="shared" si="4"/>
        <v>0</v>
      </c>
      <c r="L9" s="757">
        <v>0.18</v>
      </c>
      <c r="M9" s="513">
        <f t="shared" si="5"/>
        <v>3.5999999999999996</v>
      </c>
      <c r="N9" s="513">
        <f t="shared" si="6"/>
        <v>4.1399999999999997</v>
      </c>
      <c r="O9" s="513">
        <f t="shared" si="7"/>
        <v>215.68299999999999</v>
      </c>
      <c r="P9" s="757">
        <v>0.42</v>
      </c>
      <c r="Q9" s="513">
        <f t="shared" si="8"/>
        <v>11.5</v>
      </c>
      <c r="R9" s="513">
        <f t="shared" si="9"/>
        <v>11.5</v>
      </c>
      <c r="S9" s="513">
        <f t="shared" si="10"/>
        <v>204.18299999999999</v>
      </c>
      <c r="T9" s="513">
        <f t="shared" si="11"/>
        <v>188.16019999999995</v>
      </c>
      <c r="U9" s="757">
        <v>3.9</v>
      </c>
      <c r="V9" s="513">
        <f t="shared" si="12"/>
        <v>90</v>
      </c>
      <c r="W9" s="757">
        <v>1.3</v>
      </c>
      <c r="X9" s="513">
        <f t="shared" si="13"/>
        <v>26</v>
      </c>
      <c r="Y9" s="757">
        <v>3.3</v>
      </c>
      <c r="Z9" s="513">
        <f t="shared" si="0"/>
        <v>77</v>
      </c>
      <c r="AA9" s="757">
        <v>6.4</v>
      </c>
      <c r="AB9" s="513">
        <f t="shared" si="14"/>
        <v>126.00000000000001</v>
      </c>
      <c r="AC9" s="753">
        <v>0.3</v>
      </c>
      <c r="AD9" s="513">
        <f t="shared" si="15"/>
        <v>7</v>
      </c>
      <c r="AE9" s="757">
        <v>4</v>
      </c>
      <c r="AF9" s="513">
        <f t="shared" si="16"/>
        <v>80</v>
      </c>
    </row>
    <row r="10" spans="1:32" s="512" customFormat="1" ht="12.6" customHeight="1">
      <c r="A10" s="756">
        <v>125</v>
      </c>
      <c r="B10" s="756">
        <v>20</v>
      </c>
      <c r="C10" s="757">
        <v>5.08</v>
      </c>
      <c r="D10" s="513">
        <f t="shared" si="1"/>
        <v>100.8</v>
      </c>
      <c r="E10" s="513">
        <f t="shared" si="17"/>
        <v>88.703999999999994</v>
      </c>
      <c r="F10" s="757">
        <v>6.02</v>
      </c>
      <c r="G10" s="513">
        <f t="shared" si="2"/>
        <v>118.1</v>
      </c>
      <c r="H10" s="513">
        <f t="shared" si="18"/>
        <v>135.81499999999997</v>
      </c>
      <c r="I10" s="757">
        <v>0</v>
      </c>
      <c r="J10" s="513">
        <f t="shared" si="3"/>
        <v>0</v>
      </c>
      <c r="K10" s="723">
        <f t="shared" si="4"/>
        <v>0</v>
      </c>
      <c r="L10" s="757">
        <v>0.18</v>
      </c>
      <c r="M10" s="513">
        <f t="shared" si="5"/>
        <v>3.5999999999999996</v>
      </c>
      <c r="N10" s="513">
        <f t="shared" si="6"/>
        <v>4.1399999999999997</v>
      </c>
      <c r="O10" s="723">
        <f t="shared" si="7"/>
        <v>224.51899999999995</v>
      </c>
      <c r="P10" s="757">
        <v>0.27</v>
      </c>
      <c r="Q10" s="513">
        <f t="shared" si="8"/>
        <v>6.8999999999999995</v>
      </c>
      <c r="R10" s="513">
        <f t="shared" si="9"/>
        <v>6.8999999999999995</v>
      </c>
      <c r="S10" s="513">
        <f t="shared" si="10"/>
        <v>217.61899999999994</v>
      </c>
      <c r="T10" s="513">
        <f t="shared" si="11"/>
        <v>405.77919999999989</v>
      </c>
      <c r="U10" s="757">
        <v>3.1</v>
      </c>
      <c r="V10" s="513">
        <f t="shared" si="12"/>
        <v>70</v>
      </c>
      <c r="W10" s="757">
        <v>1.3</v>
      </c>
      <c r="X10" s="513">
        <f t="shared" si="13"/>
        <v>26</v>
      </c>
      <c r="Y10" s="757">
        <v>2.6</v>
      </c>
      <c r="Z10" s="513">
        <f t="shared" si="0"/>
        <v>59</v>
      </c>
      <c r="AA10" s="757">
        <v>6.5</v>
      </c>
      <c r="AB10" s="513">
        <f t="shared" si="14"/>
        <v>129</v>
      </c>
      <c r="AC10" s="753">
        <v>0.2</v>
      </c>
      <c r="AD10" s="513">
        <f t="shared" si="15"/>
        <v>5</v>
      </c>
      <c r="AE10" s="757">
        <v>4</v>
      </c>
      <c r="AF10" s="513">
        <f t="shared" si="16"/>
        <v>80</v>
      </c>
    </row>
    <row r="11" spans="1:32" s="512" customFormat="1" ht="12.6" customHeight="1">
      <c r="A11" s="756" t="s">
        <v>547</v>
      </c>
      <c r="B11" s="756">
        <v>15</v>
      </c>
      <c r="C11" s="757">
        <v>0.13</v>
      </c>
      <c r="D11" s="513">
        <f t="shared" si="1"/>
        <v>39.075000000000003</v>
      </c>
      <c r="E11" s="513">
        <f t="shared" si="17"/>
        <v>34.386000000000003</v>
      </c>
      <c r="F11" s="757">
        <v>0</v>
      </c>
      <c r="G11" s="513">
        <f t="shared" si="2"/>
        <v>45.15</v>
      </c>
      <c r="H11" s="513">
        <f t="shared" si="18"/>
        <v>51.922499999999992</v>
      </c>
      <c r="I11" s="757">
        <v>0</v>
      </c>
      <c r="J11" s="513">
        <f t="shared" si="3"/>
        <v>0</v>
      </c>
      <c r="K11" s="513">
        <f t="shared" si="4"/>
        <v>0</v>
      </c>
      <c r="L11" s="757">
        <v>0</v>
      </c>
      <c r="M11" s="513">
        <f t="shared" si="5"/>
        <v>1.3499999999999999</v>
      </c>
      <c r="N11" s="513">
        <f t="shared" si="6"/>
        <v>1.5524999999999998</v>
      </c>
      <c r="O11" s="513">
        <f t="shared" si="7"/>
        <v>86.308499999999995</v>
      </c>
      <c r="P11" s="757">
        <v>30.37</v>
      </c>
      <c r="Q11" s="513">
        <f t="shared" si="8"/>
        <v>229.8</v>
      </c>
      <c r="R11" s="513">
        <f t="shared" si="9"/>
        <v>86.308499999999995</v>
      </c>
      <c r="S11" s="513">
        <f t="shared" si="10"/>
        <v>-143.49150000000003</v>
      </c>
      <c r="T11" s="513">
        <f t="shared" si="11"/>
        <v>262.28769999999986</v>
      </c>
      <c r="U11" s="757">
        <v>9.6999999999999993</v>
      </c>
      <c r="V11" s="513">
        <f t="shared" si="12"/>
        <v>95.999999999999986</v>
      </c>
      <c r="W11" s="757">
        <v>0.8</v>
      </c>
      <c r="X11" s="513">
        <f t="shared" si="13"/>
        <v>15.75</v>
      </c>
      <c r="Y11" s="757">
        <v>12.2</v>
      </c>
      <c r="Z11" s="513">
        <f t="shared" si="0"/>
        <v>110.99999999999999</v>
      </c>
      <c r="AA11" s="757">
        <v>0</v>
      </c>
      <c r="AB11" s="513">
        <f t="shared" si="14"/>
        <v>48.75</v>
      </c>
      <c r="AC11" s="753">
        <v>4</v>
      </c>
      <c r="AD11" s="513">
        <f t="shared" si="15"/>
        <v>31.5</v>
      </c>
      <c r="AE11" s="757">
        <v>4</v>
      </c>
      <c r="AF11" s="513">
        <f t="shared" si="16"/>
        <v>60</v>
      </c>
    </row>
    <row r="12" spans="1:32" s="512" customFormat="1" ht="12.6" customHeight="1">
      <c r="A12" s="756">
        <v>126</v>
      </c>
      <c r="B12" s="756">
        <v>5</v>
      </c>
      <c r="C12" s="757">
        <v>5.99</v>
      </c>
      <c r="D12" s="513">
        <f t="shared" si="1"/>
        <v>15.3</v>
      </c>
      <c r="E12" s="513">
        <f t="shared" si="17"/>
        <v>13.464</v>
      </c>
      <c r="F12" s="757">
        <v>9.3000000000000007</v>
      </c>
      <c r="G12" s="513">
        <f t="shared" si="2"/>
        <v>23.25</v>
      </c>
      <c r="H12" s="513">
        <f t="shared" si="18"/>
        <v>26.737499999999997</v>
      </c>
      <c r="I12" s="757">
        <v>0</v>
      </c>
      <c r="J12" s="513">
        <f t="shared" si="3"/>
        <v>0</v>
      </c>
      <c r="K12" s="723">
        <f t="shared" si="4"/>
        <v>0</v>
      </c>
      <c r="L12" s="757">
        <v>0.18</v>
      </c>
      <c r="M12" s="513">
        <f t="shared" si="5"/>
        <v>0.44999999999999996</v>
      </c>
      <c r="N12" s="513">
        <f t="shared" si="6"/>
        <v>0.51749999999999996</v>
      </c>
      <c r="O12" s="723">
        <f t="shared" si="7"/>
        <v>40.201499999999996</v>
      </c>
      <c r="P12" s="757">
        <v>1.2</v>
      </c>
      <c r="Q12" s="513">
        <f t="shared" si="8"/>
        <v>78.924999999999997</v>
      </c>
      <c r="R12" s="513">
        <f t="shared" si="9"/>
        <v>40.201499999999996</v>
      </c>
      <c r="S12" s="513">
        <f t="shared" si="10"/>
        <v>-38.723500000000001</v>
      </c>
      <c r="T12" s="513">
        <f t="shared" si="11"/>
        <v>223.56419999999986</v>
      </c>
      <c r="U12" s="757">
        <v>5.9</v>
      </c>
      <c r="V12" s="513">
        <f t="shared" si="12"/>
        <v>39</v>
      </c>
      <c r="W12" s="757">
        <v>1.3</v>
      </c>
      <c r="X12" s="513">
        <f t="shared" si="13"/>
        <v>5.25</v>
      </c>
      <c r="Y12" s="757">
        <v>5</v>
      </c>
      <c r="Z12" s="513">
        <f t="shared" si="0"/>
        <v>43</v>
      </c>
      <c r="AA12" s="757">
        <v>7.4</v>
      </c>
      <c r="AB12" s="513">
        <f t="shared" si="14"/>
        <v>18.5</v>
      </c>
      <c r="AC12" s="753">
        <v>0.6</v>
      </c>
      <c r="AD12" s="513">
        <f t="shared" si="15"/>
        <v>11.5</v>
      </c>
      <c r="AE12" s="757">
        <v>5</v>
      </c>
      <c r="AF12" s="513">
        <f t="shared" si="16"/>
        <v>22.5</v>
      </c>
    </row>
    <row r="13" spans="1:32" s="512" customFormat="1" ht="12.6" customHeight="1">
      <c r="A13" s="756" t="s">
        <v>548</v>
      </c>
      <c r="B13" s="756">
        <v>12</v>
      </c>
      <c r="C13" s="757">
        <v>1.67</v>
      </c>
      <c r="D13" s="513">
        <f t="shared" si="1"/>
        <v>45.96</v>
      </c>
      <c r="E13" s="513">
        <f t="shared" si="17"/>
        <v>40.444800000000001</v>
      </c>
      <c r="F13" s="757">
        <v>0.21</v>
      </c>
      <c r="G13" s="513">
        <f t="shared" si="2"/>
        <v>57.060000000000009</v>
      </c>
      <c r="H13" s="513">
        <f t="shared" si="18"/>
        <v>65.619</v>
      </c>
      <c r="I13" s="757">
        <v>0</v>
      </c>
      <c r="J13" s="513">
        <f t="shared" si="3"/>
        <v>0</v>
      </c>
      <c r="K13" s="513">
        <f t="shared" si="4"/>
        <v>0</v>
      </c>
      <c r="L13" s="757">
        <v>0.18</v>
      </c>
      <c r="M13" s="513">
        <f t="shared" si="5"/>
        <v>2.16</v>
      </c>
      <c r="N13" s="513">
        <f t="shared" si="6"/>
        <v>2.484</v>
      </c>
      <c r="O13" s="513">
        <f t="shared" si="7"/>
        <v>106.0638</v>
      </c>
      <c r="P13" s="757">
        <v>6.98</v>
      </c>
      <c r="Q13" s="513">
        <f t="shared" si="8"/>
        <v>49.08</v>
      </c>
      <c r="R13" s="513">
        <f t="shared" si="9"/>
        <v>49.08</v>
      </c>
      <c r="S13" s="513">
        <f t="shared" si="10"/>
        <v>56.983800000000002</v>
      </c>
      <c r="T13" s="513">
        <f t="shared" si="11"/>
        <v>280.54799999999989</v>
      </c>
      <c r="U13" s="757">
        <v>3.6</v>
      </c>
      <c r="V13" s="513">
        <f t="shared" si="12"/>
        <v>57</v>
      </c>
      <c r="W13" s="757">
        <v>1.3</v>
      </c>
      <c r="X13" s="513">
        <f t="shared" si="13"/>
        <v>15.600000000000001</v>
      </c>
      <c r="Y13" s="757">
        <v>5.6</v>
      </c>
      <c r="Z13" s="513">
        <f t="shared" si="0"/>
        <v>63.599999999999994</v>
      </c>
      <c r="AA13" s="757">
        <v>2.7</v>
      </c>
      <c r="AB13" s="513">
        <f t="shared" si="14"/>
        <v>60.600000000000009</v>
      </c>
      <c r="AC13" s="753">
        <v>2.7</v>
      </c>
      <c r="AD13" s="513">
        <f t="shared" si="15"/>
        <v>19.8</v>
      </c>
      <c r="AE13" s="757">
        <v>4</v>
      </c>
      <c r="AF13" s="513">
        <f t="shared" si="16"/>
        <v>54</v>
      </c>
    </row>
    <row r="14" spans="1:32" s="512" customFormat="1" ht="12.6" customHeight="1">
      <c r="A14" s="756">
        <v>127</v>
      </c>
      <c r="B14" s="756">
        <v>8</v>
      </c>
      <c r="C14" s="757">
        <v>5.78</v>
      </c>
      <c r="D14" s="513">
        <f>(C14+C13)/2*$B14</f>
        <v>29.8</v>
      </c>
      <c r="E14" s="513">
        <f t="shared" si="17"/>
        <v>26.224</v>
      </c>
      <c r="F14" s="757">
        <v>7.72</v>
      </c>
      <c r="G14" s="513">
        <f t="shared" si="2"/>
        <v>31.72</v>
      </c>
      <c r="H14" s="513">
        <f t="shared" si="18"/>
        <v>36.477999999999994</v>
      </c>
      <c r="I14" s="757">
        <v>0</v>
      </c>
      <c r="J14" s="513">
        <f t="shared" si="3"/>
        <v>0</v>
      </c>
      <c r="K14" s="723">
        <f t="shared" si="4"/>
        <v>0</v>
      </c>
      <c r="L14" s="757">
        <v>0.18</v>
      </c>
      <c r="M14" s="513">
        <f t="shared" si="5"/>
        <v>1.44</v>
      </c>
      <c r="N14" s="513">
        <f t="shared" si="6"/>
        <v>1.6559999999999999</v>
      </c>
      <c r="O14" s="723">
        <f t="shared" si="7"/>
        <v>62.701999999999998</v>
      </c>
      <c r="P14" s="757">
        <v>4.93</v>
      </c>
      <c r="Q14" s="513">
        <f t="shared" si="8"/>
        <v>47.64</v>
      </c>
      <c r="R14" s="513">
        <f t="shared" si="9"/>
        <v>47.64</v>
      </c>
      <c r="S14" s="513">
        <f t="shared" si="10"/>
        <v>15.061999999999998</v>
      </c>
      <c r="T14" s="513">
        <f t="shared" si="11"/>
        <v>295.6099999999999</v>
      </c>
      <c r="U14" s="757">
        <v>8.1</v>
      </c>
      <c r="V14" s="513">
        <f t="shared" si="12"/>
        <v>46.8</v>
      </c>
      <c r="W14" s="757">
        <v>1.3</v>
      </c>
      <c r="X14" s="513">
        <f t="shared" si="13"/>
        <v>10.4</v>
      </c>
      <c r="Y14" s="757">
        <v>7.8</v>
      </c>
      <c r="Z14" s="513">
        <f t="shared" si="0"/>
        <v>53.599999999999994</v>
      </c>
      <c r="AA14" s="757">
        <v>7.3</v>
      </c>
      <c r="AB14" s="513">
        <f t="shared" si="14"/>
        <v>40</v>
      </c>
      <c r="AC14" s="753">
        <v>1.8</v>
      </c>
      <c r="AD14" s="513">
        <f t="shared" si="15"/>
        <v>18</v>
      </c>
      <c r="AE14" s="757">
        <v>6.2</v>
      </c>
      <c r="AF14" s="513">
        <f t="shared" si="16"/>
        <v>40.799999999999997</v>
      </c>
    </row>
    <row r="15" spans="1:32" s="512" customFormat="1" ht="12.6" customHeight="1">
      <c r="A15" s="756">
        <v>128</v>
      </c>
      <c r="B15" s="756">
        <v>20</v>
      </c>
      <c r="C15" s="757">
        <v>14.55</v>
      </c>
      <c r="D15" s="513">
        <f t="shared" si="1"/>
        <v>203.3</v>
      </c>
      <c r="E15" s="513">
        <f t="shared" si="17"/>
        <v>178.90400000000002</v>
      </c>
      <c r="F15" s="757">
        <v>23.63</v>
      </c>
      <c r="G15" s="513">
        <f t="shared" si="2"/>
        <v>313.5</v>
      </c>
      <c r="H15" s="513">
        <f t="shared" si="18"/>
        <v>360.52499999999998</v>
      </c>
      <c r="I15" s="757">
        <v>0</v>
      </c>
      <c r="J15" s="513">
        <f t="shared" si="3"/>
        <v>0</v>
      </c>
      <c r="K15" s="513">
        <f t="shared" si="4"/>
        <v>0</v>
      </c>
      <c r="L15" s="757">
        <v>0.18</v>
      </c>
      <c r="M15" s="513">
        <f t="shared" si="5"/>
        <v>3.5999999999999996</v>
      </c>
      <c r="N15" s="513">
        <f t="shared" si="6"/>
        <v>4.1399999999999997</v>
      </c>
      <c r="O15" s="513">
        <f t="shared" si="7"/>
        <v>539.42899999999997</v>
      </c>
      <c r="P15" s="757">
        <v>0</v>
      </c>
      <c r="Q15" s="513">
        <f t="shared" si="8"/>
        <v>49.3</v>
      </c>
      <c r="R15" s="513">
        <f t="shared" si="9"/>
        <v>49.3</v>
      </c>
      <c r="S15" s="513">
        <f t="shared" si="10"/>
        <v>490.12899999999996</v>
      </c>
      <c r="T15" s="513">
        <f t="shared" si="11"/>
        <v>785.73899999999981</v>
      </c>
      <c r="U15" s="757">
        <v>0</v>
      </c>
      <c r="V15" s="513">
        <f t="shared" si="12"/>
        <v>81</v>
      </c>
      <c r="W15" s="757">
        <v>2.1</v>
      </c>
      <c r="X15" s="513">
        <f t="shared" si="13"/>
        <v>34</v>
      </c>
      <c r="Y15" s="757">
        <v>0</v>
      </c>
      <c r="Z15" s="513">
        <f t="shared" si="0"/>
        <v>78</v>
      </c>
      <c r="AA15" s="757">
        <v>11</v>
      </c>
      <c r="AB15" s="513">
        <f t="shared" si="14"/>
        <v>183</v>
      </c>
      <c r="AC15" s="753">
        <v>0</v>
      </c>
      <c r="AD15" s="513">
        <f t="shared" si="15"/>
        <v>18</v>
      </c>
      <c r="AE15" s="757">
        <v>6.2</v>
      </c>
      <c r="AF15" s="513">
        <f t="shared" si="16"/>
        <v>124</v>
      </c>
    </row>
    <row r="16" spans="1:32" s="512" customFormat="1" ht="12.6" customHeight="1">
      <c r="A16" s="756">
        <v>129</v>
      </c>
      <c r="B16" s="756">
        <v>20</v>
      </c>
      <c r="C16" s="757">
        <v>5.95</v>
      </c>
      <c r="D16" s="513">
        <f t="shared" si="1"/>
        <v>205</v>
      </c>
      <c r="E16" s="513">
        <f t="shared" si="17"/>
        <v>180.4</v>
      </c>
      <c r="F16" s="757">
        <v>10.27</v>
      </c>
      <c r="G16" s="513">
        <f t="shared" si="2"/>
        <v>339</v>
      </c>
      <c r="H16" s="513">
        <f t="shared" si="18"/>
        <v>389.84999999999997</v>
      </c>
      <c r="I16" s="757">
        <v>0</v>
      </c>
      <c r="J16" s="513">
        <f t="shared" si="3"/>
        <v>0</v>
      </c>
      <c r="K16" s="723">
        <f t="shared" si="4"/>
        <v>0</v>
      </c>
      <c r="L16" s="757">
        <v>0.18</v>
      </c>
      <c r="M16" s="513">
        <f t="shared" si="5"/>
        <v>3.5999999999999996</v>
      </c>
      <c r="N16" s="513">
        <f t="shared" si="6"/>
        <v>4.1399999999999997</v>
      </c>
      <c r="O16" s="723">
        <f t="shared" si="7"/>
        <v>570.25</v>
      </c>
      <c r="P16" s="757">
        <v>0</v>
      </c>
      <c r="Q16" s="513">
        <f t="shared" si="8"/>
        <v>0</v>
      </c>
      <c r="R16" s="513">
        <f t="shared" si="9"/>
        <v>0</v>
      </c>
      <c r="S16" s="513">
        <f t="shared" si="10"/>
        <v>570.25</v>
      </c>
      <c r="T16" s="513">
        <f t="shared" si="11"/>
        <v>1355.9889999999998</v>
      </c>
      <c r="U16" s="757">
        <v>0</v>
      </c>
      <c r="V16" s="513">
        <f t="shared" si="12"/>
        <v>0</v>
      </c>
      <c r="W16" s="757">
        <v>1.3</v>
      </c>
      <c r="X16" s="513">
        <f t="shared" si="13"/>
        <v>34</v>
      </c>
      <c r="Y16" s="757">
        <v>0</v>
      </c>
      <c r="Z16" s="513">
        <f t="shared" si="0"/>
        <v>0</v>
      </c>
      <c r="AA16" s="757">
        <v>7.2</v>
      </c>
      <c r="AB16" s="513">
        <f t="shared" si="14"/>
        <v>182</v>
      </c>
      <c r="AC16" s="753">
        <v>0</v>
      </c>
      <c r="AD16" s="513">
        <f t="shared" si="15"/>
        <v>0</v>
      </c>
      <c r="AE16" s="757">
        <v>4</v>
      </c>
      <c r="AF16" s="513">
        <f t="shared" si="16"/>
        <v>102</v>
      </c>
    </row>
    <row r="17" spans="1:32" s="512" customFormat="1" ht="12.6" customHeight="1">
      <c r="A17" s="756">
        <v>130</v>
      </c>
      <c r="B17" s="756">
        <v>20</v>
      </c>
      <c r="C17" s="757">
        <v>5.23</v>
      </c>
      <c r="D17" s="513">
        <f t="shared" si="1"/>
        <v>111.8</v>
      </c>
      <c r="E17" s="513">
        <f t="shared" si="17"/>
        <v>98.384</v>
      </c>
      <c r="F17" s="757">
        <v>3.35</v>
      </c>
      <c r="G17" s="513">
        <f t="shared" si="2"/>
        <v>136.19999999999999</v>
      </c>
      <c r="H17" s="513">
        <f t="shared" si="18"/>
        <v>156.62999999999997</v>
      </c>
      <c r="I17" s="757">
        <v>0</v>
      </c>
      <c r="J17" s="513">
        <f t="shared" si="3"/>
        <v>0</v>
      </c>
      <c r="K17" s="513">
        <f t="shared" si="4"/>
        <v>0</v>
      </c>
      <c r="L17" s="757">
        <v>0.18</v>
      </c>
      <c r="M17" s="513">
        <f t="shared" si="5"/>
        <v>3.5999999999999996</v>
      </c>
      <c r="N17" s="513">
        <f t="shared" si="6"/>
        <v>4.1399999999999997</v>
      </c>
      <c r="O17" s="513">
        <f t="shared" si="7"/>
        <v>255.01399999999995</v>
      </c>
      <c r="P17" s="757">
        <v>1.69</v>
      </c>
      <c r="Q17" s="513">
        <f t="shared" si="8"/>
        <v>16.899999999999999</v>
      </c>
      <c r="R17" s="513">
        <f t="shared" si="9"/>
        <v>16.899999999999999</v>
      </c>
      <c r="S17" s="513">
        <f t="shared" si="10"/>
        <v>238.11399999999995</v>
      </c>
      <c r="T17" s="513">
        <f t="shared" si="11"/>
        <v>1594.1029999999998</v>
      </c>
      <c r="U17" s="757">
        <v>6.3</v>
      </c>
      <c r="V17" s="513">
        <f t="shared" si="12"/>
        <v>63</v>
      </c>
      <c r="W17" s="757">
        <v>1.6</v>
      </c>
      <c r="X17" s="513">
        <f t="shared" si="13"/>
        <v>29.000000000000004</v>
      </c>
      <c r="Y17" s="757">
        <v>5.6</v>
      </c>
      <c r="Z17" s="513">
        <f t="shared" si="0"/>
        <v>56</v>
      </c>
      <c r="AA17" s="757">
        <v>5.7</v>
      </c>
      <c r="AB17" s="513">
        <f t="shared" si="14"/>
        <v>129</v>
      </c>
      <c r="AC17" s="753">
        <v>0.7</v>
      </c>
      <c r="AD17" s="513">
        <f t="shared" si="15"/>
        <v>7</v>
      </c>
      <c r="AE17" s="757">
        <v>4</v>
      </c>
      <c r="AF17" s="513">
        <f t="shared" si="16"/>
        <v>80</v>
      </c>
    </row>
    <row r="18" spans="1:32" s="512" customFormat="1" ht="12.6" customHeight="1">
      <c r="A18" s="756">
        <v>131</v>
      </c>
      <c r="B18" s="756">
        <v>20</v>
      </c>
      <c r="C18" s="757">
        <v>4.54</v>
      </c>
      <c r="D18" s="513">
        <f t="shared" si="1"/>
        <v>97.699999999999989</v>
      </c>
      <c r="E18" s="513">
        <f t="shared" si="17"/>
        <v>85.975999999999985</v>
      </c>
      <c r="F18" s="757">
        <v>4.99</v>
      </c>
      <c r="G18" s="513">
        <f t="shared" si="2"/>
        <v>83.4</v>
      </c>
      <c r="H18" s="513">
        <f t="shared" si="18"/>
        <v>95.91</v>
      </c>
      <c r="I18" s="757">
        <v>0</v>
      </c>
      <c r="J18" s="513">
        <f t="shared" si="3"/>
        <v>0</v>
      </c>
      <c r="K18" s="723">
        <f t="shared" si="4"/>
        <v>0</v>
      </c>
      <c r="L18" s="757">
        <v>0.18</v>
      </c>
      <c r="M18" s="513">
        <f t="shared" si="5"/>
        <v>3.5999999999999996</v>
      </c>
      <c r="N18" s="513">
        <f t="shared" si="6"/>
        <v>4.1399999999999997</v>
      </c>
      <c r="O18" s="723">
        <f t="shared" si="7"/>
        <v>181.88599999999997</v>
      </c>
      <c r="P18" s="757">
        <v>0.89</v>
      </c>
      <c r="Q18" s="513">
        <f t="shared" si="8"/>
        <v>25.8</v>
      </c>
      <c r="R18" s="513">
        <f t="shared" si="9"/>
        <v>25.8</v>
      </c>
      <c r="S18" s="513">
        <f t="shared" si="10"/>
        <v>156.08599999999996</v>
      </c>
      <c r="T18" s="513">
        <f t="shared" si="11"/>
        <v>1750.1889999999999</v>
      </c>
      <c r="U18" s="757">
        <v>4.3</v>
      </c>
      <c r="V18" s="513">
        <f t="shared" si="12"/>
        <v>106</v>
      </c>
      <c r="W18" s="757">
        <v>0.5</v>
      </c>
      <c r="X18" s="513">
        <f t="shared" si="13"/>
        <v>21</v>
      </c>
      <c r="Y18" s="757">
        <v>3.9</v>
      </c>
      <c r="Z18" s="513">
        <f t="shared" si="0"/>
        <v>95</v>
      </c>
      <c r="AA18" s="757">
        <v>6</v>
      </c>
      <c r="AB18" s="513">
        <f t="shared" si="14"/>
        <v>117</v>
      </c>
      <c r="AC18" s="753">
        <v>0.6</v>
      </c>
      <c r="AD18" s="513">
        <f t="shared" si="15"/>
        <v>12.999999999999998</v>
      </c>
      <c r="AE18" s="757">
        <v>4</v>
      </c>
      <c r="AF18" s="513">
        <f t="shared" si="16"/>
        <v>80</v>
      </c>
    </row>
    <row r="19" spans="1:32" s="512" customFormat="1" ht="12.6" customHeight="1">
      <c r="A19" s="756">
        <v>132</v>
      </c>
      <c r="B19" s="756">
        <v>20</v>
      </c>
      <c r="C19" s="757">
        <v>6.1</v>
      </c>
      <c r="D19" s="513">
        <f t="shared" si="1"/>
        <v>106.4</v>
      </c>
      <c r="E19" s="513">
        <f t="shared" si="17"/>
        <v>93.632000000000005</v>
      </c>
      <c r="F19" s="757">
        <v>10.77</v>
      </c>
      <c r="G19" s="513">
        <f t="shared" si="2"/>
        <v>157.6</v>
      </c>
      <c r="H19" s="513">
        <f t="shared" si="18"/>
        <v>181.23999999999998</v>
      </c>
      <c r="I19" s="757">
        <v>0</v>
      </c>
      <c r="J19" s="513">
        <f t="shared" si="3"/>
        <v>0</v>
      </c>
      <c r="K19" s="513">
        <f t="shared" si="4"/>
        <v>0</v>
      </c>
      <c r="L19" s="757">
        <v>0.18</v>
      </c>
      <c r="M19" s="513">
        <f t="shared" si="5"/>
        <v>3.5999999999999996</v>
      </c>
      <c r="N19" s="513">
        <f t="shared" si="6"/>
        <v>4.1399999999999997</v>
      </c>
      <c r="O19" s="513">
        <f t="shared" si="7"/>
        <v>274.87199999999996</v>
      </c>
      <c r="P19" s="757">
        <v>0</v>
      </c>
      <c r="Q19" s="513">
        <f t="shared" si="8"/>
        <v>8.9</v>
      </c>
      <c r="R19" s="513">
        <f t="shared" si="9"/>
        <v>8.9</v>
      </c>
      <c r="S19" s="513">
        <f t="shared" si="10"/>
        <v>265.97199999999998</v>
      </c>
      <c r="T19" s="513">
        <f t="shared" si="11"/>
        <v>2016.1609999999998</v>
      </c>
      <c r="U19" s="757">
        <v>0</v>
      </c>
      <c r="V19" s="513">
        <f t="shared" si="12"/>
        <v>43</v>
      </c>
      <c r="W19" s="757">
        <v>0.6</v>
      </c>
      <c r="X19" s="513">
        <f t="shared" si="13"/>
        <v>11</v>
      </c>
      <c r="Y19" s="757">
        <v>0</v>
      </c>
      <c r="Z19" s="513">
        <f t="shared" si="0"/>
        <v>39</v>
      </c>
      <c r="AA19" s="757">
        <v>7.5</v>
      </c>
      <c r="AB19" s="513">
        <f t="shared" si="14"/>
        <v>135</v>
      </c>
      <c r="AC19" s="753">
        <v>0</v>
      </c>
      <c r="AD19" s="513">
        <f t="shared" si="15"/>
        <v>6</v>
      </c>
      <c r="AE19" s="757">
        <v>4</v>
      </c>
      <c r="AF19" s="513">
        <f t="shared" si="16"/>
        <v>80</v>
      </c>
    </row>
    <row r="20" spans="1:32" s="512" customFormat="1" ht="12.6" customHeight="1">
      <c r="A20" s="756">
        <v>133</v>
      </c>
      <c r="B20" s="756">
        <v>20</v>
      </c>
      <c r="C20" s="757">
        <v>2.98</v>
      </c>
      <c r="D20" s="513">
        <f t="shared" si="1"/>
        <v>90.8</v>
      </c>
      <c r="E20" s="513">
        <f t="shared" si="17"/>
        <v>79.903999999999996</v>
      </c>
      <c r="F20" s="757">
        <v>14.39</v>
      </c>
      <c r="G20" s="513">
        <f t="shared" si="2"/>
        <v>251.6</v>
      </c>
      <c r="H20" s="513">
        <f t="shared" si="18"/>
        <v>289.33999999999997</v>
      </c>
      <c r="I20" s="757">
        <v>0</v>
      </c>
      <c r="J20" s="513">
        <f t="shared" si="3"/>
        <v>0</v>
      </c>
      <c r="K20" s="723">
        <f t="shared" si="4"/>
        <v>0</v>
      </c>
      <c r="L20" s="757">
        <v>0.18</v>
      </c>
      <c r="M20" s="513">
        <f t="shared" si="5"/>
        <v>3.5999999999999996</v>
      </c>
      <c r="N20" s="513">
        <f t="shared" si="6"/>
        <v>4.1399999999999997</v>
      </c>
      <c r="O20" s="723">
        <f t="shared" si="7"/>
        <v>369.24399999999997</v>
      </c>
      <c r="P20" s="757">
        <v>0</v>
      </c>
      <c r="Q20" s="513">
        <f t="shared" si="8"/>
        <v>0</v>
      </c>
      <c r="R20" s="513">
        <f t="shared" si="9"/>
        <v>0</v>
      </c>
      <c r="S20" s="513">
        <f t="shared" si="10"/>
        <v>369.24399999999997</v>
      </c>
      <c r="T20" s="513">
        <f t="shared" si="11"/>
        <v>2385.4049999999997</v>
      </c>
      <c r="U20" s="757">
        <v>0</v>
      </c>
      <c r="V20" s="513">
        <f t="shared" si="12"/>
        <v>0</v>
      </c>
      <c r="W20" s="757">
        <v>0.6</v>
      </c>
      <c r="X20" s="513">
        <f t="shared" si="13"/>
        <v>12</v>
      </c>
      <c r="Y20" s="757">
        <v>0</v>
      </c>
      <c r="Z20" s="513">
        <f t="shared" si="0"/>
        <v>0</v>
      </c>
      <c r="AA20" s="757">
        <v>7.6</v>
      </c>
      <c r="AB20" s="513">
        <f t="shared" si="14"/>
        <v>151</v>
      </c>
      <c r="AC20" s="753">
        <v>0</v>
      </c>
      <c r="AD20" s="513">
        <f t="shared" si="15"/>
        <v>0</v>
      </c>
      <c r="AE20" s="757">
        <v>4</v>
      </c>
      <c r="AF20" s="513">
        <f t="shared" si="16"/>
        <v>80</v>
      </c>
    </row>
    <row r="21" spans="1:32" s="512" customFormat="1" ht="12.6" customHeight="1">
      <c r="A21" s="756">
        <v>134</v>
      </c>
      <c r="B21" s="756">
        <v>20</v>
      </c>
      <c r="C21" s="757">
        <v>4.88</v>
      </c>
      <c r="D21" s="513">
        <f t="shared" si="1"/>
        <v>78.599999999999994</v>
      </c>
      <c r="E21" s="513">
        <f t="shared" si="17"/>
        <v>69.167999999999992</v>
      </c>
      <c r="F21" s="757">
        <v>5.46</v>
      </c>
      <c r="G21" s="513">
        <f t="shared" si="2"/>
        <v>198.5</v>
      </c>
      <c r="H21" s="513">
        <f t="shared" si="18"/>
        <v>228.27499999999998</v>
      </c>
      <c r="I21" s="757">
        <v>0</v>
      </c>
      <c r="J21" s="513">
        <f t="shared" si="3"/>
        <v>0</v>
      </c>
      <c r="K21" s="513">
        <f t="shared" si="4"/>
        <v>0</v>
      </c>
      <c r="L21" s="757">
        <v>0.18</v>
      </c>
      <c r="M21" s="513">
        <f t="shared" si="5"/>
        <v>3.5999999999999996</v>
      </c>
      <c r="N21" s="513">
        <f t="shared" si="6"/>
        <v>4.1399999999999997</v>
      </c>
      <c r="O21" s="513">
        <f t="shared" si="7"/>
        <v>297.44299999999998</v>
      </c>
      <c r="P21" s="757">
        <v>0.68</v>
      </c>
      <c r="Q21" s="513">
        <f t="shared" si="8"/>
        <v>6.8000000000000007</v>
      </c>
      <c r="R21" s="513">
        <f t="shared" si="9"/>
        <v>6.8000000000000007</v>
      </c>
      <c r="S21" s="513">
        <f t="shared" si="10"/>
        <v>290.64299999999997</v>
      </c>
      <c r="T21" s="513">
        <f t="shared" si="11"/>
        <v>2676.0479999999998</v>
      </c>
      <c r="U21" s="757">
        <v>4.9000000000000004</v>
      </c>
      <c r="V21" s="513">
        <f t="shared" si="12"/>
        <v>49</v>
      </c>
      <c r="W21" s="757">
        <v>1.3</v>
      </c>
      <c r="X21" s="513">
        <f t="shared" si="13"/>
        <v>19</v>
      </c>
      <c r="Y21" s="757">
        <v>4.2</v>
      </c>
      <c r="Z21" s="513">
        <f t="shared" si="0"/>
        <v>42</v>
      </c>
      <c r="AA21" s="757">
        <v>6.2</v>
      </c>
      <c r="AB21" s="513">
        <f>(AA21+AA20)/2*$B21</f>
        <v>138</v>
      </c>
      <c r="AC21" s="753">
        <v>0.4</v>
      </c>
      <c r="AD21" s="513">
        <f t="shared" si="15"/>
        <v>4</v>
      </c>
      <c r="AE21" s="757">
        <v>4</v>
      </c>
      <c r="AF21" s="513">
        <f t="shared" si="16"/>
        <v>80</v>
      </c>
    </row>
    <row r="22" spans="1:32" s="512" customFormat="1" ht="12.6" customHeight="1">
      <c r="A22" s="756">
        <v>135</v>
      </c>
      <c r="B22" s="756">
        <v>20</v>
      </c>
      <c r="C22" s="757">
        <v>2.5099999999999998</v>
      </c>
      <c r="D22" s="513">
        <f t="shared" si="1"/>
        <v>73.899999999999991</v>
      </c>
      <c r="E22" s="513">
        <f t="shared" si="17"/>
        <v>65.031999999999996</v>
      </c>
      <c r="F22" s="757">
        <v>0.74</v>
      </c>
      <c r="G22" s="513">
        <f t="shared" si="2"/>
        <v>62</v>
      </c>
      <c r="H22" s="513">
        <f t="shared" si="18"/>
        <v>71.3</v>
      </c>
      <c r="I22" s="757">
        <v>0</v>
      </c>
      <c r="J22" s="513">
        <f t="shared" si="3"/>
        <v>0</v>
      </c>
      <c r="K22" s="723">
        <f t="shared" si="4"/>
        <v>0</v>
      </c>
      <c r="L22" s="757">
        <v>0.18</v>
      </c>
      <c r="M22" s="513">
        <f t="shared" si="5"/>
        <v>3.5999999999999996</v>
      </c>
      <c r="N22" s="513">
        <f t="shared" si="6"/>
        <v>4.1399999999999997</v>
      </c>
      <c r="O22" s="723">
        <f t="shared" si="7"/>
        <v>136.33199999999999</v>
      </c>
      <c r="P22" s="757">
        <v>4.07</v>
      </c>
      <c r="Q22" s="513">
        <f t="shared" si="8"/>
        <v>47.5</v>
      </c>
      <c r="R22" s="513">
        <f t="shared" si="9"/>
        <v>47.5</v>
      </c>
      <c r="S22" s="513">
        <f t="shared" si="10"/>
        <v>88.831999999999994</v>
      </c>
      <c r="T22" s="513">
        <f t="shared" si="11"/>
        <v>2764.8799999999997</v>
      </c>
      <c r="U22" s="757">
        <v>6.5</v>
      </c>
      <c r="V22" s="513">
        <f t="shared" si="12"/>
        <v>114</v>
      </c>
      <c r="W22" s="757">
        <v>1.2</v>
      </c>
      <c r="X22" s="513">
        <f t="shared" si="13"/>
        <v>25</v>
      </c>
      <c r="Y22" s="757">
        <v>6.9</v>
      </c>
      <c r="Z22" s="513">
        <f t="shared" si="0"/>
        <v>111.00000000000001</v>
      </c>
      <c r="AA22" s="757">
        <v>3.7</v>
      </c>
      <c r="AB22" s="513">
        <f t="shared" si="14"/>
        <v>99</v>
      </c>
      <c r="AC22" s="753">
        <v>1.9</v>
      </c>
      <c r="AD22" s="513">
        <f t="shared" si="15"/>
        <v>23</v>
      </c>
      <c r="AE22" s="757">
        <v>4</v>
      </c>
      <c r="AF22" s="513">
        <f t="shared" si="16"/>
        <v>80</v>
      </c>
    </row>
    <row r="23" spans="1:32" s="512" customFormat="1" ht="12.6" customHeight="1">
      <c r="A23" s="756" t="s">
        <v>520</v>
      </c>
      <c r="B23" s="756">
        <v>14</v>
      </c>
      <c r="C23" s="757">
        <v>0</v>
      </c>
      <c r="D23" s="513">
        <f t="shared" si="1"/>
        <v>17.57</v>
      </c>
      <c r="E23" s="513">
        <f t="shared" si="17"/>
        <v>15.461600000000001</v>
      </c>
      <c r="F23" s="757">
        <v>0</v>
      </c>
      <c r="G23" s="513">
        <f t="shared" si="2"/>
        <v>5.18</v>
      </c>
      <c r="H23" s="513">
        <f t="shared" si="18"/>
        <v>5.956999999999999</v>
      </c>
      <c r="I23" s="757">
        <v>0</v>
      </c>
      <c r="J23" s="513">
        <f t="shared" si="3"/>
        <v>0</v>
      </c>
      <c r="K23" s="513">
        <f t="shared" si="4"/>
        <v>0</v>
      </c>
      <c r="L23" s="757">
        <v>0</v>
      </c>
      <c r="M23" s="513">
        <f t="shared" si="5"/>
        <v>1.26</v>
      </c>
      <c r="N23" s="513">
        <f t="shared" si="6"/>
        <v>1.4489999999999998</v>
      </c>
      <c r="O23" s="513">
        <f t="shared" si="7"/>
        <v>21.418599999999998</v>
      </c>
      <c r="P23" s="757">
        <v>67.52</v>
      </c>
      <c r="Q23" s="513">
        <f t="shared" si="8"/>
        <v>501.13</v>
      </c>
      <c r="R23" s="513">
        <f t="shared" si="9"/>
        <v>21.418599999999998</v>
      </c>
      <c r="S23" s="513">
        <f t="shared" si="10"/>
        <v>-479.71140000000003</v>
      </c>
      <c r="T23" s="513">
        <f t="shared" si="11"/>
        <v>2285.1685999999995</v>
      </c>
      <c r="U23" s="757">
        <v>11.8</v>
      </c>
      <c r="V23" s="513">
        <f t="shared" si="12"/>
        <v>128.1</v>
      </c>
      <c r="W23" s="757">
        <v>0</v>
      </c>
      <c r="X23" s="513">
        <f t="shared" si="13"/>
        <v>8.4</v>
      </c>
      <c r="Y23" s="757">
        <v>14.5</v>
      </c>
      <c r="Z23" s="513">
        <f t="shared" si="0"/>
        <v>149.79999999999998</v>
      </c>
      <c r="AA23" s="757">
        <v>0</v>
      </c>
      <c r="AB23" s="513">
        <f t="shared" si="14"/>
        <v>25.900000000000002</v>
      </c>
      <c r="AC23" s="753">
        <v>4</v>
      </c>
      <c r="AD23" s="513">
        <f t="shared" si="15"/>
        <v>41.300000000000004</v>
      </c>
      <c r="AE23" s="757">
        <v>4</v>
      </c>
      <c r="AF23" s="513">
        <f t="shared" si="16"/>
        <v>56</v>
      </c>
    </row>
    <row r="24" spans="1:32" s="512" customFormat="1" ht="12.6" customHeight="1">
      <c r="A24" s="756">
        <v>136</v>
      </c>
      <c r="B24" s="756">
        <v>6</v>
      </c>
      <c r="C24" s="757">
        <v>0</v>
      </c>
      <c r="D24" s="513">
        <f t="shared" si="1"/>
        <v>0</v>
      </c>
      <c r="E24" s="513">
        <f t="shared" si="17"/>
        <v>0</v>
      </c>
      <c r="F24" s="757">
        <v>0</v>
      </c>
      <c r="G24" s="513">
        <f t="shared" si="2"/>
        <v>0</v>
      </c>
      <c r="H24" s="513">
        <f t="shared" si="18"/>
        <v>0</v>
      </c>
      <c r="I24" s="757">
        <v>0</v>
      </c>
      <c r="J24" s="513">
        <f t="shared" si="3"/>
        <v>0</v>
      </c>
      <c r="K24" s="723">
        <f t="shared" si="4"/>
        <v>0</v>
      </c>
      <c r="L24" s="757">
        <v>0</v>
      </c>
      <c r="M24" s="513">
        <f t="shared" si="5"/>
        <v>0</v>
      </c>
      <c r="N24" s="513">
        <f t="shared" si="6"/>
        <v>0</v>
      </c>
      <c r="O24" s="723">
        <f t="shared" si="7"/>
        <v>0</v>
      </c>
      <c r="P24" s="757">
        <v>32.44</v>
      </c>
      <c r="Q24" s="513">
        <f t="shared" si="8"/>
        <v>299.88</v>
      </c>
      <c r="R24" s="513">
        <f t="shared" si="9"/>
        <v>0</v>
      </c>
      <c r="S24" s="513">
        <f t="shared" si="10"/>
        <v>-299.88</v>
      </c>
      <c r="T24" s="513">
        <f t="shared" si="11"/>
        <v>1985.2885999999994</v>
      </c>
      <c r="U24" s="757">
        <v>9</v>
      </c>
      <c r="V24" s="513">
        <f t="shared" si="12"/>
        <v>62.400000000000006</v>
      </c>
      <c r="W24" s="757">
        <v>0</v>
      </c>
      <c r="X24" s="513">
        <f t="shared" si="13"/>
        <v>0</v>
      </c>
      <c r="Y24" s="757">
        <v>10.9</v>
      </c>
      <c r="Z24" s="513">
        <f t="shared" si="0"/>
        <v>76.199999999999989</v>
      </c>
      <c r="AA24" s="757">
        <v>0</v>
      </c>
      <c r="AB24" s="513">
        <f t="shared" si="14"/>
        <v>0</v>
      </c>
      <c r="AC24" s="753">
        <v>0</v>
      </c>
      <c r="AD24" s="513">
        <f t="shared" si="15"/>
        <v>12</v>
      </c>
      <c r="AE24" s="757">
        <v>4</v>
      </c>
      <c r="AF24" s="513">
        <f t="shared" si="16"/>
        <v>24</v>
      </c>
    </row>
    <row r="25" spans="1:32" s="512" customFormat="1" ht="12.6" customHeight="1">
      <c r="A25" s="756" t="s">
        <v>522</v>
      </c>
      <c r="B25" s="756">
        <v>13</v>
      </c>
      <c r="C25" s="757">
        <v>0</v>
      </c>
      <c r="D25" s="513">
        <f t="shared" si="1"/>
        <v>0</v>
      </c>
      <c r="E25" s="513">
        <f t="shared" si="17"/>
        <v>0</v>
      </c>
      <c r="F25" s="757">
        <v>0</v>
      </c>
      <c r="G25" s="513">
        <f t="shared" si="2"/>
        <v>0</v>
      </c>
      <c r="H25" s="513">
        <f t="shared" si="18"/>
        <v>0</v>
      </c>
      <c r="I25" s="757">
        <v>0</v>
      </c>
      <c r="J25" s="513">
        <f t="shared" si="3"/>
        <v>0</v>
      </c>
      <c r="K25" s="513">
        <f t="shared" si="4"/>
        <v>0</v>
      </c>
      <c r="L25" s="757">
        <v>0</v>
      </c>
      <c r="M25" s="513">
        <f t="shared" si="5"/>
        <v>0</v>
      </c>
      <c r="N25" s="513">
        <f t="shared" si="6"/>
        <v>0</v>
      </c>
      <c r="O25" s="513">
        <f t="shared" si="7"/>
        <v>0</v>
      </c>
      <c r="P25" s="757">
        <v>23.25</v>
      </c>
      <c r="Q25" s="513">
        <f t="shared" si="8"/>
        <v>361.98500000000001</v>
      </c>
      <c r="R25" s="513">
        <f t="shared" si="9"/>
        <v>0</v>
      </c>
      <c r="S25" s="513">
        <f t="shared" si="10"/>
        <v>-361.98500000000001</v>
      </c>
      <c r="T25" s="513">
        <f t="shared" si="11"/>
        <v>1623.3035999999993</v>
      </c>
      <c r="U25" s="757">
        <v>6.7</v>
      </c>
      <c r="V25" s="513">
        <f t="shared" si="12"/>
        <v>102.05</v>
      </c>
      <c r="W25" s="757">
        <v>0</v>
      </c>
      <c r="X25" s="513">
        <f t="shared" si="13"/>
        <v>0</v>
      </c>
      <c r="Y25" s="757">
        <v>9.1</v>
      </c>
      <c r="Z25" s="513">
        <f t="shared" si="0"/>
        <v>130</v>
      </c>
      <c r="AA25" s="757">
        <v>0</v>
      </c>
      <c r="AB25" s="513">
        <f t="shared" si="14"/>
        <v>0</v>
      </c>
      <c r="AC25" s="753">
        <v>0</v>
      </c>
      <c r="AD25" s="513">
        <f t="shared" si="15"/>
        <v>0</v>
      </c>
      <c r="AE25" s="757">
        <v>4</v>
      </c>
      <c r="AF25" s="513">
        <f t="shared" si="16"/>
        <v>52</v>
      </c>
    </row>
    <row r="26" spans="1:32" s="512" customFormat="1" ht="12.6" customHeight="1">
      <c r="A26" s="756">
        <v>137</v>
      </c>
      <c r="B26" s="756">
        <v>7</v>
      </c>
      <c r="C26" s="757">
        <v>4.0999999999999996</v>
      </c>
      <c r="D26" s="513">
        <f t="shared" si="1"/>
        <v>14.349999999999998</v>
      </c>
      <c r="E26" s="513">
        <f t="shared" si="17"/>
        <v>12.627999999999998</v>
      </c>
      <c r="F26" s="757">
        <v>3.37</v>
      </c>
      <c r="G26" s="513">
        <f t="shared" si="2"/>
        <v>11.795</v>
      </c>
      <c r="H26" s="513">
        <f t="shared" si="18"/>
        <v>13.564249999999999</v>
      </c>
      <c r="I26" s="757">
        <v>0</v>
      </c>
      <c r="J26" s="513">
        <f t="shared" si="3"/>
        <v>0</v>
      </c>
      <c r="K26" s="723">
        <f t="shared" si="4"/>
        <v>0</v>
      </c>
      <c r="L26" s="757">
        <v>0.18</v>
      </c>
      <c r="M26" s="513">
        <f t="shared" si="5"/>
        <v>0.63</v>
      </c>
      <c r="N26" s="513">
        <f t="shared" si="6"/>
        <v>0.72449999999999992</v>
      </c>
      <c r="O26" s="723">
        <f t="shared" si="7"/>
        <v>26.192249999999998</v>
      </c>
      <c r="P26" s="757">
        <v>1.77</v>
      </c>
      <c r="Q26" s="513">
        <f t="shared" si="8"/>
        <v>87.57</v>
      </c>
      <c r="R26" s="513">
        <f t="shared" si="9"/>
        <v>26.192249999999998</v>
      </c>
      <c r="S26" s="513">
        <f t="shared" si="10"/>
        <v>-61.377749999999992</v>
      </c>
      <c r="T26" s="513">
        <f t="shared" si="11"/>
        <v>1561.9258499999992</v>
      </c>
      <c r="U26" s="757">
        <v>6.1</v>
      </c>
      <c r="V26" s="513">
        <f t="shared" si="12"/>
        <v>44.800000000000004</v>
      </c>
      <c r="W26" s="757">
        <v>1.3</v>
      </c>
      <c r="X26" s="513">
        <f t="shared" si="13"/>
        <v>4.55</v>
      </c>
      <c r="Y26" s="757">
        <v>5.6</v>
      </c>
      <c r="Z26" s="513">
        <f t="shared" si="0"/>
        <v>51.449999999999996</v>
      </c>
      <c r="AA26" s="757">
        <v>5.4</v>
      </c>
      <c r="AB26" s="513">
        <f t="shared" si="14"/>
        <v>18.900000000000002</v>
      </c>
      <c r="AC26" s="753">
        <v>0.9</v>
      </c>
      <c r="AD26" s="513">
        <f t="shared" si="15"/>
        <v>3.15</v>
      </c>
      <c r="AE26" s="757">
        <v>4</v>
      </c>
      <c r="AF26" s="513">
        <f t="shared" si="16"/>
        <v>28</v>
      </c>
    </row>
    <row r="27" spans="1:32" s="512" customFormat="1" ht="12.6" customHeight="1">
      <c r="A27" s="756">
        <v>138</v>
      </c>
      <c r="B27" s="756">
        <v>20</v>
      </c>
      <c r="C27" s="757">
        <v>13.56</v>
      </c>
      <c r="D27" s="513">
        <f t="shared" si="1"/>
        <v>176.6</v>
      </c>
      <c r="E27" s="513">
        <f t="shared" si="17"/>
        <v>155.40799999999999</v>
      </c>
      <c r="F27" s="757">
        <v>24.5</v>
      </c>
      <c r="G27" s="513">
        <f t="shared" si="2"/>
        <v>278.7</v>
      </c>
      <c r="H27" s="513">
        <f t="shared" si="18"/>
        <v>320.50499999999994</v>
      </c>
      <c r="I27" s="757">
        <v>0</v>
      </c>
      <c r="J27" s="513">
        <f t="shared" si="3"/>
        <v>0</v>
      </c>
      <c r="K27" s="513">
        <f t="shared" si="4"/>
        <v>0</v>
      </c>
      <c r="L27" s="757">
        <v>0.18</v>
      </c>
      <c r="M27" s="513">
        <f t="shared" si="5"/>
        <v>3.5999999999999996</v>
      </c>
      <c r="N27" s="513">
        <f t="shared" si="6"/>
        <v>4.1399999999999997</v>
      </c>
      <c r="O27" s="513">
        <f t="shared" si="7"/>
        <v>475.9129999999999</v>
      </c>
      <c r="P27" s="757">
        <v>0</v>
      </c>
      <c r="Q27" s="513">
        <f t="shared" si="8"/>
        <v>17.7</v>
      </c>
      <c r="R27" s="513">
        <f t="shared" si="9"/>
        <v>17.7</v>
      </c>
      <c r="S27" s="513">
        <f t="shared" si="10"/>
        <v>458.21299999999991</v>
      </c>
      <c r="T27" s="513">
        <f t="shared" si="11"/>
        <v>2020.1388499999991</v>
      </c>
      <c r="U27" s="757">
        <v>0</v>
      </c>
      <c r="V27" s="513">
        <f t="shared" si="12"/>
        <v>61</v>
      </c>
      <c r="W27" s="757">
        <v>1.8</v>
      </c>
      <c r="X27" s="513">
        <f t="shared" si="13"/>
        <v>31</v>
      </c>
      <c r="Y27" s="757">
        <v>0</v>
      </c>
      <c r="Z27" s="513">
        <f t="shared" si="0"/>
        <v>56</v>
      </c>
      <c r="AA27" s="757">
        <v>8.5</v>
      </c>
      <c r="AB27" s="513">
        <f t="shared" si="14"/>
        <v>139</v>
      </c>
      <c r="AC27" s="753">
        <v>0</v>
      </c>
      <c r="AD27" s="513">
        <f t="shared" si="15"/>
        <v>9</v>
      </c>
      <c r="AE27" s="757">
        <v>4</v>
      </c>
      <c r="AF27" s="513">
        <f t="shared" si="16"/>
        <v>80</v>
      </c>
    </row>
    <row r="28" spans="1:32" s="512" customFormat="1" ht="12.6" customHeight="1">
      <c r="A28" s="756" t="s">
        <v>523</v>
      </c>
      <c r="B28" s="756">
        <v>17</v>
      </c>
      <c r="C28" s="757">
        <v>0</v>
      </c>
      <c r="D28" s="513">
        <f t="shared" si="1"/>
        <v>115.26</v>
      </c>
      <c r="E28" s="513">
        <f t="shared" si="17"/>
        <v>101.42880000000001</v>
      </c>
      <c r="F28" s="757">
        <v>0</v>
      </c>
      <c r="G28" s="513">
        <f t="shared" si="2"/>
        <v>208.25</v>
      </c>
      <c r="H28" s="513">
        <f t="shared" si="18"/>
        <v>239.48749999999998</v>
      </c>
      <c r="I28" s="757">
        <v>0</v>
      </c>
      <c r="J28" s="513">
        <f t="shared" si="3"/>
        <v>0</v>
      </c>
      <c r="K28" s="723">
        <f t="shared" si="4"/>
        <v>0</v>
      </c>
      <c r="L28" s="757">
        <v>0</v>
      </c>
      <c r="M28" s="513">
        <f t="shared" si="5"/>
        <v>1.53</v>
      </c>
      <c r="N28" s="513">
        <f t="shared" si="6"/>
        <v>1.7594999999999998</v>
      </c>
      <c r="O28" s="723">
        <f t="shared" si="7"/>
        <v>340.91629999999998</v>
      </c>
      <c r="P28" s="757">
        <v>16.82</v>
      </c>
      <c r="Q28" s="513">
        <f t="shared" si="8"/>
        <v>142.97</v>
      </c>
      <c r="R28" s="513">
        <f t="shared" si="9"/>
        <v>142.97</v>
      </c>
      <c r="S28" s="513">
        <f t="shared" si="10"/>
        <v>197.94629999999998</v>
      </c>
      <c r="T28" s="513">
        <f t="shared" si="11"/>
        <v>2218.085149999999</v>
      </c>
      <c r="U28" s="757">
        <v>0</v>
      </c>
      <c r="V28" s="513">
        <f t="shared" si="12"/>
        <v>0</v>
      </c>
      <c r="W28" s="757">
        <v>12.1</v>
      </c>
      <c r="X28" s="513">
        <f t="shared" si="13"/>
        <v>118.15</v>
      </c>
      <c r="Y28" s="757">
        <v>12.1</v>
      </c>
      <c r="Z28" s="513">
        <f t="shared" si="0"/>
        <v>102.85</v>
      </c>
      <c r="AA28" s="757">
        <v>0</v>
      </c>
      <c r="AB28" s="513">
        <f t="shared" si="14"/>
        <v>72.25</v>
      </c>
      <c r="AC28" s="753">
        <v>0</v>
      </c>
      <c r="AD28" s="513">
        <f t="shared" si="15"/>
        <v>0</v>
      </c>
      <c r="AE28" s="757">
        <v>0</v>
      </c>
      <c r="AF28" s="513">
        <f t="shared" si="16"/>
        <v>34</v>
      </c>
    </row>
    <row r="29" spans="1:32" s="512" customFormat="1" ht="12.6" customHeight="1">
      <c r="A29" s="756">
        <v>139</v>
      </c>
      <c r="B29" s="756">
        <v>3</v>
      </c>
      <c r="C29" s="757">
        <v>1.17</v>
      </c>
      <c r="D29" s="513">
        <f t="shared" ref="D29:D36" si="19">(C29+C28)/2*$B29</f>
        <v>1.7549999999999999</v>
      </c>
      <c r="E29" s="513">
        <f t="shared" si="17"/>
        <v>1.5444</v>
      </c>
      <c r="F29" s="757">
        <v>0.06</v>
      </c>
      <c r="G29" s="513">
        <f t="shared" ref="G29:G36" si="20">(F29+F28)/2*$B29</f>
        <v>0.09</v>
      </c>
      <c r="H29" s="513">
        <f t="shared" si="18"/>
        <v>0.10349999999999999</v>
      </c>
      <c r="I29" s="757">
        <v>0.06</v>
      </c>
      <c r="J29" s="513">
        <f t="shared" ref="J29:J36" si="21">(I29+I28)/2*$B29</f>
        <v>0.09</v>
      </c>
      <c r="K29" s="513">
        <f t="shared" si="4"/>
        <v>7.9199999999999993E-2</v>
      </c>
      <c r="L29" s="757">
        <v>0.13</v>
      </c>
      <c r="M29" s="513">
        <f t="shared" ref="M29:M36" si="22">(L29+L28)/2*$B29</f>
        <v>0.19500000000000001</v>
      </c>
      <c r="N29" s="513">
        <f t="shared" si="6"/>
        <v>0.22424999999999998</v>
      </c>
      <c r="O29" s="513">
        <f t="shared" si="7"/>
        <v>1.6478999999999999</v>
      </c>
      <c r="P29" s="757">
        <v>13.75</v>
      </c>
      <c r="Q29" s="513">
        <f t="shared" ref="Q29:Q36" si="23">(P29+P28)/2*$B29</f>
        <v>45.855000000000004</v>
      </c>
      <c r="R29" s="513">
        <f t="shared" ref="R29:R36" si="24">MIN(O29,Q29)</f>
        <v>1.6478999999999999</v>
      </c>
      <c r="S29" s="513">
        <f t="shared" ref="S29:S36" si="25">O29-Q29</f>
        <v>-44.207100000000004</v>
      </c>
      <c r="T29" s="513">
        <f t="shared" ref="T29:T36" si="26">S29+T28</f>
        <v>2173.8780499999989</v>
      </c>
      <c r="U29" s="757">
        <v>4.9000000000000004</v>
      </c>
      <c r="V29" s="513">
        <f t="shared" si="12"/>
        <v>7.3500000000000005</v>
      </c>
      <c r="W29" s="757">
        <v>1.4</v>
      </c>
      <c r="X29" s="513">
        <f t="shared" ref="X29:X36" si="27">(W29+W28)/2*$B29</f>
        <v>20.25</v>
      </c>
      <c r="Y29" s="757">
        <v>8.4</v>
      </c>
      <c r="Z29" s="513">
        <f t="shared" ref="Z29:Z36" si="28">(Y29+Y28)/2*$B29</f>
        <v>30.75</v>
      </c>
      <c r="AA29" s="757">
        <v>2.1</v>
      </c>
      <c r="AB29" s="513">
        <f t="shared" ref="AB29:AB36" si="29">(AA29+AA28)/2*$B29</f>
        <v>3.1500000000000004</v>
      </c>
      <c r="AC29" s="753">
        <v>4.5999999999999996</v>
      </c>
      <c r="AD29" s="513">
        <f t="shared" ref="AD29:AD36" si="30">(AC29+AC28)/2*$B29</f>
        <v>6.8999999999999995</v>
      </c>
      <c r="AE29" s="757">
        <v>5.2</v>
      </c>
      <c r="AF29" s="513">
        <f t="shared" ref="AF29:AF36" si="31">(AE29+AE28)/2*$B29</f>
        <v>7.8000000000000007</v>
      </c>
    </row>
    <row r="30" spans="1:32" s="512" customFormat="1" ht="12.6" customHeight="1">
      <c r="A30" s="756">
        <v>140</v>
      </c>
      <c r="B30" s="756">
        <v>20</v>
      </c>
      <c r="C30" s="757">
        <v>4.5999999999999996</v>
      </c>
      <c r="D30" s="513">
        <f t="shared" si="19"/>
        <v>57.699999999999996</v>
      </c>
      <c r="E30" s="513">
        <f t="shared" si="17"/>
        <v>50.775999999999996</v>
      </c>
      <c r="F30" s="757">
        <v>4.76</v>
      </c>
      <c r="G30" s="513">
        <f t="shared" si="20"/>
        <v>48.199999999999996</v>
      </c>
      <c r="H30" s="513">
        <f t="shared" si="18"/>
        <v>55.429999999999993</v>
      </c>
      <c r="I30" s="757">
        <v>0</v>
      </c>
      <c r="J30" s="513">
        <f t="shared" si="21"/>
        <v>0.6</v>
      </c>
      <c r="K30" s="723">
        <f t="shared" si="4"/>
        <v>0.52800000000000002</v>
      </c>
      <c r="L30" s="757">
        <v>0.18</v>
      </c>
      <c r="M30" s="513">
        <f t="shared" si="22"/>
        <v>3.1</v>
      </c>
      <c r="N30" s="513">
        <f t="shared" si="6"/>
        <v>3.5649999999999999</v>
      </c>
      <c r="O30" s="723">
        <f t="shared" si="7"/>
        <v>106.20599999999999</v>
      </c>
      <c r="P30" s="757">
        <v>0.18</v>
      </c>
      <c r="Q30" s="513">
        <f t="shared" si="23"/>
        <v>139.30000000000001</v>
      </c>
      <c r="R30" s="513">
        <f t="shared" si="24"/>
        <v>106.20599999999999</v>
      </c>
      <c r="S30" s="513">
        <f t="shared" si="25"/>
        <v>-33.094000000000023</v>
      </c>
      <c r="T30" s="513">
        <f t="shared" si="26"/>
        <v>2140.7840499999988</v>
      </c>
      <c r="U30" s="757">
        <v>7.4</v>
      </c>
      <c r="V30" s="513">
        <f t="shared" si="12"/>
        <v>123</v>
      </c>
      <c r="W30" s="757">
        <v>1.3</v>
      </c>
      <c r="X30" s="513">
        <f t="shared" si="27"/>
        <v>27</v>
      </c>
      <c r="Y30" s="757">
        <v>6.4</v>
      </c>
      <c r="Z30" s="513">
        <f t="shared" si="28"/>
        <v>148</v>
      </c>
      <c r="AA30" s="757">
        <v>5.9</v>
      </c>
      <c r="AB30" s="513">
        <f t="shared" si="29"/>
        <v>80</v>
      </c>
      <c r="AC30" s="753">
        <v>0.6</v>
      </c>
      <c r="AD30" s="513">
        <f t="shared" si="30"/>
        <v>51.999999999999993</v>
      </c>
      <c r="AE30" s="757">
        <v>4</v>
      </c>
      <c r="AF30" s="513">
        <f t="shared" si="31"/>
        <v>92</v>
      </c>
    </row>
    <row r="31" spans="1:32" s="512" customFormat="1" ht="12.6" customHeight="1">
      <c r="A31" s="756">
        <v>141</v>
      </c>
      <c r="B31" s="756">
        <v>20</v>
      </c>
      <c r="C31" s="757">
        <v>9.49</v>
      </c>
      <c r="D31" s="513">
        <f t="shared" si="19"/>
        <v>140.9</v>
      </c>
      <c r="E31" s="513">
        <f t="shared" si="17"/>
        <v>123.992</v>
      </c>
      <c r="F31" s="757">
        <v>9.25</v>
      </c>
      <c r="G31" s="513">
        <f t="shared" si="20"/>
        <v>140.1</v>
      </c>
      <c r="H31" s="513">
        <f t="shared" si="18"/>
        <v>161.11499999999998</v>
      </c>
      <c r="I31" s="757">
        <v>0</v>
      </c>
      <c r="J31" s="513">
        <f t="shared" si="21"/>
        <v>0</v>
      </c>
      <c r="K31" s="513">
        <f t="shared" si="4"/>
        <v>0</v>
      </c>
      <c r="L31" s="757">
        <v>0.18</v>
      </c>
      <c r="M31" s="513">
        <f t="shared" si="22"/>
        <v>3.5999999999999996</v>
      </c>
      <c r="N31" s="513">
        <f t="shared" si="6"/>
        <v>4.1399999999999997</v>
      </c>
      <c r="O31" s="513">
        <f t="shared" si="7"/>
        <v>285.10699999999997</v>
      </c>
      <c r="P31" s="757">
        <v>0</v>
      </c>
      <c r="Q31" s="513">
        <f t="shared" si="23"/>
        <v>1.7999999999999998</v>
      </c>
      <c r="R31" s="513">
        <f t="shared" si="24"/>
        <v>1.7999999999999998</v>
      </c>
      <c r="S31" s="513">
        <f t="shared" si="25"/>
        <v>283.30699999999996</v>
      </c>
      <c r="T31" s="513">
        <f t="shared" si="26"/>
        <v>2424.0910499999986</v>
      </c>
      <c r="U31" s="757">
        <v>0</v>
      </c>
      <c r="V31" s="513">
        <f t="shared" si="12"/>
        <v>74</v>
      </c>
      <c r="W31" s="757">
        <v>1.6</v>
      </c>
      <c r="X31" s="513">
        <f t="shared" si="27"/>
        <v>29.000000000000004</v>
      </c>
      <c r="Y31" s="757">
        <v>0</v>
      </c>
      <c r="Z31" s="513">
        <f t="shared" si="28"/>
        <v>64</v>
      </c>
      <c r="AA31" s="757">
        <v>7.9</v>
      </c>
      <c r="AB31" s="513">
        <f t="shared" si="29"/>
        <v>138</v>
      </c>
      <c r="AC31" s="753">
        <v>0</v>
      </c>
      <c r="AD31" s="513">
        <f t="shared" si="30"/>
        <v>6</v>
      </c>
      <c r="AE31" s="757">
        <v>4</v>
      </c>
      <c r="AF31" s="513">
        <f t="shared" si="31"/>
        <v>80</v>
      </c>
    </row>
    <row r="32" spans="1:32" s="512" customFormat="1" ht="12.6" customHeight="1">
      <c r="A32" s="756">
        <v>142</v>
      </c>
      <c r="B32" s="756">
        <v>20</v>
      </c>
      <c r="C32" s="757">
        <v>9.4600000000000009</v>
      </c>
      <c r="D32" s="513">
        <f t="shared" si="19"/>
        <v>189.50000000000003</v>
      </c>
      <c r="E32" s="513">
        <f t="shared" si="17"/>
        <v>166.76000000000002</v>
      </c>
      <c r="F32" s="757">
        <v>9.59</v>
      </c>
      <c r="G32" s="513">
        <f t="shared" si="20"/>
        <v>188.4</v>
      </c>
      <c r="H32" s="513">
        <f t="shared" si="18"/>
        <v>216.66</v>
      </c>
      <c r="I32" s="757">
        <v>0</v>
      </c>
      <c r="J32" s="513">
        <f t="shared" si="21"/>
        <v>0</v>
      </c>
      <c r="K32" s="723">
        <f t="shared" si="4"/>
        <v>0</v>
      </c>
      <c r="L32" s="757">
        <v>0.18</v>
      </c>
      <c r="M32" s="513">
        <f t="shared" si="22"/>
        <v>3.5999999999999996</v>
      </c>
      <c r="N32" s="513">
        <f t="shared" si="6"/>
        <v>4.1399999999999997</v>
      </c>
      <c r="O32" s="723">
        <f t="shared" si="7"/>
        <v>383.42</v>
      </c>
      <c r="P32" s="757">
        <v>0</v>
      </c>
      <c r="Q32" s="513">
        <f t="shared" si="23"/>
        <v>0</v>
      </c>
      <c r="R32" s="513">
        <f t="shared" si="24"/>
        <v>0</v>
      </c>
      <c r="S32" s="513">
        <f t="shared" si="25"/>
        <v>383.42</v>
      </c>
      <c r="T32" s="513">
        <f t="shared" si="26"/>
        <v>2807.5110499999987</v>
      </c>
      <c r="U32" s="757">
        <v>0</v>
      </c>
      <c r="V32" s="513">
        <f t="shared" si="12"/>
        <v>0</v>
      </c>
      <c r="W32" s="757">
        <v>1.6</v>
      </c>
      <c r="X32" s="513">
        <f t="shared" si="27"/>
        <v>32</v>
      </c>
      <c r="Y32" s="757">
        <v>0</v>
      </c>
      <c r="Z32" s="513">
        <f t="shared" si="28"/>
        <v>0</v>
      </c>
      <c r="AA32" s="757">
        <v>8</v>
      </c>
      <c r="AB32" s="513">
        <f t="shared" si="29"/>
        <v>159</v>
      </c>
      <c r="AC32" s="753">
        <v>0</v>
      </c>
      <c r="AD32" s="513">
        <f t="shared" si="30"/>
        <v>0</v>
      </c>
      <c r="AE32" s="757">
        <v>4</v>
      </c>
      <c r="AF32" s="513">
        <f t="shared" si="31"/>
        <v>80</v>
      </c>
    </row>
    <row r="33" spans="1:32" s="512" customFormat="1" ht="12.6" customHeight="1">
      <c r="A33" s="756">
        <v>143</v>
      </c>
      <c r="B33" s="756">
        <v>20</v>
      </c>
      <c r="C33" s="757">
        <v>12.97</v>
      </c>
      <c r="D33" s="513">
        <f t="shared" si="19"/>
        <v>224.3</v>
      </c>
      <c r="E33" s="513">
        <f t="shared" si="17"/>
        <v>197.38400000000001</v>
      </c>
      <c r="F33" s="757">
        <v>17.32</v>
      </c>
      <c r="G33" s="513">
        <f t="shared" si="20"/>
        <v>269.10000000000002</v>
      </c>
      <c r="H33" s="513">
        <f t="shared" si="18"/>
        <v>309.46499999999997</v>
      </c>
      <c r="I33" s="757">
        <v>0</v>
      </c>
      <c r="J33" s="513">
        <f t="shared" si="21"/>
        <v>0</v>
      </c>
      <c r="K33" s="513">
        <f t="shared" si="4"/>
        <v>0</v>
      </c>
      <c r="L33" s="757">
        <v>0.18</v>
      </c>
      <c r="M33" s="513">
        <f t="shared" si="22"/>
        <v>3.5999999999999996</v>
      </c>
      <c r="N33" s="513">
        <f t="shared" si="6"/>
        <v>4.1399999999999997</v>
      </c>
      <c r="O33" s="513">
        <f t="shared" si="7"/>
        <v>506.84899999999999</v>
      </c>
      <c r="P33" s="757">
        <v>0</v>
      </c>
      <c r="Q33" s="513">
        <f t="shared" si="23"/>
        <v>0</v>
      </c>
      <c r="R33" s="513">
        <f t="shared" si="24"/>
        <v>0</v>
      </c>
      <c r="S33" s="513">
        <f t="shared" si="25"/>
        <v>506.84899999999999</v>
      </c>
      <c r="T33" s="513">
        <f t="shared" si="26"/>
        <v>3314.3600499999989</v>
      </c>
      <c r="U33" s="757">
        <v>0</v>
      </c>
      <c r="V33" s="513">
        <f t="shared" si="12"/>
        <v>0</v>
      </c>
      <c r="W33" s="757">
        <v>1.3</v>
      </c>
      <c r="X33" s="513">
        <f t="shared" si="27"/>
        <v>29.000000000000004</v>
      </c>
      <c r="Y33" s="757">
        <v>0</v>
      </c>
      <c r="Z33" s="513">
        <f t="shared" si="28"/>
        <v>0</v>
      </c>
      <c r="AA33" s="757">
        <v>10.3</v>
      </c>
      <c r="AB33" s="513">
        <f t="shared" si="29"/>
        <v>183</v>
      </c>
      <c r="AC33" s="753">
        <v>0</v>
      </c>
      <c r="AD33" s="513">
        <f t="shared" si="30"/>
        <v>0</v>
      </c>
      <c r="AE33" s="757">
        <v>6.4</v>
      </c>
      <c r="AF33" s="513">
        <f t="shared" si="31"/>
        <v>104</v>
      </c>
    </row>
    <row r="34" spans="1:32" s="512" customFormat="1" ht="12.6" customHeight="1">
      <c r="A34" s="756" t="s">
        <v>549</v>
      </c>
      <c r="B34" s="756">
        <v>10</v>
      </c>
      <c r="C34" s="757">
        <v>9.4700000000000006</v>
      </c>
      <c r="D34" s="513">
        <f t="shared" si="19"/>
        <v>112.2</v>
      </c>
      <c r="E34" s="513">
        <f t="shared" si="17"/>
        <v>98.736000000000004</v>
      </c>
      <c r="F34" s="757">
        <v>9.92</v>
      </c>
      <c r="G34" s="513">
        <f t="shared" si="20"/>
        <v>136.20000000000002</v>
      </c>
      <c r="H34" s="513">
        <f t="shared" si="18"/>
        <v>156.63</v>
      </c>
      <c r="I34" s="757">
        <v>0</v>
      </c>
      <c r="J34" s="513">
        <f t="shared" si="21"/>
        <v>0</v>
      </c>
      <c r="K34" s="723">
        <f t="shared" si="4"/>
        <v>0</v>
      </c>
      <c r="L34" s="757">
        <v>0.18</v>
      </c>
      <c r="M34" s="513">
        <f t="shared" si="22"/>
        <v>1.7999999999999998</v>
      </c>
      <c r="N34" s="513">
        <f t="shared" si="6"/>
        <v>2.0699999999999998</v>
      </c>
      <c r="O34" s="723">
        <f t="shared" si="7"/>
        <v>255.36599999999999</v>
      </c>
      <c r="P34" s="757">
        <v>0</v>
      </c>
      <c r="Q34" s="513">
        <f t="shared" si="23"/>
        <v>0</v>
      </c>
      <c r="R34" s="513">
        <f t="shared" si="24"/>
        <v>0</v>
      </c>
      <c r="S34" s="513">
        <f t="shared" si="25"/>
        <v>255.36599999999999</v>
      </c>
      <c r="T34" s="513">
        <f t="shared" si="26"/>
        <v>3569.7260499999988</v>
      </c>
      <c r="U34" s="757">
        <v>0</v>
      </c>
      <c r="V34" s="513">
        <f t="shared" si="12"/>
        <v>0</v>
      </c>
      <c r="W34" s="757">
        <v>1.4</v>
      </c>
      <c r="X34" s="513">
        <f t="shared" si="27"/>
        <v>13.5</v>
      </c>
      <c r="Y34" s="757">
        <v>0</v>
      </c>
      <c r="Z34" s="513">
        <f t="shared" si="28"/>
        <v>0</v>
      </c>
      <c r="AA34" s="757">
        <v>7.8</v>
      </c>
      <c r="AB34" s="513">
        <f t="shared" si="29"/>
        <v>90.5</v>
      </c>
      <c r="AC34" s="753">
        <v>0</v>
      </c>
      <c r="AD34" s="513">
        <f t="shared" si="30"/>
        <v>0</v>
      </c>
      <c r="AE34" s="757">
        <v>4</v>
      </c>
      <c r="AF34" s="513">
        <f t="shared" si="31"/>
        <v>52</v>
      </c>
    </row>
    <row r="35" spans="1:32" s="512" customFormat="1" ht="12.6" customHeight="1">
      <c r="A35" s="756">
        <v>144</v>
      </c>
      <c r="B35" s="756">
        <v>10</v>
      </c>
      <c r="C35" s="757">
        <v>12.24</v>
      </c>
      <c r="D35" s="513">
        <f t="shared" si="19"/>
        <v>108.55000000000001</v>
      </c>
      <c r="E35" s="513">
        <f t="shared" si="17"/>
        <v>95.524000000000015</v>
      </c>
      <c r="F35" s="757">
        <v>14.4</v>
      </c>
      <c r="G35" s="513">
        <f t="shared" si="20"/>
        <v>121.6</v>
      </c>
      <c r="H35" s="513">
        <f t="shared" si="18"/>
        <v>139.83999999999997</v>
      </c>
      <c r="I35" s="757">
        <v>0</v>
      </c>
      <c r="J35" s="513">
        <f t="shared" si="21"/>
        <v>0</v>
      </c>
      <c r="K35" s="513">
        <f t="shared" si="4"/>
        <v>0</v>
      </c>
      <c r="L35" s="757">
        <v>0.18</v>
      </c>
      <c r="M35" s="513">
        <f t="shared" si="22"/>
        <v>1.7999999999999998</v>
      </c>
      <c r="N35" s="513">
        <f t="shared" si="6"/>
        <v>2.0699999999999998</v>
      </c>
      <c r="O35" s="513">
        <f t="shared" si="7"/>
        <v>235.36399999999998</v>
      </c>
      <c r="P35" s="757">
        <v>0</v>
      </c>
      <c r="Q35" s="513">
        <f t="shared" si="23"/>
        <v>0</v>
      </c>
      <c r="R35" s="513">
        <f t="shared" si="24"/>
        <v>0</v>
      </c>
      <c r="S35" s="513">
        <f t="shared" si="25"/>
        <v>235.36399999999998</v>
      </c>
      <c r="T35" s="513">
        <f t="shared" si="26"/>
        <v>3805.0900499999989</v>
      </c>
      <c r="U35" s="757">
        <v>0</v>
      </c>
      <c r="V35" s="513">
        <f t="shared" si="12"/>
        <v>0</v>
      </c>
      <c r="W35" s="757">
        <v>1.1000000000000001</v>
      </c>
      <c r="X35" s="513">
        <f t="shared" si="27"/>
        <v>12.5</v>
      </c>
      <c r="Y35" s="757">
        <v>0</v>
      </c>
      <c r="Z35" s="513">
        <f t="shared" si="28"/>
        <v>0</v>
      </c>
      <c r="AA35" s="757">
        <v>9.9</v>
      </c>
      <c r="AB35" s="513">
        <f t="shared" si="29"/>
        <v>88.5</v>
      </c>
      <c r="AC35" s="753">
        <v>0</v>
      </c>
      <c r="AD35" s="513">
        <f t="shared" si="30"/>
        <v>0</v>
      </c>
      <c r="AE35" s="757">
        <v>6.9</v>
      </c>
      <c r="AF35" s="513">
        <f t="shared" si="31"/>
        <v>54.5</v>
      </c>
    </row>
    <row r="36" spans="1:32" s="512" customFormat="1" ht="12.6" customHeight="1">
      <c r="A36" s="756" t="s">
        <v>550</v>
      </c>
      <c r="B36" s="756">
        <v>10</v>
      </c>
      <c r="C36" s="757">
        <v>13.33</v>
      </c>
      <c r="D36" s="513">
        <f t="shared" si="19"/>
        <v>127.85</v>
      </c>
      <c r="E36" s="513">
        <f t="shared" si="17"/>
        <v>112.508</v>
      </c>
      <c r="F36" s="757">
        <v>19.55</v>
      </c>
      <c r="G36" s="513">
        <f t="shared" si="20"/>
        <v>169.75</v>
      </c>
      <c r="H36" s="513">
        <f t="shared" si="18"/>
        <v>195.21249999999998</v>
      </c>
      <c r="I36" s="757">
        <v>0</v>
      </c>
      <c r="J36" s="513">
        <f t="shared" si="21"/>
        <v>0</v>
      </c>
      <c r="K36" s="723">
        <f t="shared" si="4"/>
        <v>0</v>
      </c>
      <c r="L36" s="757">
        <v>0.18</v>
      </c>
      <c r="M36" s="513">
        <f t="shared" si="22"/>
        <v>1.7999999999999998</v>
      </c>
      <c r="N36" s="513">
        <f t="shared" si="6"/>
        <v>2.0699999999999998</v>
      </c>
      <c r="O36" s="723">
        <f t="shared" si="7"/>
        <v>307.72049999999996</v>
      </c>
      <c r="P36" s="757">
        <v>0</v>
      </c>
      <c r="Q36" s="513">
        <f t="shared" si="23"/>
        <v>0</v>
      </c>
      <c r="R36" s="513">
        <f t="shared" si="24"/>
        <v>0</v>
      </c>
      <c r="S36" s="513">
        <f t="shared" si="25"/>
        <v>307.72049999999996</v>
      </c>
      <c r="T36" s="513">
        <f t="shared" si="26"/>
        <v>4112.8105499999992</v>
      </c>
      <c r="U36" s="757">
        <v>0</v>
      </c>
      <c r="V36" s="513">
        <f t="shared" si="12"/>
        <v>0</v>
      </c>
      <c r="W36" s="757">
        <v>1.4</v>
      </c>
      <c r="X36" s="513">
        <f t="shared" si="27"/>
        <v>12.5</v>
      </c>
      <c r="Y36" s="757">
        <v>0</v>
      </c>
      <c r="Z36" s="513">
        <f t="shared" si="28"/>
        <v>0</v>
      </c>
      <c r="AA36" s="757">
        <v>10.6</v>
      </c>
      <c r="AB36" s="513">
        <f t="shared" si="29"/>
        <v>102.5</v>
      </c>
      <c r="AC36" s="753">
        <v>0</v>
      </c>
      <c r="AD36" s="513">
        <f t="shared" si="30"/>
        <v>0</v>
      </c>
      <c r="AE36" s="757">
        <v>6.3</v>
      </c>
      <c r="AF36" s="513">
        <f t="shared" si="31"/>
        <v>66</v>
      </c>
    </row>
    <row r="37" spans="1:32" s="512" customFormat="1" ht="12.6" customHeight="1">
      <c r="A37" s="756">
        <v>145</v>
      </c>
      <c r="B37" s="756">
        <v>10</v>
      </c>
      <c r="C37" s="757">
        <v>10.42</v>
      </c>
      <c r="D37" s="513">
        <f t="shared" ref="D37:D67" si="32">(C37+C36)/2*$B37</f>
        <v>118.75</v>
      </c>
      <c r="E37" s="513">
        <f t="shared" si="17"/>
        <v>104.5</v>
      </c>
      <c r="F37" s="757">
        <v>12.52</v>
      </c>
      <c r="G37" s="513">
        <f t="shared" ref="G37:G67" si="33">(F37+F36)/2*$B37</f>
        <v>160.35</v>
      </c>
      <c r="H37" s="513">
        <f t="shared" si="18"/>
        <v>184.40249999999997</v>
      </c>
      <c r="I37" s="757">
        <v>0</v>
      </c>
      <c r="J37" s="513">
        <f t="shared" ref="J37:J67" si="34">(I37+I36)/2*$B37</f>
        <v>0</v>
      </c>
      <c r="K37" s="513">
        <f t="shared" si="4"/>
        <v>0</v>
      </c>
      <c r="L37" s="757">
        <v>0.18</v>
      </c>
      <c r="M37" s="513">
        <f t="shared" ref="M37:M67" si="35">(L37+L36)/2*$B37</f>
        <v>1.7999999999999998</v>
      </c>
      <c r="N37" s="513">
        <f t="shared" si="6"/>
        <v>2.0699999999999998</v>
      </c>
      <c r="O37" s="513">
        <f t="shared" si="7"/>
        <v>288.90249999999997</v>
      </c>
      <c r="P37" s="757">
        <v>0</v>
      </c>
      <c r="Q37" s="513">
        <f t="shared" ref="Q37:Q67" si="36">(P37+P36)/2*$B37</f>
        <v>0</v>
      </c>
      <c r="R37" s="513">
        <f t="shared" ref="R37:R67" si="37">MIN(O37,Q37)</f>
        <v>0</v>
      </c>
      <c r="S37" s="513">
        <f t="shared" ref="S37:S67" si="38">O37-Q37</f>
        <v>288.90249999999997</v>
      </c>
      <c r="T37" s="513">
        <f t="shared" ref="T37:T67" si="39">S37+T36</f>
        <v>4401.7130499999994</v>
      </c>
      <c r="U37" s="757">
        <v>0</v>
      </c>
      <c r="V37" s="513">
        <f t="shared" si="12"/>
        <v>0</v>
      </c>
      <c r="W37" s="757">
        <v>1.4</v>
      </c>
      <c r="X37" s="513">
        <f t="shared" ref="X37:X67" si="40">(W37+W36)/2*$B37</f>
        <v>14</v>
      </c>
      <c r="Y37" s="757">
        <v>0</v>
      </c>
      <c r="Z37" s="513">
        <f t="shared" ref="Z37:Z67" si="41">(Y37+Y36)/2*$B37</f>
        <v>0</v>
      </c>
      <c r="AA37" s="757">
        <v>8.6</v>
      </c>
      <c r="AB37" s="513">
        <f t="shared" ref="AB37:AB67" si="42">(AA37+AA36)/2*$B37</f>
        <v>96</v>
      </c>
      <c r="AC37" s="753">
        <v>0</v>
      </c>
      <c r="AD37" s="513">
        <f t="shared" ref="AD37:AD67" si="43">(AC37+AC36)/2*$B37</f>
        <v>0</v>
      </c>
      <c r="AE37" s="757">
        <v>4.4000000000000004</v>
      </c>
      <c r="AF37" s="513">
        <f t="shared" ref="AF37:AF67" si="44">(AE37+AE36)/2*$B37</f>
        <v>53.5</v>
      </c>
    </row>
    <row r="38" spans="1:32" s="512" customFormat="1" ht="12.6" customHeight="1">
      <c r="A38" s="756">
        <v>146</v>
      </c>
      <c r="B38" s="756">
        <v>20</v>
      </c>
      <c r="C38" s="757">
        <v>9.59</v>
      </c>
      <c r="D38" s="513">
        <f t="shared" si="32"/>
        <v>200.09999999999997</v>
      </c>
      <c r="E38" s="513">
        <f t="shared" si="17"/>
        <v>176.08799999999997</v>
      </c>
      <c r="F38" s="757">
        <v>9.4700000000000006</v>
      </c>
      <c r="G38" s="513">
        <f t="shared" si="33"/>
        <v>219.90000000000003</v>
      </c>
      <c r="H38" s="513">
        <f t="shared" si="18"/>
        <v>252.88500000000002</v>
      </c>
      <c r="I38" s="757">
        <v>0</v>
      </c>
      <c r="J38" s="513">
        <f t="shared" si="34"/>
        <v>0</v>
      </c>
      <c r="K38" s="723">
        <f t="shared" si="4"/>
        <v>0</v>
      </c>
      <c r="L38" s="757">
        <v>0.18</v>
      </c>
      <c r="M38" s="513">
        <f t="shared" si="35"/>
        <v>3.5999999999999996</v>
      </c>
      <c r="N38" s="513">
        <f t="shared" si="6"/>
        <v>4.1399999999999997</v>
      </c>
      <c r="O38" s="723">
        <f t="shared" si="7"/>
        <v>428.97299999999996</v>
      </c>
      <c r="P38" s="757">
        <v>0</v>
      </c>
      <c r="Q38" s="513">
        <f t="shared" si="36"/>
        <v>0</v>
      </c>
      <c r="R38" s="513">
        <f t="shared" si="37"/>
        <v>0</v>
      </c>
      <c r="S38" s="513">
        <f t="shared" si="38"/>
        <v>428.97299999999996</v>
      </c>
      <c r="T38" s="513">
        <f t="shared" si="39"/>
        <v>4830.6860499999993</v>
      </c>
      <c r="U38" s="757">
        <v>0</v>
      </c>
      <c r="V38" s="513">
        <f t="shared" si="12"/>
        <v>0</v>
      </c>
      <c r="W38" s="757">
        <v>1.6</v>
      </c>
      <c r="X38" s="513">
        <f t="shared" si="40"/>
        <v>30</v>
      </c>
      <c r="Y38" s="757">
        <v>0</v>
      </c>
      <c r="Z38" s="513">
        <f t="shared" si="41"/>
        <v>0</v>
      </c>
      <c r="AA38" s="757">
        <v>8</v>
      </c>
      <c r="AB38" s="513">
        <f t="shared" si="42"/>
        <v>166</v>
      </c>
      <c r="AC38" s="753">
        <v>0</v>
      </c>
      <c r="AD38" s="513">
        <f t="shared" si="43"/>
        <v>0</v>
      </c>
      <c r="AE38" s="757">
        <v>4</v>
      </c>
      <c r="AF38" s="513">
        <f t="shared" si="44"/>
        <v>84</v>
      </c>
    </row>
    <row r="39" spans="1:32" s="512" customFormat="1" ht="12.6" customHeight="1">
      <c r="A39" s="756">
        <v>147</v>
      </c>
      <c r="B39" s="756">
        <v>20</v>
      </c>
      <c r="C39" s="757">
        <v>9.92</v>
      </c>
      <c r="D39" s="513">
        <f t="shared" si="32"/>
        <v>195.09999999999997</v>
      </c>
      <c r="E39" s="513">
        <f t="shared" si="17"/>
        <v>171.68799999999996</v>
      </c>
      <c r="F39" s="757">
        <v>9.15</v>
      </c>
      <c r="G39" s="513">
        <f t="shared" si="33"/>
        <v>186.20000000000002</v>
      </c>
      <c r="H39" s="513">
        <f t="shared" si="18"/>
        <v>214.13</v>
      </c>
      <c r="I39" s="757">
        <v>0</v>
      </c>
      <c r="J39" s="513">
        <f t="shared" si="34"/>
        <v>0</v>
      </c>
      <c r="K39" s="513">
        <f t="shared" si="4"/>
        <v>0</v>
      </c>
      <c r="L39" s="757">
        <v>0.18</v>
      </c>
      <c r="M39" s="513">
        <f t="shared" si="35"/>
        <v>3.5999999999999996</v>
      </c>
      <c r="N39" s="513">
        <f t="shared" si="6"/>
        <v>4.1399999999999997</v>
      </c>
      <c r="O39" s="513">
        <f t="shared" si="7"/>
        <v>385.81799999999998</v>
      </c>
      <c r="P39" s="757">
        <v>1.3</v>
      </c>
      <c r="Q39" s="513">
        <f t="shared" si="36"/>
        <v>13</v>
      </c>
      <c r="R39" s="513">
        <f t="shared" si="37"/>
        <v>13</v>
      </c>
      <c r="S39" s="513">
        <f t="shared" si="38"/>
        <v>372.81799999999998</v>
      </c>
      <c r="T39" s="513">
        <f t="shared" si="39"/>
        <v>5203.5040499999996</v>
      </c>
      <c r="U39" s="757">
        <v>6.1</v>
      </c>
      <c r="V39" s="513">
        <f t="shared" si="12"/>
        <v>61</v>
      </c>
      <c r="W39" s="757">
        <v>1.4</v>
      </c>
      <c r="X39" s="513">
        <f t="shared" si="40"/>
        <v>30</v>
      </c>
      <c r="Y39" s="757">
        <v>5.2</v>
      </c>
      <c r="Z39" s="513">
        <f t="shared" si="41"/>
        <v>52</v>
      </c>
      <c r="AA39" s="757">
        <v>8.3000000000000007</v>
      </c>
      <c r="AB39" s="513">
        <f t="shared" si="42"/>
        <v>163</v>
      </c>
      <c r="AC39" s="753">
        <v>0.6</v>
      </c>
      <c r="AD39" s="513">
        <f t="shared" si="43"/>
        <v>6</v>
      </c>
      <c r="AE39" s="757">
        <v>5.5</v>
      </c>
      <c r="AF39" s="513">
        <f t="shared" si="44"/>
        <v>95</v>
      </c>
    </row>
    <row r="40" spans="1:32" s="512" customFormat="1" ht="12.6" customHeight="1">
      <c r="A40" s="756">
        <v>148</v>
      </c>
      <c r="B40" s="756">
        <v>20</v>
      </c>
      <c r="C40" s="757">
        <v>10.029999999999999</v>
      </c>
      <c r="D40" s="513">
        <f t="shared" si="32"/>
        <v>199.5</v>
      </c>
      <c r="E40" s="513">
        <f t="shared" si="17"/>
        <v>175.56</v>
      </c>
      <c r="F40" s="757">
        <v>8.92</v>
      </c>
      <c r="G40" s="513">
        <f t="shared" si="33"/>
        <v>180.7</v>
      </c>
      <c r="H40" s="513">
        <f t="shared" si="18"/>
        <v>207.80499999999998</v>
      </c>
      <c r="I40" s="757">
        <v>0</v>
      </c>
      <c r="J40" s="513">
        <f t="shared" si="34"/>
        <v>0</v>
      </c>
      <c r="K40" s="723">
        <f t="shared" si="4"/>
        <v>0</v>
      </c>
      <c r="L40" s="757">
        <v>0.18</v>
      </c>
      <c r="M40" s="513">
        <f t="shared" si="35"/>
        <v>3.5999999999999996</v>
      </c>
      <c r="N40" s="513">
        <f t="shared" si="6"/>
        <v>4.1399999999999997</v>
      </c>
      <c r="O40" s="723">
        <f t="shared" si="7"/>
        <v>383.36500000000001</v>
      </c>
      <c r="P40" s="757">
        <v>0.52</v>
      </c>
      <c r="Q40" s="513">
        <f t="shared" si="36"/>
        <v>18.2</v>
      </c>
      <c r="R40" s="513">
        <f t="shared" si="37"/>
        <v>18.2</v>
      </c>
      <c r="S40" s="513">
        <f t="shared" si="38"/>
        <v>365.16500000000002</v>
      </c>
      <c r="T40" s="513">
        <f t="shared" si="39"/>
        <v>5568.6690499999995</v>
      </c>
      <c r="U40" s="757">
        <v>4.3</v>
      </c>
      <c r="V40" s="513">
        <f t="shared" si="12"/>
        <v>103.99999999999999</v>
      </c>
      <c r="W40" s="757">
        <v>1.3</v>
      </c>
      <c r="X40" s="513">
        <f t="shared" si="40"/>
        <v>27</v>
      </c>
      <c r="Y40" s="757">
        <v>3.7</v>
      </c>
      <c r="Z40" s="513">
        <f t="shared" si="41"/>
        <v>89</v>
      </c>
      <c r="AA40" s="757">
        <v>8.4</v>
      </c>
      <c r="AB40" s="513">
        <f t="shared" si="42"/>
        <v>167.00000000000003</v>
      </c>
      <c r="AC40" s="753">
        <v>0.3</v>
      </c>
      <c r="AD40" s="513">
        <f t="shared" si="43"/>
        <v>9</v>
      </c>
      <c r="AE40" s="757">
        <v>5.5</v>
      </c>
      <c r="AF40" s="513">
        <f t="shared" si="44"/>
        <v>110</v>
      </c>
    </row>
    <row r="41" spans="1:32" s="512" customFormat="1" ht="12.6" customHeight="1">
      <c r="A41" s="756">
        <v>149</v>
      </c>
      <c r="B41" s="756">
        <v>20</v>
      </c>
      <c r="C41" s="757">
        <v>8.58</v>
      </c>
      <c r="D41" s="513">
        <f t="shared" si="32"/>
        <v>186.1</v>
      </c>
      <c r="E41" s="513">
        <f t="shared" si="17"/>
        <v>163.768</v>
      </c>
      <c r="F41" s="757">
        <v>6.68</v>
      </c>
      <c r="G41" s="513">
        <f t="shared" si="33"/>
        <v>156</v>
      </c>
      <c r="H41" s="513">
        <f t="shared" si="18"/>
        <v>179.39999999999998</v>
      </c>
      <c r="I41" s="757">
        <v>0</v>
      </c>
      <c r="J41" s="513">
        <f t="shared" si="34"/>
        <v>0</v>
      </c>
      <c r="K41" s="513">
        <f t="shared" si="4"/>
        <v>0</v>
      </c>
      <c r="L41" s="757">
        <v>0.18</v>
      </c>
      <c r="M41" s="513">
        <f t="shared" si="35"/>
        <v>3.5999999999999996</v>
      </c>
      <c r="N41" s="513">
        <f t="shared" si="6"/>
        <v>4.1399999999999997</v>
      </c>
      <c r="O41" s="513">
        <f t="shared" si="7"/>
        <v>343.16800000000001</v>
      </c>
      <c r="P41" s="757">
        <v>0</v>
      </c>
      <c r="Q41" s="513">
        <f t="shared" si="36"/>
        <v>5.2</v>
      </c>
      <c r="R41" s="513">
        <f t="shared" si="37"/>
        <v>5.2</v>
      </c>
      <c r="S41" s="513">
        <f t="shared" si="38"/>
        <v>337.96800000000002</v>
      </c>
      <c r="T41" s="513">
        <f t="shared" si="39"/>
        <v>5906.6370499999994</v>
      </c>
      <c r="U41" s="757">
        <v>0</v>
      </c>
      <c r="V41" s="513">
        <f t="shared" si="12"/>
        <v>43</v>
      </c>
      <c r="W41" s="757">
        <v>0</v>
      </c>
      <c r="X41" s="513">
        <f t="shared" si="40"/>
        <v>13</v>
      </c>
      <c r="Y41" s="757">
        <v>0</v>
      </c>
      <c r="Z41" s="513">
        <f t="shared" si="41"/>
        <v>37</v>
      </c>
      <c r="AA41" s="757">
        <v>7.3</v>
      </c>
      <c r="AB41" s="513">
        <f t="shared" si="42"/>
        <v>157</v>
      </c>
      <c r="AC41" s="753">
        <v>0</v>
      </c>
      <c r="AD41" s="513">
        <f t="shared" si="43"/>
        <v>3</v>
      </c>
      <c r="AE41" s="757">
        <v>4</v>
      </c>
      <c r="AF41" s="513">
        <f t="shared" si="44"/>
        <v>95</v>
      </c>
    </row>
    <row r="42" spans="1:32" s="512" customFormat="1" ht="12.6" customHeight="1">
      <c r="A42" s="756" t="s">
        <v>551</v>
      </c>
      <c r="B42" s="756">
        <v>10</v>
      </c>
      <c r="C42" s="757">
        <v>12.76</v>
      </c>
      <c r="D42" s="513">
        <f t="shared" si="32"/>
        <v>106.7</v>
      </c>
      <c r="E42" s="513">
        <f t="shared" si="17"/>
        <v>93.896000000000001</v>
      </c>
      <c r="F42" s="757">
        <v>12.58</v>
      </c>
      <c r="G42" s="513">
        <f t="shared" si="33"/>
        <v>96.299999999999983</v>
      </c>
      <c r="H42" s="513">
        <f t="shared" si="18"/>
        <v>110.74499999999998</v>
      </c>
      <c r="I42" s="757">
        <v>0</v>
      </c>
      <c r="J42" s="513">
        <f t="shared" si="34"/>
        <v>0</v>
      </c>
      <c r="K42" s="723">
        <f t="shared" si="4"/>
        <v>0</v>
      </c>
      <c r="L42" s="757">
        <v>0.18</v>
      </c>
      <c r="M42" s="513">
        <f t="shared" si="35"/>
        <v>1.7999999999999998</v>
      </c>
      <c r="N42" s="513">
        <f t="shared" si="6"/>
        <v>2.0699999999999998</v>
      </c>
      <c r="O42" s="723">
        <f t="shared" si="7"/>
        <v>204.64099999999996</v>
      </c>
      <c r="P42" s="757">
        <v>0</v>
      </c>
      <c r="Q42" s="513">
        <f t="shared" si="36"/>
        <v>0</v>
      </c>
      <c r="R42" s="513">
        <f t="shared" si="37"/>
        <v>0</v>
      </c>
      <c r="S42" s="513">
        <f t="shared" si="38"/>
        <v>204.64099999999996</v>
      </c>
      <c r="T42" s="513">
        <f t="shared" si="39"/>
        <v>6111.278049999999</v>
      </c>
      <c r="U42" s="757">
        <v>0</v>
      </c>
      <c r="V42" s="513">
        <f t="shared" si="12"/>
        <v>0</v>
      </c>
      <c r="W42" s="757">
        <v>1.1000000000000001</v>
      </c>
      <c r="X42" s="513">
        <f t="shared" si="40"/>
        <v>5.5</v>
      </c>
      <c r="Y42" s="757">
        <v>0</v>
      </c>
      <c r="Z42" s="513">
        <f t="shared" si="41"/>
        <v>0</v>
      </c>
      <c r="AA42" s="757">
        <v>10.3</v>
      </c>
      <c r="AB42" s="513">
        <f t="shared" si="42"/>
        <v>88</v>
      </c>
      <c r="AC42" s="753">
        <v>0</v>
      </c>
      <c r="AD42" s="513">
        <f t="shared" si="43"/>
        <v>0</v>
      </c>
      <c r="AE42" s="757">
        <v>7.6</v>
      </c>
      <c r="AF42" s="513">
        <f t="shared" si="44"/>
        <v>58</v>
      </c>
    </row>
    <row r="43" spans="1:32" s="512" customFormat="1" ht="12.6" customHeight="1">
      <c r="A43" s="756">
        <v>150</v>
      </c>
      <c r="B43" s="756">
        <v>10</v>
      </c>
      <c r="C43" s="757">
        <v>10.35</v>
      </c>
      <c r="D43" s="513">
        <f t="shared" si="32"/>
        <v>115.55</v>
      </c>
      <c r="E43" s="513">
        <f t="shared" si="17"/>
        <v>101.684</v>
      </c>
      <c r="F43" s="757">
        <v>9.58</v>
      </c>
      <c r="G43" s="513">
        <f t="shared" si="33"/>
        <v>110.8</v>
      </c>
      <c r="H43" s="513">
        <f t="shared" si="18"/>
        <v>127.41999999999999</v>
      </c>
      <c r="I43" s="757">
        <v>0</v>
      </c>
      <c r="J43" s="513">
        <f t="shared" si="34"/>
        <v>0</v>
      </c>
      <c r="K43" s="513">
        <f t="shared" si="4"/>
        <v>0</v>
      </c>
      <c r="L43" s="757">
        <v>0.18</v>
      </c>
      <c r="M43" s="513">
        <f t="shared" si="35"/>
        <v>1.7999999999999998</v>
      </c>
      <c r="N43" s="513">
        <f t="shared" si="6"/>
        <v>2.0699999999999998</v>
      </c>
      <c r="O43" s="513">
        <f t="shared" si="7"/>
        <v>229.10399999999998</v>
      </c>
      <c r="P43" s="757">
        <v>2.13</v>
      </c>
      <c r="Q43" s="513">
        <f t="shared" si="36"/>
        <v>10.649999999999999</v>
      </c>
      <c r="R43" s="513">
        <f t="shared" si="37"/>
        <v>10.649999999999999</v>
      </c>
      <c r="S43" s="513">
        <f t="shared" si="38"/>
        <v>218.45399999999998</v>
      </c>
      <c r="T43" s="513">
        <f t="shared" si="39"/>
        <v>6329.7320499999987</v>
      </c>
      <c r="U43" s="757">
        <v>0</v>
      </c>
      <c r="V43" s="513">
        <f t="shared" si="12"/>
        <v>0</v>
      </c>
      <c r="W43" s="757">
        <v>1.2</v>
      </c>
      <c r="X43" s="513">
        <f t="shared" si="40"/>
        <v>11.5</v>
      </c>
      <c r="Y43" s="757">
        <v>6.6</v>
      </c>
      <c r="Z43" s="513">
        <f t="shared" si="41"/>
        <v>33</v>
      </c>
      <c r="AA43" s="757">
        <v>8.6</v>
      </c>
      <c r="AB43" s="513">
        <f t="shared" si="42"/>
        <v>94.5</v>
      </c>
      <c r="AC43" s="753">
        <v>0.8</v>
      </c>
      <c r="AD43" s="513">
        <f t="shared" si="43"/>
        <v>4</v>
      </c>
      <c r="AE43" s="757">
        <v>6.2</v>
      </c>
      <c r="AF43" s="513">
        <f t="shared" si="44"/>
        <v>69</v>
      </c>
    </row>
    <row r="44" spans="1:32" s="512" customFormat="1" ht="12.6" customHeight="1">
      <c r="A44" s="756">
        <v>151</v>
      </c>
      <c r="B44" s="756">
        <v>20</v>
      </c>
      <c r="C44" s="757">
        <v>6.76</v>
      </c>
      <c r="D44" s="513">
        <f t="shared" si="32"/>
        <v>171.1</v>
      </c>
      <c r="E44" s="513">
        <f t="shared" si="17"/>
        <v>150.56799999999998</v>
      </c>
      <c r="F44" s="757">
        <v>3.21</v>
      </c>
      <c r="G44" s="513">
        <f t="shared" si="33"/>
        <v>127.89999999999999</v>
      </c>
      <c r="H44" s="513">
        <f t="shared" si="18"/>
        <v>147.08499999999998</v>
      </c>
      <c r="I44" s="757">
        <v>0</v>
      </c>
      <c r="J44" s="513">
        <f t="shared" si="34"/>
        <v>0</v>
      </c>
      <c r="K44" s="723">
        <f t="shared" si="4"/>
        <v>0</v>
      </c>
      <c r="L44" s="757">
        <v>0.18</v>
      </c>
      <c r="M44" s="513">
        <f t="shared" si="35"/>
        <v>3.5999999999999996</v>
      </c>
      <c r="N44" s="513">
        <f t="shared" si="6"/>
        <v>4.1399999999999997</v>
      </c>
      <c r="O44" s="723">
        <f t="shared" si="7"/>
        <v>297.65299999999996</v>
      </c>
      <c r="P44" s="757">
        <v>0.96</v>
      </c>
      <c r="Q44" s="513">
        <f t="shared" si="36"/>
        <v>30.9</v>
      </c>
      <c r="R44" s="513">
        <f t="shared" si="37"/>
        <v>30.9</v>
      </c>
      <c r="S44" s="513">
        <f t="shared" si="38"/>
        <v>266.75299999999999</v>
      </c>
      <c r="T44" s="513">
        <f t="shared" si="39"/>
        <v>6596.4850499999984</v>
      </c>
      <c r="U44" s="757">
        <v>5.9</v>
      </c>
      <c r="V44" s="513">
        <f t="shared" si="12"/>
        <v>59</v>
      </c>
      <c r="W44" s="757">
        <v>1.3</v>
      </c>
      <c r="X44" s="513">
        <f t="shared" si="40"/>
        <v>25</v>
      </c>
      <c r="Y44" s="757">
        <v>5</v>
      </c>
      <c r="Z44" s="513">
        <f t="shared" si="41"/>
        <v>116</v>
      </c>
      <c r="AA44" s="757">
        <v>6.1</v>
      </c>
      <c r="AB44" s="513">
        <f t="shared" si="42"/>
        <v>147</v>
      </c>
      <c r="AC44" s="753">
        <v>0.5</v>
      </c>
      <c r="AD44" s="513">
        <f t="shared" si="43"/>
        <v>13</v>
      </c>
      <c r="AE44" s="757">
        <v>4</v>
      </c>
      <c r="AF44" s="513">
        <f t="shared" si="44"/>
        <v>102</v>
      </c>
    </row>
    <row r="45" spans="1:32" s="512" customFormat="1" ht="12.6" customHeight="1">
      <c r="A45" s="756">
        <v>152</v>
      </c>
      <c r="B45" s="756">
        <v>20</v>
      </c>
      <c r="C45" s="757">
        <v>6.65</v>
      </c>
      <c r="D45" s="513">
        <f t="shared" si="32"/>
        <v>134.1</v>
      </c>
      <c r="E45" s="513">
        <f t="shared" si="17"/>
        <v>118.008</v>
      </c>
      <c r="F45" s="757">
        <v>3.07</v>
      </c>
      <c r="G45" s="513">
        <f t="shared" si="33"/>
        <v>62.8</v>
      </c>
      <c r="H45" s="513">
        <f t="shared" si="18"/>
        <v>72.219999999999985</v>
      </c>
      <c r="I45" s="757">
        <v>0</v>
      </c>
      <c r="J45" s="513">
        <f t="shared" si="34"/>
        <v>0</v>
      </c>
      <c r="K45" s="513">
        <f t="shared" si="4"/>
        <v>0</v>
      </c>
      <c r="L45" s="757">
        <v>0.18</v>
      </c>
      <c r="M45" s="513">
        <f t="shared" si="35"/>
        <v>3.5999999999999996</v>
      </c>
      <c r="N45" s="513">
        <f t="shared" si="6"/>
        <v>4.1399999999999997</v>
      </c>
      <c r="O45" s="513">
        <f t="shared" si="7"/>
        <v>190.22799999999998</v>
      </c>
      <c r="P45" s="757">
        <v>1.18</v>
      </c>
      <c r="Q45" s="513">
        <f t="shared" si="36"/>
        <v>21.4</v>
      </c>
      <c r="R45" s="513">
        <f t="shared" si="37"/>
        <v>21.4</v>
      </c>
      <c r="S45" s="513">
        <f t="shared" si="38"/>
        <v>168.82799999999997</v>
      </c>
      <c r="T45" s="513">
        <f t="shared" si="39"/>
        <v>6765.3130499999988</v>
      </c>
      <c r="U45" s="757">
        <v>6.5</v>
      </c>
      <c r="V45" s="513">
        <f t="shared" si="12"/>
        <v>124</v>
      </c>
      <c r="W45" s="757">
        <v>1.3</v>
      </c>
      <c r="X45" s="513">
        <f t="shared" si="40"/>
        <v>26</v>
      </c>
      <c r="Y45" s="757">
        <v>5.6</v>
      </c>
      <c r="Z45" s="513">
        <f t="shared" si="41"/>
        <v>106</v>
      </c>
      <c r="AA45" s="757">
        <v>6</v>
      </c>
      <c r="AB45" s="513">
        <f t="shared" si="42"/>
        <v>121</v>
      </c>
      <c r="AC45" s="753">
        <v>0.5</v>
      </c>
      <c r="AD45" s="513">
        <f t="shared" si="43"/>
        <v>10</v>
      </c>
      <c r="AE45" s="757">
        <v>4</v>
      </c>
      <c r="AF45" s="513">
        <f t="shared" si="44"/>
        <v>80</v>
      </c>
    </row>
    <row r="46" spans="1:32" s="512" customFormat="1" ht="12.6" customHeight="1">
      <c r="A46" s="756">
        <v>153</v>
      </c>
      <c r="B46" s="756">
        <v>20</v>
      </c>
      <c r="C46" s="757">
        <v>9.17</v>
      </c>
      <c r="D46" s="513">
        <f t="shared" si="32"/>
        <v>158.19999999999999</v>
      </c>
      <c r="E46" s="513">
        <f t="shared" si="17"/>
        <v>139.21599999999998</v>
      </c>
      <c r="F46" s="757">
        <v>8.64</v>
      </c>
      <c r="G46" s="513">
        <f t="shared" si="33"/>
        <v>117.10000000000001</v>
      </c>
      <c r="H46" s="513">
        <f t="shared" si="18"/>
        <v>134.66499999999999</v>
      </c>
      <c r="I46" s="757">
        <v>0</v>
      </c>
      <c r="J46" s="513">
        <f t="shared" si="34"/>
        <v>0</v>
      </c>
      <c r="K46" s="513">
        <f t="shared" si="4"/>
        <v>0</v>
      </c>
      <c r="L46" s="757">
        <v>0.18</v>
      </c>
      <c r="M46" s="513">
        <f t="shared" si="35"/>
        <v>3.5999999999999996</v>
      </c>
      <c r="N46" s="513">
        <f t="shared" si="6"/>
        <v>4.1399999999999997</v>
      </c>
      <c r="O46" s="513">
        <f t="shared" si="7"/>
        <v>273.88099999999997</v>
      </c>
      <c r="P46" s="757">
        <v>0</v>
      </c>
      <c r="Q46" s="513">
        <f t="shared" si="36"/>
        <v>11.799999999999999</v>
      </c>
      <c r="R46" s="513">
        <f t="shared" si="37"/>
        <v>11.799999999999999</v>
      </c>
      <c r="S46" s="513">
        <f t="shared" si="38"/>
        <v>262.08099999999996</v>
      </c>
      <c r="T46" s="513">
        <f t="shared" si="39"/>
        <v>7027.394049999999</v>
      </c>
      <c r="U46" s="757">
        <v>0</v>
      </c>
      <c r="V46" s="513">
        <f t="shared" si="12"/>
        <v>65</v>
      </c>
      <c r="W46" s="757">
        <v>1.5</v>
      </c>
      <c r="X46" s="513">
        <f t="shared" si="40"/>
        <v>28</v>
      </c>
      <c r="Y46" s="757">
        <v>0</v>
      </c>
      <c r="Z46" s="513">
        <f t="shared" si="41"/>
        <v>56</v>
      </c>
      <c r="AA46" s="757">
        <v>7.6</v>
      </c>
      <c r="AB46" s="513">
        <f t="shared" si="42"/>
        <v>136</v>
      </c>
      <c r="AC46" s="753">
        <v>0</v>
      </c>
      <c r="AD46" s="513">
        <f t="shared" si="43"/>
        <v>5</v>
      </c>
      <c r="AE46" s="757">
        <v>4</v>
      </c>
      <c r="AF46" s="513">
        <f t="shared" si="44"/>
        <v>80</v>
      </c>
    </row>
    <row r="47" spans="1:32" s="512" customFormat="1" ht="12.6" customHeight="1">
      <c r="A47" s="758">
        <v>154</v>
      </c>
      <c r="B47" s="758">
        <v>20</v>
      </c>
      <c r="C47" s="759">
        <v>6.89</v>
      </c>
      <c r="D47" s="760">
        <f t="shared" si="32"/>
        <v>160.6</v>
      </c>
      <c r="E47" s="760">
        <f t="shared" si="17"/>
        <v>141.328</v>
      </c>
      <c r="F47" s="759">
        <v>3.46</v>
      </c>
      <c r="G47" s="760">
        <f t="shared" si="33"/>
        <v>121.00000000000001</v>
      </c>
      <c r="H47" s="760">
        <f t="shared" si="18"/>
        <v>139.15</v>
      </c>
      <c r="I47" s="759">
        <v>0</v>
      </c>
      <c r="J47" s="760">
        <f t="shared" si="34"/>
        <v>0</v>
      </c>
      <c r="K47" s="760">
        <f t="shared" si="4"/>
        <v>0</v>
      </c>
      <c r="L47" s="759">
        <v>0.18</v>
      </c>
      <c r="M47" s="760">
        <f t="shared" si="35"/>
        <v>3.5999999999999996</v>
      </c>
      <c r="N47" s="760">
        <f t="shared" si="6"/>
        <v>4.1399999999999997</v>
      </c>
      <c r="O47" s="760">
        <f t="shared" si="7"/>
        <v>280.47800000000001</v>
      </c>
      <c r="P47" s="759">
        <v>0.88</v>
      </c>
      <c r="Q47" s="760">
        <f t="shared" si="36"/>
        <v>8.8000000000000007</v>
      </c>
      <c r="R47" s="760">
        <f t="shared" si="37"/>
        <v>8.8000000000000007</v>
      </c>
      <c r="S47" s="760">
        <f t="shared" si="38"/>
        <v>271.678</v>
      </c>
      <c r="T47" s="760">
        <f t="shared" si="39"/>
        <v>7299.0720499999989</v>
      </c>
      <c r="U47" s="759">
        <v>5</v>
      </c>
      <c r="V47" s="760">
        <f t="shared" si="12"/>
        <v>50</v>
      </c>
      <c r="W47" s="759">
        <v>1.3</v>
      </c>
      <c r="X47" s="760">
        <f t="shared" si="40"/>
        <v>28</v>
      </c>
      <c r="Y47" s="759">
        <v>4.2</v>
      </c>
      <c r="Z47" s="760">
        <f t="shared" si="41"/>
        <v>42</v>
      </c>
      <c r="AA47" s="759">
        <v>6.1</v>
      </c>
      <c r="AB47" s="760">
        <f t="shared" si="42"/>
        <v>137</v>
      </c>
      <c r="AC47" s="761">
        <v>0.5</v>
      </c>
      <c r="AD47" s="760">
        <f t="shared" si="43"/>
        <v>5</v>
      </c>
      <c r="AE47" s="759">
        <v>4</v>
      </c>
      <c r="AF47" s="760">
        <f t="shared" si="44"/>
        <v>80</v>
      </c>
    </row>
    <row r="48" spans="1:32" s="512" customFormat="1" ht="12.6" customHeight="1">
      <c r="A48" s="756" t="s">
        <v>552</v>
      </c>
      <c r="B48" s="756">
        <v>6</v>
      </c>
      <c r="C48" s="757">
        <v>0.92</v>
      </c>
      <c r="D48" s="513">
        <f t="shared" si="32"/>
        <v>23.43</v>
      </c>
      <c r="E48" s="513">
        <f t="shared" si="17"/>
        <v>20.618400000000001</v>
      </c>
      <c r="F48" s="757">
        <v>0</v>
      </c>
      <c r="G48" s="513">
        <f t="shared" si="33"/>
        <v>10.379999999999999</v>
      </c>
      <c r="H48" s="513">
        <f t="shared" si="18"/>
        <v>11.936999999999998</v>
      </c>
      <c r="I48" s="757">
        <v>0.11</v>
      </c>
      <c r="J48" s="513">
        <f t="shared" si="34"/>
        <v>0.33</v>
      </c>
      <c r="K48" s="723">
        <f t="shared" si="4"/>
        <v>0.29039999999999999</v>
      </c>
      <c r="L48" s="757">
        <v>7.0000000000000007E-2</v>
      </c>
      <c r="M48" s="513">
        <f t="shared" si="35"/>
        <v>0.75</v>
      </c>
      <c r="N48" s="513">
        <f t="shared" si="6"/>
        <v>0.86249999999999993</v>
      </c>
      <c r="O48" s="723">
        <f t="shared" si="7"/>
        <v>32.555399999999999</v>
      </c>
      <c r="P48" s="757">
        <v>11.42</v>
      </c>
      <c r="Q48" s="513">
        <f t="shared" si="36"/>
        <v>36.900000000000006</v>
      </c>
      <c r="R48" s="513">
        <f t="shared" si="37"/>
        <v>32.555399999999999</v>
      </c>
      <c r="S48" s="513">
        <f t="shared" si="38"/>
        <v>-4.3446000000000069</v>
      </c>
      <c r="T48" s="513">
        <f t="shared" si="39"/>
        <v>7294.7274499999985</v>
      </c>
      <c r="U48" s="757">
        <v>6.1</v>
      </c>
      <c r="V48" s="513">
        <f t="shared" si="12"/>
        <v>33.299999999999997</v>
      </c>
      <c r="W48" s="757">
        <v>1.3</v>
      </c>
      <c r="X48" s="513">
        <f t="shared" si="40"/>
        <v>7.8000000000000007</v>
      </c>
      <c r="Y48" s="757">
        <v>8</v>
      </c>
      <c r="Z48" s="513">
        <f t="shared" si="41"/>
        <v>36.599999999999994</v>
      </c>
      <c r="AA48" s="757">
        <v>1.9</v>
      </c>
      <c r="AB48" s="513">
        <f t="shared" si="42"/>
        <v>24</v>
      </c>
      <c r="AC48" s="753">
        <v>3.3</v>
      </c>
      <c r="AD48" s="513">
        <f t="shared" si="43"/>
        <v>11.399999999999999</v>
      </c>
      <c r="AE48" s="757">
        <v>4</v>
      </c>
      <c r="AF48" s="513">
        <f t="shared" si="44"/>
        <v>24</v>
      </c>
    </row>
    <row r="49" spans="1:32" s="512" customFormat="1" ht="12.6" customHeight="1">
      <c r="A49" s="756">
        <v>155</v>
      </c>
      <c r="B49" s="756">
        <v>14</v>
      </c>
      <c r="C49" s="757">
        <v>6.81</v>
      </c>
      <c r="D49" s="513">
        <f t="shared" si="32"/>
        <v>54.11</v>
      </c>
      <c r="E49" s="513">
        <f t="shared" si="17"/>
        <v>47.616799999999998</v>
      </c>
      <c r="F49" s="757">
        <v>10.41</v>
      </c>
      <c r="G49" s="513">
        <f t="shared" si="33"/>
        <v>72.87</v>
      </c>
      <c r="H49" s="513">
        <f t="shared" si="18"/>
        <v>83.8005</v>
      </c>
      <c r="I49" s="757">
        <v>0</v>
      </c>
      <c r="J49" s="513">
        <f t="shared" si="34"/>
        <v>0.77</v>
      </c>
      <c r="K49" s="513">
        <f t="shared" si="4"/>
        <v>0.67759999999999998</v>
      </c>
      <c r="L49" s="757">
        <v>0.18</v>
      </c>
      <c r="M49" s="513">
        <f t="shared" si="35"/>
        <v>1.75</v>
      </c>
      <c r="N49" s="513">
        <f t="shared" si="6"/>
        <v>2.0124999999999997</v>
      </c>
      <c r="O49" s="513">
        <f t="shared" si="7"/>
        <v>131.41730000000001</v>
      </c>
      <c r="P49" s="757">
        <v>0</v>
      </c>
      <c r="Q49" s="513">
        <f t="shared" si="36"/>
        <v>79.94</v>
      </c>
      <c r="R49" s="513">
        <f t="shared" si="37"/>
        <v>79.94</v>
      </c>
      <c r="S49" s="513">
        <f t="shared" si="38"/>
        <v>51.477300000000014</v>
      </c>
      <c r="T49" s="513">
        <f t="shared" si="39"/>
        <v>7346.204749999999</v>
      </c>
      <c r="U49" s="757">
        <v>0</v>
      </c>
      <c r="V49" s="513">
        <f t="shared" si="12"/>
        <v>42.699999999999996</v>
      </c>
      <c r="W49" s="757">
        <v>0.8</v>
      </c>
      <c r="X49" s="513">
        <f t="shared" si="40"/>
        <v>14.700000000000001</v>
      </c>
      <c r="Y49" s="757">
        <v>0</v>
      </c>
      <c r="Z49" s="513">
        <f t="shared" si="41"/>
        <v>56</v>
      </c>
      <c r="AA49" s="757">
        <v>7.6</v>
      </c>
      <c r="AB49" s="513">
        <f t="shared" si="42"/>
        <v>66.5</v>
      </c>
      <c r="AC49" s="753">
        <v>0</v>
      </c>
      <c r="AD49" s="513">
        <f t="shared" si="43"/>
        <v>23.099999999999998</v>
      </c>
      <c r="AE49" s="757">
        <v>4</v>
      </c>
      <c r="AF49" s="513">
        <f t="shared" si="44"/>
        <v>56</v>
      </c>
    </row>
    <row r="50" spans="1:32" s="512" customFormat="1" ht="12.6" customHeight="1">
      <c r="A50" s="756" t="s">
        <v>553</v>
      </c>
      <c r="B50" s="756">
        <v>12</v>
      </c>
      <c r="C50" s="757">
        <v>0</v>
      </c>
      <c r="D50" s="513">
        <f t="shared" si="32"/>
        <v>40.86</v>
      </c>
      <c r="E50" s="513">
        <f t="shared" si="17"/>
        <v>35.956800000000001</v>
      </c>
      <c r="F50" s="757">
        <v>0</v>
      </c>
      <c r="G50" s="513">
        <f t="shared" si="33"/>
        <v>62.46</v>
      </c>
      <c r="H50" s="513">
        <f t="shared" si="18"/>
        <v>71.828999999999994</v>
      </c>
      <c r="I50" s="757">
        <v>0</v>
      </c>
      <c r="J50" s="513">
        <f t="shared" si="34"/>
        <v>0</v>
      </c>
      <c r="K50" s="723">
        <f t="shared" si="4"/>
        <v>0</v>
      </c>
      <c r="L50" s="757">
        <v>0</v>
      </c>
      <c r="M50" s="513">
        <f t="shared" si="35"/>
        <v>1.08</v>
      </c>
      <c r="N50" s="513">
        <f t="shared" si="6"/>
        <v>1.242</v>
      </c>
      <c r="O50" s="723">
        <f t="shared" si="7"/>
        <v>107.78579999999999</v>
      </c>
      <c r="P50" s="757">
        <v>41.25</v>
      </c>
      <c r="Q50" s="513">
        <f t="shared" si="36"/>
        <v>247.5</v>
      </c>
      <c r="R50" s="513">
        <f t="shared" si="37"/>
        <v>107.78579999999999</v>
      </c>
      <c r="S50" s="513">
        <f t="shared" si="38"/>
        <v>-139.71420000000001</v>
      </c>
      <c r="T50" s="513">
        <f t="shared" si="39"/>
        <v>7206.4905499999986</v>
      </c>
      <c r="U50" s="757">
        <v>10.7</v>
      </c>
      <c r="V50" s="513">
        <f t="shared" si="12"/>
        <v>64.199999999999989</v>
      </c>
      <c r="W50" s="757">
        <v>0</v>
      </c>
      <c r="X50" s="513">
        <f t="shared" si="40"/>
        <v>4.8000000000000007</v>
      </c>
      <c r="Y50" s="757">
        <v>14.4</v>
      </c>
      <c r="Z50" s="513">
        <f t="shared" si="41"/>
        <v>86.4</v>
      </c>
      <c r="AA50" s="757">
        <v>0</v>
      </c>
      <c r="AB50" s="513">
        <f t="shared" si="42"/>
        <v>45.599999999999994</v>
      </c>
      <c r="AC50" s="753">
        <v>6.2</v>
      </c>
      <c r="AD50" s="513">
        <f t="shared" si="43"/>
        <v>37.200000000000003</v>
      </c>
      <c r="AE50" s="757">
        <v>6.2</v>
      </c>
      <c r="AF50" s="513">
        <f t="shared" si="44"/>
        <v>61.199999999999996</v>
      </c>
    </row>
    <row r="51" spans="1:32" s="512" customFormat="1" ht="12.6" customHeight="1">
      <c r="A51" s="756">
        <v>156</v>
      </c>
      <c r="B51" s="756">
        <v>8</v>
      </c>
      <c r="C51" s="757">
        <v>10.98</v>
      </c>
      <c r="D51" s="513">
        <f t="shared" si="32"/>
        <v>43.92</v>
      </c>
      <c r="E51" s="513">
        <f t="shared" si="17"/>
        <v>38.6496</v>
      </c>
      <c r="F51" s="757">
        <v>19.93</v>
      </c>
      <c r="G51" s="513">
        <f t="shared" si="33"/>
        <v>79.72</v>
      </c>
      <c r="H51" s="513">
        <f t="shared" si="18"/>
        <v>91.677999999999997</v>
      </c>
      <c r="I51" s="757">
        <v>0</v>
      </c>
      <c r="J51" s="513">
        <f t="shared" si="34"/>
        <v>0</v>
      </c>
      <c r="K51" s="513">
        <f t="shared" si="4"/>
        <v>0</v>
      </c>
      <c r="L51" s="757">
        <v>0.18</v>
      </c>
      <c r="M51" s="513">
        <f t="shared" si="35"/>
        <v>0.72</v>
      </c>
      <c r="N51" s="513">
        <f t="shared" si="6"/>
        <v>0.82799999999999996</v>
      </c>
      <c r="O51" s="513">
        <f t="shared" si="7"/>
        <v>130.32759999999999</v>
      </c>
      <c r="P51" s="757">
        <v>5.69</v>
      </c>
      <c r="Q51" s="513">
        <f t="shared" si="36"/>
        <v>187.76</v>
      </c>
      <c r="R51" s="513">
        <f t="shared" si="37"/>
        <v>130.32759999999999</v>
      </c>
      <c r="S51" s="513">
        <f t="shared" si="38"/>
        <v>-57.432400000000001</v>
      </c>
      <c r="T51" s="513">
        <f t="shared" si="39"/>
        <v>7149.0581499999989</v>
      </c>
      <c r="U51" s="757">
        <v>10</v>
      </c>
      <c r="V51" s="513">
        <f t="shared" si="12"/>
        <v>82.8</v>
      </c>
      <c r="W51" s="757">
        <v>1.2</v>
      </c>
      <c r="X51" s="513">
        <f t="shared" si="40"/>
        <v>4.8</v>
      </c>
      <c r="Y51" s="757">
        <v>8.4</v>
      </c>
      <c r="Z51" s="513">
        <f t="shared" si="41"/>
        <v>91.2</v>
      </c>
      <c r="AA51" s="757">
        <v>10.1</v>
      </c>
      <c r="AB51" s="513">
        <f t="shared" si="42"/>
        <v>40.4</v>
      </c>
      <c r="AC51" s="753">
        <v>0.9</v>
      </c>
      <c r="AD51" s="513">
        <f t="shared" si="43"/>
        <v>28.400000000000002</v>
      </c>
      <c r="AE51" s="757">
        <v>6.2</v>
      </c>
      <c r="AF51" s="513">
        <f t="shared" si="44"/>
        <v>49.6</v>
      </c>
    </row>
    <row r="52" spans="1:32" s="512" customFormat="1" ht="12.6" customHeight="1">
      <c r="A52" s="756" t="s">
        <v>554</v>
      </c>
      <c r="B52" s="756">
        <v>10</v>
      </c>
      <c r="C52" s="757">
        <v>11.46</v>
      </c>
      <c r="D52" s="513">
        <f t="shared" si="32"/>
        <v>112.2</v>
      </c>
      <c r="E52" s="513">
        <f t="shared" si="17"/>
        <v>98.736000000000004</v>
      </c>
      <c r="F52" s="757">
        <v>14.77</v>
      </c>
      <c r="G52" s="513">
        <f t="shared" si="33"/>
        <v>173.5</v>
      </c>
      <c r="H52" s="513">
        <f t="shared" si="18"/>
        <v>199.52499999999998</v>
      </c>
      <c r="I52" s="757">
        <v>0</v>
      </c>
      <c r="J52" s="513">
        <f t="shared" si="34"/>
        <v>0</v>
      </c>
      <c r="K52" s="723">
        <f t="shared" si="4"/>
        <v>0</v>
      </c>
      <c r="L52" s="757">
        <v>0.18</v>
      </c>
      <c r="M52" s="513">
        <f t="shared" si="35"/>
        <v>1.7999999999999998</v>
      </c>
      <c r="N52" s="513">
        <f t="shared" si="6"/>
        <v>2.0699999999999998</v>
      </c>
      <c r="O52" s="723">
        <f t="shared" si="7"/>
        <v>298.26099999999997</v>
      </c>
      <c r="P52" s="757">
        <v>0</v>
      </c>
      <c r="Q52" s="513">
        <f t="shared" si="36"/>
        <v>28.450000000000003</v>
      </c>
      <c r="R52" s="513">
        <f t="shared" si="37"/>
        <v>28.450000000000003</v>
      </c>
      <c r="S52" s="513">
        <f t="shared" si="38"/>
        <v>269.81099999999998</v>
      </c>
      <c r="T52" s="513">
        <f t="shared" si="39"/>
        <v>7418.8691499999986</v>
      </c>
      <c r="U52" s="757">
        <v>0</v>
      </c>
      <c r="V52" s="513">
        <f t="shared" si="12"/>
        <v>50</v>
      </c>
      <c r="W52" s="757">
        <v>1.4</v>
      </c>
      <c r="X52" s="513">
        <f t="shared" si="40"/>
        <v>12.999999999999998</v>
      </c>
      <c r="Y52" s="757">
        <v>0</v>
      </c>
      <c r="Z52" s="513">
        <f t="shared" si="41"/>
        <v>42</v>
      </c>
      <c r="AA52" s="757">
        <v>9.1999999999999993</v>
      </c>
      <c r="AB52" s="513">
        <f t="shared" si="42"/>
        <v>96.499999999999986</v>
      </c>
      <c r="AC52" s="753">
        <v>0</v>
      </c>
      <c r="AD52" s="513">
        <f t="shared" si="43"/>
        <v>4.5</v>
      </c>
      <c r="AE52" s="757">
        <v>5.2</v>
      </c>
      <c r="AF52" s="513">
        <f t="shared" si="44"/>
        <v>57</v>
      </c>
    </row>
    <row r="53" spans="1:32" s="512" customFormat="1" ht="12.6" customHeight="1">
      <c r="A53" s="756">
        <v>157</v>
      </c>
      <c r="B53" s="756">
        <v>10</v>
      </c>
      <c r="C53" s="757">
        <v>9.61</v>
      </c>
      <c r="D53" s="513">
        <f t="shared" si="32"/>
        <v>105.35</v>
      </c>
      <c r="E53" s="513">
        <f t="shared" si="17"/>
        <v>92.707999999999998</v>
      </c>
      <c r="F53" s="757">
        <v>9.75</v>
      </c>
      <c r="G53" s="513">
        <f t="shared" si="33"/>
        <v>122.6</v>
      </c>
      <c r="H53" s="513">
        <f t="shared" si="18"/>
        <v>140.98999999999998</v>
      </c>
      <c r="I53" s="757">
        <v>0</v>
      </c>
      <c r="J53" s="513">
        <f t="shared" si="34"/>
        <v>0</v>
      </c>
      <c r="K53" s="513">
        <f t="shared" si="4"/>
        <v>0</v>
      </c>
      <c r="L53" s="757">
        <v>0.18</v>
      </c>
      <c r="M53" s="513">
        <f t="shared" si="35"/>
        <v>1.7999999999999998</v>
      </c>
      <c r="N53" s="513">
        <f t="shared" si="6"/>
        <v>2.0699999999999998</v>
      </c>
      <c r="O53" s="513">
        <f t="shared" si="7"/>
        <v>233.69799999999998</v>
      </c>
      <c r="P53" s="757">
        <v>0</v>
      </c>
      <c r="Q53" s="513">
        <f t="shared" si="36"/>
        <v>0</v>
      </c>
      <c r="R53" s="513">
        <f t="shared" si="37"/>
        <v>0</v>
      </c>
      <c r="S53" s="513">
        <f t="shared" si="38"/>
        <v>233.69799999999998</v>
      </c>
      <c r="T53" s="513">
        <f t="shared" si="39"/>
        <v>7652.5671499999989</v>
      </c>
      <c r="U53" s="757">
        <v>0</v>
      </c>
      <c r="V53" s="513">
        <f t="shared" si="12"/>
        <v>0</v>
      </c>
      <c r="W53" s="757">
        <v>1.6</v>
      </c>
      <c r="X53" s="513">
        <f t="shared" si="40"/>
        <v>15</v>
      </c>
      <c r="Y53" s="757">
        <v>0</v>
      </c>
      <c r="Z53" s="513">
        <f t="shared" si="41"/>
        <v>0</v>
      </c>
      <c r="AA53" s="757">
        <v>8</v>
      </c>
      <c r="AB53" s="513">
        <f t="shared" si="42"/>
        <v>86</v>
      </c>
      <c r="AC53" s="753">
        <v>0</v>
      </c>
      <c r="AD53" s="513">
        <f t="shared" si="43"/>
        <v>0</v>
      </c>
      <c r="AE53" s="757">
        <v>4</v>
      </c>
      <c r="AF53" s="513">
        <f t="shared" si="44"/>
        <v>46</v>
      </c>
    </row>
    <row r="54" spans="1:32" s="512" customFormat="1" ht="12.6" customHeight="1">
      <c r="A54" s="756">
        <v>158</v>
      </c>
      <c r="B54" s="756">
        <v>20</v>
      </c>
      <c r="C54" s="757">
        <v>9.61</v>
      </c>
      <c r="D54" s="513">
        <f t="shared" si="32"/>
        <v>192.2</v>
      </c>
      <c r="E54" s="513">
        <f t="shared" si="17"/>
        <v>169.136</v>
      </c>
      <c r="F54" s="757">
        <v>9.75</v>
      </c>
      <c r="G54" s="513">
        <f t="shared" si="33"/>
        <v>195</v>
      </c>
      <c r="H54" s="513">
        <f t="shared" si="18"/>
        <v>224.24999999999997</v>
      </c>
      <c r="I54" s="757">
        <v>0</v>
      </c>
      <c r="J54" s="513">
        <f t="shared" si="34"/>
        <v>0</v>
      </c>
      <c r="K54" s="723">
        <f t="shared" si="4"/>
        <v>0</v>
      </c>
      <c r="L54" s="757">
        <v>0.18</v>
      </c>
      <c r="M54" s="513">
        <f t="shared" si="35"/>
        <v>3.5999999999999996</v>
      </c>
      <c r="N54" s="513">
        <f t="shared" si="6"/>
        <v>4.1399999999999997</v>
      </c>
      <c r="O54" s="723">
        <f t="shared" si="7"/>
        <v>393.38599999999997</v>
      </c>
      <c r="P54" s="757">
        <v>0</v>
      </c>
      <c r="Q54" s="513">
        <f t="shared" si="36"/>
        <v>0</v>
      </c>
      <c r="R54" s="513">
        <f t="shared" si="37"/>
        <v>0</v>
      </c>
      <c r="S54" s="513">
        <f t="shared" si="38"/>
        <v>393.38599999999997</v>
      </c>
      <c r="T54" s="513">
        <f t="shared" si="39"/>
        <v>8045.9531499999994</v>
      </c>
      <c r="U54" s="757">
        <v>0</v>
      </c>
      <c r="V54" s="513">
        <f t="shared" si="12"/>
        <v>0</v>
      </c>
      <c r="W54" s="757">
        <v>1.6</v>
      </c>
      <c r="X54" s="513">
        <f t="shared" si="40"/>
        <v>32</v>
      </c>
      <c r="Y54" s="757">
        <v>0</v>
      </c>
      <c r="Z54" s="513">
        <f t="shared" si="41"/>
        <v>0</v>
      </c>
      <c r="AA54" s="757">
        <v>8</v>
      </c>
      <c r="AB54" s="513">
        <f t="shared" si="42"/>
        <v>160</v>
      </c>
      <c r="AC54" s="753">
        <v>0</v>
      </c>
      <c r="AD54" s="513">
        <f t="shared" si="43"/>
        <v>0</v>
      </c>
      <c r="AE54" s="757">
        <v>4</v>
      </c>
      <c r="AF54" s="513">
        <f t="shared" si="44"/>
        <v>80</v>
      </c>
    </row>
    <row r="55" spans="1:32" s="512" customFormat="1" ht="12.6" customHeight="1">
      <c r="A55" s="756">
        <v>159</v>
      </c>
      <c r="B55" s="756">
        <v>20</v>
      </c>
      <c r="C55" s="757">
        <v>11.31</v>
      </c>
      <c r="D55" s="513">
        <f t="shared" si="32"/>
        <v>209.20000000000002</v>
      </c>
      <c r="E55" s="513">
        <f t="shared" si="17"/>
        <v>184.096</v>
      </c>
      <c r="F55" s="757">
        <v>11.62</v>
      </c>
      <c r="G55" s="513">
        <f t="shared" si="33"/>
        <v>213.7</v>
      </c>
      <c r="H55" s="513">
        <f t="shared" si="18"/>
        <v>245.75499999999997</v>
      </c>
      <c r="I55" s="757">
        <v>0</v>
      </c>
      <c r="J55" s="513">
        <f t="shared" si="34"/>
        <v>0</v>
      </c>
      <c r="K55" s="513">
        <f t="shared" si="4"/>
        <v>0</v>
      </c>
      <c r="L55" s="757">
        <v>0.18</v>
      </c>
      <c r="M55" s="513">
        <f t="shared" si="35"/>
        <v>3.5999999999999996</v>
      </c>
      <c r="N55" s="513">
        <f t="shared" si="6"/>
        <v>4.1399999999999997</v>
      </c>
      <c r="O55" s="513">
        <f t="shared" si="7"/>
        <v>429.851</v>
      </c>
      <c r="P55" s="757">
        <v>0</v>
      </c>
      <c r="Q55" s="513">
        <f t="shared" si="36"/>
        <v>0</v>
      </c>
      <c r="R55" s="513">
        <f t="shared" si="37"/>
        <v>0</v>
      </c>
      <c r="S55" s="513">
        <f t="shared" si="38"/>
        <v>429.851</v>
      </c>
      <c r="T55" s="513">
        <f t="shared" si="39"/>
        <v>8475.8041499999999</v>
      </c>
      <c r="U55" s="757">
        <v>0</v>
      </c>
      <c r="V55" s="513">
        <f t="shared" si="12"/>
        <v>0</v>
      </c>
      <c r="W55" s="757">
        <v>1.3</v>
      </c>
      <c r="X55" s="513">
        <f t="shared" si="40"/>
        <v>29.000000000000004</v>
      </c>
      <c r="Y55" s="757">
        <v>0</v>
      </c>
      <c r="Z55" s="513">
        <f t="shared" si="41"/>
        <v>0</v>
      </c>
      <c r="AA55" s="757">
        <v>9.4</v>
      </c>
      <c r="AB55" s="513">
        <f t="shared" si="42"/>
        <v>174</v>
      </c>
      <c r="AC55" s="753">
        <v>0</v>
      </c>
      <c r="AD55" s="513">
        <f t="shared" si="43"/>
        <v>0</v>
      </c>
      <c r="AE55" s="757">
        <v>5.9</v>
      </c>
      <c r="AF55" s="513">
        <f t="shared" si="44"/>
        <v>99</v>
      </c>
    </row>
    <row r="56" spans="1:32" s="512" customFormat="1" ht="12.6" customHeight="1">
      <c r="A56" s="756">
        <v>160</v>
      </c>
      <c r="B56" s="756">
        <v>20</v>
      </c>
      <c r="C56" s="757">
        <v>3.38</v>
      </c>
      <c r="D56" s="513">
        <f t="shared" si="32"/>
        <v>146.9</v>
      </c>
      <c r="E56" s="513">
        <f t="shared" si="17"/>
        <v>129.27200000000002</v>
      </c>
      <c r="F56" s="757">
        <v>6.9</v>
      </c>
      <c r="G56" s="513">
        <f t="shared" si="33"/>
        <v>185.2</v>
      </c>
      <c r="H56" s="513">
        <f t="shared" si="18"/>
        <v>212.97999999999996</v>
      </c>
      <c r="I56" s="757">
        <v>0</v>
      </c>
      <c r="J56" s="513">
        <f t="shared" si="34"/>
        <v>0</v>
      </c>
      <c r="K56" s="723">
        <f t="shared" si="4"/>
        <v>0</v>
      </c>
      <c r="L56" s="757">
        <v>0.18</v>
      </c>
      <c r="M56" s="513">
        <f t="shared" si="35"/>
        <v>3.5999999999999996</v>
      </c>
      <c r="N56" s="513">
        <f t="shared" si="6"/>
        <v>4.1399999999999997</v>
      </c>
      <c r="O56" s="723">
        <f t="shared" si="7"/>
        <v>342.25199999999995</v>
      </c>
      <c r="P56" s="757">
        <v>0.95</v>
      </c>
      <c r="Q56" s="513">
        <f t="shared" si="36"/>
        <v>9.5</v>
      </c>
      <c r="R56" s="513">
        <f t="shared" si="37"/>
        <v>9.5</v>
      </c>
      <c r="S56" s="513">
        <f t="shared" si="38"/>
        <v>332.75199999999995</v>
      </c>
      <c r="T56" s="513">
        <f t="shared" si="39"/>
        <v>8808.5561500000003</v>
      </c>
      <c r="U56" s="757">
        <v>5.3</v>
      </c>
      <c r="V56" s="513">
        <f t="shared" si="12"/>
        <v>53</v>
      </c>
      <c r="W56" s="757">
        <v>6.1</v>
      </c>
      <c r="X56" s="513">
        <f t="shared" si="40"/>
        <v>74</v>
      </c>
      <c r="Y56" s="757">
        <v>4.5</v>
      </c>
      <c r="Z56" s="513">
        <f t="shared" si="41"/>
        <v>45</v>
      </c>
      <c r="AA56" s="757">
        <v>6.1</v>
      </c>
      <c r="AB56" s="513">
        <f t="shared" si="42"/>
        <v>155</v>
      </c>
      <c r="AC56" s="753">
        <v>0.5</v>
      </c>
      <c r="AD56" s="513">
        <f t="shared" si="43"/>
        <v>5</v>
      </c>
      <c r="AE56" s="757">
        <v>4</v>
      </c>
      <c r="AF56" s="513">
        <f t="shared" si="44"/>
        <v>99</v>
      </c>
    </row>
    <row r="57" spans="1:32" s="512" customFormat="1" ht="12.6" customHeight="1">
      <c r="A57" s="756">
        <v>161</v>
      </c>
      <c r="B57" s="756">
        <v>20</v>
      </c>
      <c r="C57" s="757">
        <v>6.99</v>
      </c>
      <c r="D57" s="513">
        <f t="shared" si="32"/>
        <v>103.70000000000002</v>
      </c>
      <c r="E57" s="513">
        <f t="shared" si="17"/>
        <v>91.256000000000014</v>
      </c>
      <c r="F57" s="757">
        <v>3.74</v>
      </c>
      <c r="G57" s="513">
        <f t="shared" si="33"/>
        <v>106.4</v>
      </c>
      <c r="H57" s="513">
        <f t="shared" si="18"/>
        <v>122.36</v>
      </c>
      <c r="I57" s="757">
        <v>0</v>
      </c>
      <c r="J57" s="513">
        <f t="shared" si="34"/>
        <v>0</v>
      </c>
      <c r="K57" s="513">
        <f t="shared" si="4"/>
        <v>0</v>
      </c>
      <c r="L57" s="757">
        <v>0.18</v>
      </c>
      <c r="M57" s="513">
        <f t="shared" si="35"/>
        <v>3.5999999999999996</v>
      </c>
      <c r="N57" s="513">
        <f t="shared" si="6"/>
        <v>4.1399999999999997</v>
      </c>
      <c r="O57" s="513">
        <f t="shared" si="7"/>
        <v>213.61600000000001</v>
      </c>
      <c r="P57" s="757">
        <v>1</v>
      </c>
      <c r="Q57" s="513">
        <f t="shared" si="36"/>
        <v>19.5</v>
      </c>
      <c r="R57" s="513">
        <f t="shared" si="37"/>
        <v>19.5</v>
      </c>
      <c r="S57" s="513">
        <f t="shared" si="38"/>
        <v>194.11600000000001</v>
      </c>
      <c r="T57" s="513">
        <f t="shared" si="39"/>
        <v>9002.6721500000003</v>
      </c>
      <c r="U57" s="757">
        <v>5.4</v>
      </c>
      <c r="V57" s="513">
        <f t="shared" si="12"/>
        <v>107</v>
      </c>
      <c r="W57" s="757">
        <v>1.4</v>
      </c>
      <c r="X57" s="513">
        <f t="shared" si="40"/>
        <v>75</v>
      </c>
      <c r="Y57" s="757">
        <v>4.5</v>
      </c>
      <c r="Z57" s="513">
        <f t="shared" si="41"/>
        <v>90</v>
      </c>
      <c r="AA57" s="757">
        <v>6.2</v>
      </c>
      <c r="AB57" s="513">
        <f t="shared" si="42"/>
        <v>123</v>
      </c>
      <c r="AC57" s="753">
        <v>0.5</v>
      </c>
      <c r="AD57" s="513">
        <f t="shared" si="43"/>
        <v>10</v>
      </c>
      <c r="AE57" s="757">
        <v>4</v>
      </c>
      <c r="AF57" s="513">
        <f t="shared" si="44"/>
        <v>80</v>
      </c>
    </row>
    <row r="58" spans="1:32" s="512" customFormat="1" ht="12.6" customHeight="1">
      <c r="A58" s="756" t="s">
        <v>555</v>
      </c>
      <c r="B58" s="756">
        <v>12</v>
      </c>
      <c r="C58" s="757">
        <v>12.79</v>
      </c>
      <c r="D58" s="513">
        <f t="shared" si="32"/>
        <v>118.68</v>
      </c>
      <c r="E58" s="513">
        <f t="shared" si="17"/>
        <v>104.4384</v>
      </c>
      <c r="F58" s="757">
        <v>16.940000000000001</v>
      </c>
      <c r="G58" s="513">
        <f t="shared" si="33"/>
        <v>124.08</v>
      </c>
      <c r="H58" s="513">
        <f t="shared" si="18"/>
        <v>142.69199999999998</v>
      </c>
      <c r="I58" s="757">
        <v>0</v>
      </c>
      <c r="J58" s="513">
        <f t="shared" si="34"/>
        <v>0</v>
      </c>
      <c r="K58" s="723">
        <f t="shared" si="4"/>
        <v>0</v>
      </c>
      <c r="L58" s="757">
        <v>0.18</v>
      </c>
      <c r="M58" s="513">
        <f t="shared" si="35"/>
        <v>2.16</v>
      </c>
      <c r="N58" s="513">
        <f t="shared" si="6"/>
        <v>2.484</v>
      </c>
      <c r="O58" s="723">
        <f t="shared" si="7"/>
        <v>247.13039999999998</v>
      </c>
      <c r="P58" s="757">
        <v>0</v>
      </c>
      <c r="Q58" s="513">
        <f t="shared" si="36"/>
        <v>6</v>
      </c>
      <c r="R58" s="513">
        <f t="shared" si="37"/>
        <v>6</v>
      </c>
      <c r="S58" s="513">
        <f t="shared" si="38"/>
        <v>241.13039999999998</v>
      </c>
      <c r="T58" s="513">
        <f t="shared" si="39"/>
        <v>9243.8025500000003</v>
      </c>
      <c r="U58" s="757">
        <v>0</v>
      </c>
      <c r="V58" s="513">
        <f t="shared" si="12"/>
        <v>32.400000000000006</v>
      </c>
      <c r="W58" s="757">
        <v>1.3</v>
      </c>
      <c r="X58" s="513">
        <f t="shared" si="40"/>
        <v>16.200000000000003</v>
      </c>
      <c r="Y58" s="757">
        <v>0</v>
      </c>
      <c r="Z58" s="513">
        <f t="shared" si="41"/>
        <v>27</v>
      </c>
      <c r="AA58" s="757">
        <v>10.4</v>
      </c>
      <c r="AB58" s="513">
        <f t="shared" si="42"/>
        <v>99.600000000000009</v>
      </c>
      <c r="AC58" s="753">
        <v>0</v>
      </c>
      <c r="AD58" s="513">
        <f t="shared" si="43"/>
        <v>3</v>
      </c>
      <c r="AE58" s="757">
        <v>6.4</v>
      </c>
      <c r="AF58" s="513">
        <f t="shared" si="44"/>
        <v>62.400000000000006</v>
      </c>
    </row>
    <row r="59" spans="1:32" s="512" customFormat="1" ht="12.6" customHeight="1">
      <c r="A59" s="756">
        <v>162</v>
      </c>
      <c r="B59" s="756">
        <v>8</v>
      </c>
      <c r="C59" s="757">
        <v>7.15</v>
      </c>
      <c r="D59" s="513">
        <f t="shared" si="32"/>
        <v>79.759999999999991</v>
      </c>
      <c r="E59" s="513">
        <f t="shared" si="17"/>
        <v>70.188799999999986</v>
      </c>
      <c r="F59" s="757">
        <v>3.48</v>
      </c>
      <c r="G59" s="513">
        <f t="shared" si="33"/>
        <v>81.680000000000007</v>
      </c>
      <c r="H59" s="513">
        <f t="shared" si="18"/>
        <v>93.932000000000002</v>
      </c>
      <c r="I59" s="757">
        <v>0</v>
      </c>
      <c r="J59" s="513">
        <f t="shared" si="34"/>
        <v>0</v>
      </c>
      <c r="K59" s="513">
        <f t="shared" si="4"/>
        <v>0</v>
      </c>
      <c r="L59" s="757">
        <v>0.18</v>
      </c>
      <c r="M59" s="513">
        <f t="shared" si="35"/>
        <v>1.44</v>
      </c>
      <c r="N59" s="513">
        <f t="shared" si="6"/>
        <v>1.6559999999999999</v>
      </c>
      <c r="O59" s="513">
        <f t="shared" si="7"/>
        <v>164.12079999999997</v>
      </c>
      <c r="P59" s="757">
        <v>1.26</v>
      </c>
      <c r="Q59" s="513">
        <f t="shared" si="36"/>
        <v>5.04</v>
      </c>
      <c r="R59" s="513">
        <f t="shared" si="37"/>
        <v>5.04</v>
      </c>
      <c r="S59" s="513">
        <f t="shared" si="38"/>
        <v>159.08079999999998</v>
      </c>
      <c r="T59" s="513">
        <f t="shared" si="39"/>
        <v>9402.8833500000001</v>
      </c>
      <c r="U59" s="757">
        <v>5.5</v>
      </c>
      <c r="V59" s="513">
        <f t="shared" si="12"/>
        <v>22</v>
      </c>
      <c r="W59" s="757">
        <v>1.3</v>
      </c>
      <c r="X59" s="513">
        <f t="shared" si="40"/>
        <v>10.4</v>
      </c>
      <c r="Y59" s="757">
        <v>4.8</v>
      </c>
      <c r="Z59" s="513">
        <f t="shared" si="41"/>
        <v>19.2</v>
      </c>
      <c r="AA59" s="757">
        <v>6.3</v>
      </c>
      <c r="AB59" s="513">
        <f t="shared" si="42"/>
        <v>66.8</v>
      </c>
      <c r="AC59" s="753">
        <v>0.5</v>
      </c>
      <c r="AD59" s="513">
        <f t="shared" si="43"/>
        <v>2</v>
      </c>
      <c r="AE59" s="757">
        <v>4</v>
      </c>
      <c r="AF59" s="513">
        <f t="shared" si="44"/>
        <v>41.6</v>
      </c>
    </row>
    <row r="60" spans="1:32" s="512" customFormat="1" ht="12.6" customHeight="1">
      <c r="A60" s="756" t="s">
        <v>556</v>
      </c>
      <c r="B60" s="756">
        <v>10</v>
      </c>
      <c r="C60" s="757">
        <v>5.04</v>
      </c>
      <c r="D60" s="513">
        <f t="shared" si="32"/>
        <v>60.95</v>
      </c>
      <c r="E60" s="513">
        <f t="shared" si="17"/>
        <v>53.636000000000003</v>
      </c>
      <c r="F60" s="757">
        <v>5.59</v>
      </c>
      <c r="G60" s="513">
        <f t="shared" si="33"/>
        <v>45.35</v>
      </c>
      <c r="H60" s="513">
        <f t="shared" si="18"/>
        <v>52.152499999999996</v>
      </c>
      <c r="I60" s="757">
        <v>0</v>
      </c>
      <c r="J60" s="513">
        <f t="shared" si="34"/>
        <v>0</v>
      </c>
      <c r="K60" s="723">
        <f t="shared" si="4"/>
        <v>0</v>
      </c>
      <c r="L60" s="757">
        <v>0.18</v>
      </c>
      <c r="M60" s="513">
        <f t="shared" si="35"/>
        <v>1.7999999999999998</v>
      </c>
      <c r="N60" s="513">
        <f t="shared" si="6"/>
        <v>2.0699999999999998</v>
      </c>
      <c r="O60" s="723">
        <f t="shared" si="7"/>
        <v>105.7885</v>
      </c>
      <c r="P60" s="757">
        <v>0.04</v>
      </c>
      <c r="Q60" s="513">
        <f t="shared" si="36"/>
        <v>6.5</v>
      </c>
      <c r="R60" s="513">
        <f t="shared" si="37"/>
        <v>6.5</v>
      </c>
      <c r="S60" s="513">
        <f t="shared" si="38"/>
        <v>99.288499999999999</v>
      </c>
      <c r="T60" s="513">
        <f t="shared" si="39"/>
        <v>9502.1718500000006</v>
      </c>
      <c r="U60" s="757">
        <v>0.9</v>
      </c>
      <c r="V60" s="513">
        <f t="shared" si="12"/>
        <v>32</v>
      </c>
      <c r="W60" s="757">
        <v>1.3</v>
      </c>
      <c r="X60" s="513">
        <f t="shared" si="40"/>
        <v>13</v>
      </c>
      <c r="Y60" s="757">
        <v>0.8</v>
      </c>
      <c r="Z60" s="513">
        <f t="shared" si="41"/>
        <v>28</v>
      </c>
      <c r="AA60" s="757">
        <v>6.4</v>
      </c>
      <c r="AB60" s="513">
        <f t="shared" si="42"/>
        <v>63.5</v>
      </c>
      <c r="AC60" s="753">
        <v>0</v>
      </c>
      <c r="AD60" s="513">
        <f t="shared" si="43"/>
        <v>2.5</v>
      </c>
      <c r="AE60" s="757">
        <v>4</v>
      </c>
      <c r="AF60" s="513">
        <f t="shared" si="44"/>
        <v>40</v>
      </c>
    </row>
    <row r="61" spans="1:32" s="512" customFormat="1" ht="12.6" customHeight="1">
      <c r="A61" s="756">
        <v>163</v>
      </c>
      <c r="B61" s="756">
        <v>10</v>
      </c>
      <c r="C61" s="757">
        <v>0.12</v>
      </c>
      <c r="D61" s="513">
        <f t="shared" si="32"/>
        <v>25.8</v>
      </c>
      <c r="E61" s="513">
        <f t="shared" si="17"/>
        <v>22.704000000000001</v>
      </c>
      <c r="F61" s="757">
        <v>0</v>
      </c>
      <c r="G61" s="513">
        <f t="shared" si="33"/>
        <v>27.95</v>
      </c>
      <c r="H61" s="513">
        <f t="shared" si="18"/>
        <v>32.142499999999998</v>
      </c>
      <c r="I61" s="757">
        <v>0.2</v>
      </c>
      <c r="J61" s="513">
        <f t="shared" si="34"/>
        <v>1</v>
      </c>
      <c r="K61" s="513">
        <f t="shared" si="4"/>
        <v>0.88</v>
      </c>
      <c r="L61" s="757">
        <v>0</v>
      </c>
      <c r="M61" s="513">
        <f t="shared" si="35"/>
        <v>0.89999999999999991</v>
      </c>
      <c r="N61" s="513">
        <f t="shared" si="6"/>
        <v>1.0349999999999999</v>
      </c>
      <c r="O61" s="513">
        <f t="shared" si="7"/>
        <v>54.846499999999999</v>
      </c>
      <c r="P61" s="757">
        <v>9.64</v>
      </c>
      <c r="Q61" s="513">
        <f t="shared" si="36"/>
        <v>48.4</v>
      </c>
      <c r="R61" s="513">
        <f t="shared" si="37"/>
        <v>48.4</v>
      </c>
      <c r="S61" s="513">
        <f t="shared" si="38"/>
        <v>6.4465000000000003</v>
      </c>
      <c r="T61" s="513">
        <f t="shared" si="39"/>
        <v>9508.6183500000006</v>
      </c>
      <c r="U61" s="757">
        <v>6.1</v>
      </c>
      <c r="V61" s="513">
        <f t="shared" si="12"/>
        <v>35</v>
      </c>
      <c r="W61" s="757">
        <v>0.4</v>
      </c>
      <c r="X61" s="513">
        <f t="shared" si="40"/>
        <v>8.5</v>
      </c>
      <c r="Y61" s="757">
        <v>8.8000000000000007</v>
      </c>
      <c r="Z61" s="513">
        <f t="shared" si="41"/>
        <v>48.000000000000007</v>
      </c>
      <c r="AA61" s="757">
        <v>1.2</v>
      </c>
      <c r="AB61" s="513">
        <f t="shared" si="42"/>
        <v>38</v>
      </c>
      <c r="AC61" s="753">
        <v>4</v>
      </c>
      <c r="AD61" s="513">
        <f t="shared" si="43"/>
        <v>20</v>
      </c>
      <c r="AE61" s="757">
        <v>4</v>
      </c>
      <c r="AF61" s="513">
        <f t="shared" si="44"/>
        <v>40</v>
      </c>
    </row>
    <row r="62" spans="1:32" s="512" customFormat="1" ht="12.6" customHeight="1">
      <c r="A62" s="756">
        <v>164</v>
      </c>
      <c r="B62" s="756">
        <v>20</v>
      </c>
      <c r="C62" s="757">
        <v>7.07</v>
      </c>
      <c r="D62" s="513">
        <f t="shared" si="32"/>
        <v>71.900000000000006</v>
      </c>
      <c r="E62" s="513">
        <f t="shared" si="17"/>
        <v>63.272000000000006</v>
      </c>
      <c r="F62" s="757">
        <v>3.37</v>
      </c>
      <c r="G62" s="513">
        <f t="shared" si="33"/>
        <v>33.700000000000003</v>
      </c>
      <c r="H62" s="513">
        <f t="shared" si="18"/>
        <v>38.755000000000003</v>
      </c>
      <c r="I62" s="757">
        <v>0</v>
      </c>
      <c r="J62" s="513">
        <f t="shared" si="34"/>
        <v>2</v>
      </c>
      <c r="K62" s="723">
        <f t="shared" si="4"/>
        <v>1.76</v>
      </c>
      <c r="L62" s="757">
        <v>0.18</v>
      </c>
      <c r="M62" s="513">
        <f t="shared" si="35"/>
        <v>1.7999999999999998</v>
      </c>
      <c r="N62" s="513">
        <f t="shared" si="6"/>
        <v>2.0699999999999998</v>
      </c>
      <c r="O62" s="723">
        <f t="shared" si="7"/>
        <v>102.02700000000002</v>
      </c>
      <c r="P62" s="757">
        <v>0.08</v>
      </c>
      <c r="Q62" s="513">
        <f t="shared" si="36"/>
        <v>97.2</v>
      </c>
      <c r="R62" s="513">
        <f t="shared" si="37"/>
        <v>97.2</v>
      </c>
      <c r="S62" s="513">
        <f t="shared" si="38"/>
        <v>4.8270000000000124</v>
      </c>
      <c r="T62" s="513">
        <f t="shared" si="39"/>
        <v>9513.44535</v>
      </c>
      <c r="U62" s="757">
        <v>1.2</v>
      </c>
      <c r="V62" s="513">
        <f t="shared" si="12"/>
        <v>73</v>
      </c>
      <c r="W62" s="757">
        <v>1.3</v>
      </c>
      <c r="X62" s="513">
        <f t="shared" si="40"/>
        <v>17</v>
      </c>
      <c r="Y62" s="757">
        <v>1.1000000000000001</v>
      </c>
      <c r="Z62" s="513">
        <f t="shared" si="41"/>
        <v>99</v>
      </c>
      <c r="AA62" s="757">
        <v>6.4</v>
      </c>
      <c r="AB62" s="513">
        <f t="shared" si="42"/>
        <v>76</v>
      </c>
      <c r="AC62" s="753">
        <v>0</v>
      </c>
      <c r="AD62" s="513">
        <f t="shared" si="43"/>
        <v>40</v>
      </c>
      <c r="AE62" s="757">
        <v>4</v>
      </c>
      <c r="AF62" s="513">
        <f t="shared" si="44"/>
        <v>80</v>
      </c>
    </row>
    <row r="63" spans="1:32" s="512" customFormat="1" ht="12.6" customHeight="1">
      <c r="A63" s="756">
        <v>165</v>
      </c>
      <c r="B63" s="756">
        <v>20</v>
      </c>
      <c r="C63" s="757">
        <v>15.57</v>
      </c>
      <c r="D63" s="513">
        <f t="shared" si="32"/>
        <v>226.4</v>
      </c>
      <c r="E63" s="513">
        <f t="shared" si="17"/>
        <v>199.232</v>
      </c>
      <c r="F63" s="757">
        <v>15.36</v>
      </c>
      <c r="G63" s="513">
        <f t="shared" si="33"/>
        <v>187.3</v>
      </c>
      <c r="H63" s="513">
        <f t="shared" si="18"/>
        <v>215.39500000000001</v>
      </c>
      <c r="I63" s="757">
        <v>0</v>
      </c>
      <c r="J63" s="513">
        <f t="shared" si="34"/>
        <v>0</v>
      </c>
      <c r="K63" s="513">
        <f t="shared" si="4"/>
        <v>0</v>
      </c>
      <c r="L63" s="757">
        <v>0.18</v>
      </c>
      <c r="M63" s="513">
        <f t="shared" si="35"/>
        <v>3.5999999999999996</v>
      </c>
      <c r="N63" s="513">
        <f t="shared" si="6"/>
        <v>4.1399999999999997</v>
      </c>
      <c r="O63" s="513">
        <f t="shared" si="7"/>
        <v>414.62700000000001</v>
      </c>
      <c r="P63" s="757">
        <v>0</v>
      </c>
      <c r="Q63" s="513">
        <f t="shared" si="36"/>
        <v>0.8</v>
      </c>
      <c r="R63" s="513">
        <f t="shared" si="37"/>
        <v>0.8</v>
      </c>
      <c r="S63" s="513">
        <f t="shared" si="38"/>
        <v>413.827</v>
      </c>
      <c r="T63" s="513">
        <f t="shared" si="39"/>
        <v>9927.2723499999993</v>
      </c>
      <c r="U63" s="757">
        <v>0</v>
      </c>
      <c r="V63" s="513">
        <f t="shared" si="12"/>
        <v>12</v>
      </c>
      <c r="W63" s="757">
        <v>1.2</v>
      </c>
      <c r="X63" s="513">
        <f t="shared" si="40"/>
        <v>25</v>
      </c>
      <c r="Y63" s="757">
        <v>0</v>
      </c>
      <c r="Z63" s="513">
        <f t="shared" si="41"/>
        <v>11</v>
      </c>
      <c r="AA63" s="757">
        <v>12.8</v>
      </c>
      <c r="AB63" s="513">
        <f t="shared" si="42"/>
        <v>192.00000000000003</v>
      </c>
      <c r="AC63" s="753">
        <v>0</v>
      </c>
      <c r="AD63" s="513">
        <f t="shared" si="43"/>
        <v>0</v>
      </c>
      <c r="AE63" s="757">
        <v>9.6999999999999993</v>
      </c>
      <c r="AF63" s="513">
        <f t="shared" si="44"/>
        <v>137</v>
      </c>
    </row>
    <row r="64" spans="1:32" s="512" customFormat="1" ht="12.6" customHeight="1">
      <c r="A64" s="756" t="s">
        <v>557</v>
      </c>
      <c r="B64" s="756">
        <v>10</v>
      </c>
      <c r="C64" s="757">
        <v>6.78</v>
      </c>
      <c r="D64" s="513">
        <f t="shared" si="32"/>
        <v>111.75</v>
      </c>
      <c r="E64" s="513">
        <f t="shared" si="17"/>
        <v>98.34</v>
      </c>
      <c r="F64" s="757">
        <v>9.6999999999999993</v>
      </c>
      <c r="G64" s="513">
        <f t="shared" si="33"/>
        <v>125.3</v>
      </c>
      <c r="H64" s="513">
        <f t="shared" si="18"/>
        <v>144.095</v>
      </c>
      <c r="I64" s="757">
        <v>0</v>
      </c>
      <c r="J64" s="513">
        <f t="shared" si="34"/>
        <v>0</v>
      </c>
      <c r="K64" s="723">
        <f t="shared" si="4"/>
        <v>0</v>
      </c>
      <c r="L64" s="757">
        <v>0.18</v>
      </c>
      <c r="M64" s="513">
        <f t="shared" si="35"/>
        <v>1.7999999999999998</v>
      </c>
      <c r="N64" s="513">
        <f t="shared" si="6"/>
        <v>2.0699999999999998</v>
      </c>
      <c r="O64" s="723">
        <f t="shared" si="7"/>
        <v>242.435</v>
      </c>
      <c r="P64" s="757">
        <v>0.14000000000000001</v>
      </c>
      <c r="Q64" s="513">
        <f t="shared" si="36"/>
        <v>0.70000000000000007</v>
      </c>
      <c r="R64" s="513">
        <f t="shared" si="37"/>
        <v>0.70000000000000007</v>
      </c>
      <c r="S64" s="513">
        <f t="shared" si="38"/>
        <v>241.73500000000001</v>
      </c>
      <c r="T64" s="513">
        <f t="shared" si="39"/>
        <v>10169.00735</v>
      </c>
      <c r="U64" s="757">
        <v>1.4</v>
      </c>
      <c r="V64" s="513">
        <f t="shared" si="12"/>
        <v>7</v>
      </c>
      <c r="W64" s="757">
        <v>1.1000000000000001</v>
      </c>
      <c r="X64" s="513">
        <f t="shared" si="40"/>
        <v>11.5</v>
      </c>
      <c r="Y64" s="757">
        <v>1.4</v>
      </c>
      <c r="Z64" s="513">
        <f t="shared" si="41"/>
        <v>7</v>
      </c>
      <c r="AA64" s="757">
        <v>8.4</v>
      </c>
      <c r="AB64" s="513">
        <f t="shared" si="42"/>
        <v>106.00000000000001</v>
      </c>
      <c r="AC64" s="753">
        <v>0.3</v>
      </c>
      <c r="AD64" s="513">
        <f t="shared" si="43"/>
        <v>1.5</v>
      </c>
      <c r="AE64" s="757">
        <v>6.2</v>
      </c>
      <c r="AF64" s="513">
        <f t="shared" si="44"/>
        <v>79.5</v>
      </c>
    </row>
    <row r="65" spans="1:32" s="512" customFormat="1" ht="12.6" customHeight="1">
      <c r="A65" s="756">
        <v>166</v>
      </c>
      <c r="B65" s="756">
        <v>10</v>
      </c>
      <c r="C65" s="757">
        <v>1.6</v>
      </c>
      <c r="D65" s="513">
        <f t="shared" si="32"/>
        <v>41.900000000000006</v>
      </c>
      <c r="E65" s="513">
        <f t="shared" si="17"/>
        <v>36.872000000000007</v>
      </c>
      <c r="F65" s="757">
        <v>0</v>
      </c>
      <c r="G65" s="513">
        <f t="shared" si="33"/>
        <v>48.5</v>
      </c>
      <c r="H65" s="513">
        <f t="shared" si="18"/>
        <v>55.774999999999999</v>
      </c>
      <c r="I65" s="757">
        <v>0.18</v>
      </c>
      <c r="J65" s="513">
        <f t="shared" si="34"/>
        <v>0.89999999999999991</v>
      </c>
      <c r="K65" s="513">
        <f t="shared" si="4"/>
        <v>0.79199999999999993</v>
      </c>
      <c r="L65" s="757">
        <v>0.03</v>
      </c>
      <c r="M65" s="513">
        <f t="shared" si="35"/>
        <v>1.05</v>
      </c>
      <c r="N65" s="513">
        <f t="shared" si="6"/>
        <v>1.2075</v>
      </c>
      <c r="O65" s="513">
        <f t="shared" si="7"/>
        <v>92.647000000000006</v>
      </c>
      <c r="P65" s="757">
        <v>16.16</v>
      </c>
      <c r="Q65" s="513">
        <f t="shared" si="36"/>
        <v>81.5</v>
      </c>
      <c r="R65" s="513">
        <f t="shared" si="37"/>
        <v>81.5</v>
      </c>
      <c r="S65" s="513">
        <f t="shared" si="38"/>
        <v>11.147000000000006</v>
      </c>
      <c r="T65" s="513">
        <f t="shared" si="39"/>
        <v>10180.154350000001</v>
      </c>
      <c r="U65" s="757">
        <v>6.1</v>
      </c>
      <c r="V65" s="513">
        <f t="shared" si="12"/>
        <v>37.5</v>
      </c>
      <c r="W65" s="757">
        <v>2.7</v>
      </c>
      <c r="X65" s="513">
        <f t="shared" si="40"/>
        <v>19</v>
      </c>
      <c r="Y65" s="757">
        <v>9.6</v>
      </c>
      <c r="Z65" s="513">
        <f t="shared" si="41"/>
        <v>55</v>
      </c>
      <c r="AA65" s="757">
        <v>3.5</v>
      </c>
      <c r="AB65" s="513">
        <f t="shared" si="42"/>
        <v>59.5</v>
      </c>
      <c r="AC65" s="753">
        <v>4.8</v>
      </c>
      <c r="AD65" s="513">
        <f t="shared" si="43"/>
        <v>25.5</v>
      </c>
      <c r="AE65" s="757">
        <v>5.5</v>
      </c>
      <c r="AF65" s="513">
        <f t="shared" si="44"/>
        <v>58.5</v>
      </c>
    </row>
    <row r="66" spans="1:32" s="512" customFormat="1" ht="12.6" customHeight="1">
      <c r="A66" s="756">
        <v>167</v>
      </c>
      <c r="B66" s="756">
        <v>20</v>
      </c>
      <c r="C66" s="757">
        <v>3.38</v>
      </c>
      <c r="D66" s="513">
        <f t="shared" si="32"/>
        <v>49.800000000000004</v>
      </c>
      <c r="E66" s="513">
        <f t="shared" si="17"/>
        <v>43.824000000000005</v>
      </c>
      <c r="F66" s="757">
        <v>1.91</v>
      </c>
      <c r="G66" s="513">
        <f t="shared" si="33"/>
        <v>19.099999999999998</v>
      </c>
      <c r="H66" s="513">
        <f t="shared" si="18"/>
        <v>21.964999999999996</v>
      </c>
      <c r="I66" s="757">
        <v>0</v>
      </c>
      <c r="J66" s="513">
        <f t="shared" si="34"/>
        <v>1.7999999999999998</v>
      </c>
      <c r="K66" s="723">
        <f t="shared" si="4"/>
        <v>1.5839999999999999</v>
      </c>
      <c r="L66" s="757">
        <v>0.18</v>
      </c>
      <c r="M66" s="513">
        <f t="shared" si="35"/>
        <v>2.1</v>
      </c>
      <c r="N66" s="513">
        <f t="shared" si="6"/>
        <v>2.415</v>
      </c>
      <c r="O66" s="723">
        <f t="shared" si="7"/>
        <v>65.789000000000001</v>
      </c>
      <c r="P66" s="757">
        <v>2.25</v>
      </c>
      <c r="Q66" s="513">
        <f t="shared" si="36"/>
        <v>184.1</v>
      </c>
      <c r="R66" s="513">
        <f t="shared" si="37"/>
        <v>65.789000000000001</v>
      </c>
      <c r="S66" s="513">
        <f t="shared" si="38"/>
        <v>-118.31099999999999</v>
      </c>
      <c r="T66" s="513">
        <f t="shared" si="39"/>
        <v>10061.843350000001</v>
      </c>
      <c r="U66" s="757">
        <v>5.0999999999999996</v>
      </c>
      <c r="V66" s="513">
        <f t="shared" si="12"/>
        <v>112</v>
      </c>
      <c r="W66" s="757">
        <v>1.3</v>
      </c>
      <c r="X66" s="513">
        <f t="shared" si="40"/>
        <v>40</v>
      </c>
      <c r="Y66" s="757">
        <v>5.2</v>
      </c>
      <c r="Z66" s="513">
        <f t="shared" si="41"/>
        <v>148</v>
      </c>
      <c r="AA66" s="757">
        <v>4.5999999999999996</v>
      </c>
      <c r="AB66" s="513">
        <f t="shared" si="42"/>
        <v>81</v>
      </c>
      <c r="AC66" s="753">
        <v>1.3</v>
      </c>
      <c r="AD66" s="513">
        <f t="shared" si="43"/>
        <v>61</v>
      </c>
      <c r="AE66" s="757">
        <v>4</v>
      </c>
      <c r="AF66" s="513">
        <f t="shared" si="44"/>
        <v>95</v>
      </c>
    </row>
    <row r="67" spans="1:32" s="512" customFormat="1" ht="12.6" customHeight="1">
      <c r="A67" s="756">
        <v>168</v>
      </c>
      <c r="B67" s="756">
        <v>20</v>
      </c>
      <c r="C67" s="757">
        <v>5.38</v>
      </c>
      <c r="D67" s="513">
        <f t="shared" si="32"/>
        <v>87.6</v>
      </c>
      <c r="E67" s="513">
        <f t="shared" si="17"/>
        <v>77.087999999999994</v>
      </c>
      <c r="F67" s="757">
        <v>7.39</v>
      </c>
      <c r="G67" s="513">
        <f t="shared" si="33"/>
        <v>92.999999999999986</v>
      </c>
      <c r="H67" s="513">
        <f t="shared" si="18"/>
        <v>106.94999999999997</v>
      </c>
      <c r="I67" s="757">
        <v>0</v>
      </c>
      <c r="J67" s="513">
        <f t="shared" si="34"/>
        <v>0</v>
      </c>
      <c r="K67" s="513">
        <f t="shared" si="4"/>
        <v>0</v>
      </c>
      <c r="L67" s="757">
        <v>0.18</v>
      </c>
      <c r="M67" s="513">
        <f t="shared" si="35"/>
        <v>3.5999999999999996</v>
      </c>
      <c r="N67" s="513">
        <f t="shared" si="6"/>
        <v>4.1399999999999997</v>
      </c>
      <c r="O67" s="513">
        <f t="shared" si="7"/>
        <v>184.03799999999995</v>
      </c>
      <c r="P67" s="757">
        <v>0</v>
      </c>
      <c r="Q67" s="513">
        <f t="shared" si="36"/>
        <v>22.5</v>
      </c>
      <c r="R67" s="513">
        <f t="shared" si="37"/>
        <v>22.5</v>
      </c>
      <c r="S67" s="513">
        <f t="shared" si="38"/>
        <v>161.53799999999995</v>
      </c>
      <c r="T67" s="513">
        <f t="shared" si="39"/>
        <v>10223.381350000001</v>
      </c>
      <c r="U67" s="757">
        <v>0</v>
      </c>
      <c r="V67" s="513">
        <f t="shared" si="12"/>
        <v>51</v>
      </c>
      <c r="W67" s="757">
        <v>1.2</v>
      </c>
      <c r="X67" s="513">
        <f t="shared" si="40"/>
        <v>25</v>
      </c>
      <c r="Y67" s="757">
        <v>0</v>
      </c>
      <c r="Z67" s="513">
        <f t="shared" si="41"/>
        <v>52</v>
      </c>
      <c r="AA67" s="757">
        <v>6.7</v>
      </c>
      <c r="AB67" s="513">
        <f t="shared" si="42"/>
        <v>113</v>
      </c>
      <c r="AC67" s="753">
        <v>0</v>
      </c>
      <c r="AD67" s="513">
        <f t="shared" si="43"/>
        <v>13</v>
      </c>
      <c r="AE67" s="757">
        <v>4</v>
      </c>
      <c r="AF67" s="513">
        <f t="shared" si="44"/>
        <v>80</v>
      </c>
    </row>
    <row r="68" spans="1:32" s="512" customFormat="1" ht="12.6" customHeight="1">
      <c r="A68" s="756">
        <v>169</v>
      </c>
      <c r="B68" s="756">
        <v>20</v>
      </c>
      <c r="C68" s="757">
        <v>1.46</v>
      </c>
      <c r="D68" s="513">
        <f t="shared" ref="D68:D77" si="45">(C68+C67)/2*$B68</f>
        <v>68.400000000000006</v>
      </c>
      <c r="E68" s="513">
        <f t="shared" si="17"/>
        <v>60.192000000000007</v>
      </c>
      <c r="F68" s="757">
        <v>53.56</v>
      </c>
      <c r="G68" s="513">
        <f t="shared" ref="G68:G77" si="46">(F68+F67)/2*$B68</f>
        <v>609.5</v>
      </c>
      <c r="H68" s="513">
        <f t="shared" si="18"/>
        <v>700.92499999999995</v>
      </c>
      <c r="I68" s="757">
        <v>0</v>
      </c>
      <c r="J68" s="513">
        <f t="shared" ref="J68:J77" si="47">(I68+I67)/2*$B68</f>
        <v>0</v>
      </c>
      <c r="K68" s="723">
        <f t="shared" si="4"/>
        <v>0</v>
      </c>
      <c r="L68" s="757">
        <v>0.18</v>
      </c>
      <c r="M68" s="513">
        <f t="shared" ref="M68:M77" si="48">(L68+L67)/2*$B68</f>
        <v>3.5999999999999996</v>
      </c>
      <c r="N68" s="513">
        <f t="shared" si="6"/>
        <v>4.1399999999999997</v>
      </c>
      <c r="O68" s="723">
        <f t="shared" si="7"/>
        <v>761.11699999999996</v>
      </c>
      <c r="P68" s="757">
        <v>0</v>
      </c>
      <c r="Q68" s="513">
        <f t="shared" ref="Q68:Q77" si="49">(P68+P67)/2*$B68</f>
        <v>0</v>
      </c>
      <c r="R68" s="513">
        <f t="shared" ref="R68:R77" si="50">MIN(O68,Q68)</f>
        <v>0</v>
      </c>
      <c r="S68" s="513">
        <f t="shared" ref="S68:S77" si="51">O68-Q68</f>
        <v>761.11699999999996</v>
      </c>
      <c r="T68" s="513">
        <f t="shared" ref="T68:T77" si="52">S68+T67</f>
        <v>10984.498350000002</v>
      </c>
      <c r="U68" s="757">
        <v>0</v>
      </c>
      <c r="V68" s="513">
        <f t="shared" si="12"/>
        <v>0</v>
      </c>
      <c r="W68" s="757">
        <v>0</v>
      </c>
      <c r="X68" s="513">
        <f t="shared" ref="X68:X77" si="53">(W68+W67)/2*$B68</f>
        <v>12</v>
      </c>
      <c r="Y68" s="757">
        <v>0</v>
      </c>
      <c r="Z68" s="513">
        <f t="shared" ref="Z68:Z77" si="54">(Y68+Y67)/2*$B68</f>
        <v>0</v>
      </c>
      <c r="AA68" s="757">
        <v>14</v>
      </c>
      <c r="AB68" s="513">
        <f t="shared" ref="AB68:AB77" si="55">(AA68+AA67)/2*$B68</f>
        <v>207</v>
      </c>
      <c r="AC68" s="753">
        <v>0</v>
      </c>
      <c r="AD68" s="513">
        <f t="shared" ref="AD68:AD77" si="56">(AC68+AC67)/2*$B68</f>
        <v>0</v>
      </c>
      <c r="AE68" s="757">
        <v>8.1999999999999993</v>
      </c>
      <c r="AF68" s="513">
        <f t="shared" ref="AF68:AF77" si="57">(AE68+AE67)/2*$B68</f>
        <v>122</v>
      </c>
    </row>
    <row r="69" spans="1:32" s="512" customFormat="1" ht="12.6" customHeight="1">
      <c r="A69" s="756">
        <v>170</v>
      </c>
      <c r="B69" s="756">
        <v>20</v>
      </c>
      <c r="C69" s="757">
        <v>1.04</v>
      </c>
      <c r="D69" s="513">
        <f t="shared" si="45"/>
        <v>25</v>
      </c>
      <c r="E69" s="513">
        <f t="shared" si="17"/>
        <v>22</v>
      </c>
      <c r="F69" s="757">
        <v>3.1</v>
      </c>
      <c r="G69" s="513">
        <f t="shared" si="46"/>
        <v>566.6</v>
      </c>
      <c r="H69" s="513">
        <f t="shared" si="18"/>
        <v>651.59</v>
      </c>
      <c r="I69" s="757">
        <v>0</v>
      </c>
      <c r="J69" s="513">
        <f t="shared" si="47"/>
        <v>0</v>
      </c>
      <c r="K69" s="513">
        <f t="shared" si="4"/>
        <v>0</v>
      </c>
      <c r="L69" s="757">
        <v>0.18</v>
      </c>
      <c r="M69" s="513">
        <f t="shared" si="48"/>
        <v>3.5999999999999996</v>
      </c>
      <c r="N69" s="513">
        <f t="shared" si="6"/>
        <v>4.1399999999999997</v>
      </c>
      <c r="O69" s="513">
        <f t="shared" si="7"/>
        <v>673.59</v>
      </c>
      <c r="P69" s="757">
        <v>17.170000000000002</v>
      </c>
      <c r="Q69" s="513">
        <f t="shared" si="49"/>
        <v>171.70000000000002</v>
      </c>
      <c r="R69" s="513">
        <f t="shared" si="50"/>
        <v>171.70000000000002</v>
      </c>
      <c r="S69" s="513">
        <f t="shared" si="51"/>
        <v>501.89</v>
      </c>
      <c r="T69" s="513">
        <f t="shared" si="52"/>
        <v>11486.388350000001</v>
      </c>
      <c r="U69" s="757">
        <v>7.8</v>
      </c>
      <c r="V69" s="513">
        <f t="shared" si="12"/>
        <v>78</v>
      </c>
      <c r="W69" s="757">
        <v>0.5</v>
      </c>
      <c r="X69" s="513">
        <f t="shared" si="53"/>
        <v>5</v>
      </c>
      <c r="Y69" s="757">
        <v>8.5</v>
      </c>
      <c r="Z69" s="513">
        <f t="shared" si="54"/>
        <v>85</v>
      </c>
      <c r="AA69" s="757">
        <v>3.7</v>
      </c>
      <c r="AB69" s="513">
        <f t="shared" si="55"/>
        <v>177</v>
      </c>
      <c r="AC69" s="753">
        <v>2.5</v>
      </c>
      <c r="AD69" s="513">
        <f t="shared" si="56"/>
        <v>25</v>
      </c>
      <c r="AE69" s="757">
        <v>4</v>
      </c>
      <c r="AF69" s="513">
        <f t="shared" si="57"/>
        <v>122</v>
      </c>
    </row>
    <row r="70" spans="1:32" s="512" customFormat="1" ht="12.6" customHeight="1">
      <c r="A70" s="756" t="s">
        <v>558</v>
      </c>
      <c r="B70" s="756">
        <v>12</v>
      </c>
      <c r="C70" s="757">
        <v>0</v>
      </c>
      <c r="D70" s="513">
        <f t="shared" si="45"/>
        <v>6.24</v>
      </c>
      <c r="E70" s="513">
        <f t="shared" si="17"/>
        <v>5.4912000000000001</v>
      </c>
      <c r="F70" s="757">
        <v>0</v>
      </c>
      <c r="G70" s="513">
        <f t="shared" si="46"/>
        <v>18.600000000000001</v>
      </c>
      <c r="H70" s="513">
        <f t="shared" si="18"/>
        <v>21.39</v>
      </c>
      <c r="I70" s="757">
        <v>0</v>
      </c>
      <c r="J70" s="513">
        <f t="shared" si="47"/>
        <v>0</v>
      </c>
      <c r="K70" s="723">
        <f t="shared" ref="K70:K77" si="58">J70*0.88</f>
        <v>0</v>
      </c>
      <c r="L70" s="757">
        <v>0</v>
      </c>
      <c r="M70" s="513">
        <f t="shared" si="48"/>
        <v>1.08</v>
      </c>
      <c r="N70" s="513">
        <f t="shared" ref="N70:N77" si="59">M70*1.15</f>
        <v>1.242</v>
      </c>
      <c r="O70" s="723">
        <f t="shared" ref="O70:O77" si="60">H70+E70</f>
        <v>26.8812</v>
      </c>
      <c r="P70" s="757">
        <v>59.47</v>
      </c>
      <c r="Q70" s="513">
        <f t="shared" si="49"/>
        <v>459.84000000000003</v>
      </c>
      <c r="R70" s="513">
        <f t="shared" si="50"/>
        <v>26.8812</v>
      </c>
      <c r="S70" s="513">
        <f t="shared" si="51"/>
        <v>-432.95880000000005</v>
      </c>
      <c r="T70" s="513">
        <f t="shared" si="52"/>
        <v>11053.429550000001</v>
      </c>
      <c r="U70" s="757">
        <v>12.1</v>
      </c>
      <c r="V70" s="513">
        <f t="shared" ref="V70:V77" si="61">(U70+U69)/2*$B70</f>
        <v>119.39999999999999</v>
      </c>
      <c r="W70" s="757">
        <v>0</v>
      </c>
      <c r="X70" s="513">
        <f t="shared" si="53"/>
        <v>3</v>
      </c>
      <c r="Y70" s="757">
        <v>15.3</v>
      </c>
      <c r="Z70" s="513">
        <f t="shared" si="54"/>
        <v>142.80000000000001</v>
      </c>
      <c r="AA70" s="757">
        <v>0</v>
      </c>
      <c r="AB70" s="513">
        <f t="shared" si="55"/>
        <v>22.200000000000003</v>
      </c>
      <c r="AC70" s="753">
        <v>0</v>
      </c>
      <c r="AD70" s="513">
        <f t="shared" si="56"/>
        <v>15</v>
      </c>
      <c r="AE70" s="757">
        <v>6</v>
      </c>
      <c r="AF70" s="513">
        <f t="shared" si="57"/>
        <v>60</v>
      </c>
    </row>
    <row r="71" spans="1:32" s="512" customFormat="1" ht="12.6" customHeight="1">
      <c r="A71" s="756">
        <v>171</v>
      </c>
      <c r="B71" s="756">
        <v>8</v>
      </c>
      <c r="C71" s="757">
        <v>0.52</v>
      </c>
      <c r="D71" s="513">
        <f t="shared" si="45"/>
        <v>2.08</v>
      </c>
      <c r="E71" s="513">
        <f t="shared" ref="E71:E77" si="62">D71*0.88</f>
        <v>1.8304</v>
      </c>
      <c r="F71" s="757">
        <v>7.25</v>
      </c>
      <c r="G71" s="513">
        <f t="shared" si="46"/>
        <v>29</v>
      </c>
      <c r="H71" s="513">
        <f t="shared" ref="H71:H77" si="63">G71*1.15</f>
        <v>33.349999999999994</v>
      </c>
      <c r="I71" s="757">
        <v>0</v>
      </c>
      <c r="J71" s="513">
        <f t="shared" si="47"/>
        <v>0</v>
      </c>
      <c r="K71" s="513">
        <f t="shared" si="58"/>
        <v>0</v>
      </c>
      <c r="L71" s="757">
        <v>0.18</v>
      </c>
      <c r="M71" s="513">
        <f t="shared" si="48"/>
        <v>0.72</v>
      </c>
      <c r="N71" s="513">
        <f t="shared" si="59"/>
        <v>0.82799999999999996</v>
      </c>
      <c r="O71" s="513">
        <f t="shared" si="60"/>
        <v>35.180399999999992</v>
      </c>
      <c r="P71" s="757">
        <v>2.77</v>
      </c>
      <c r="Q71" s="513">
        <f t="shared" si="49"/>
        <v>248.96</v>
      </c>
      <c r="R71" s="513">
        <f t="shared" si="50"/>
        <v>35.180399999999992</v>
      </c>
      <c r="S71" s="513">
        <f t="shared" si="51"/>
        <v>-213.77960000000002</v>
      </c>
      <c r="T71" s="513">
        <f t="shared" si="52"/>
        <v>10839.649950000001</v>
      </c>
      <c r="U71" s="757">
        <v>2.1</v>
      </c>
      <c r="V71" s="513">
        <f t="shared" si="61"/>
        <v>56.8</v>
      </c>
      <c r="W71" s="757">
        <v>0</v>
      </c>
      <c r="X71" s="513">
        <f t="shared" si="53"/>
        <v>0</v>
      </c>
      <c r="Y71" s="757">
        <v>3.1</v>
      </c>
      <c r="Z71" s="513">
        <f t="shared" si="54"/>
        <v>73.600000000000009</v>
      </c>
      <c r="AA71" s="757">
        <v>5.2</v>
      </c>
      <c r="AB71" s="513">
        <f t="shared" si="55"/>
        <v>20.8</v>
      </c>
      <c r="AC71" s="753">
        <v>0</v>
      </c>
      <c r="AD71" s="513">
        <f t="shared" si="56"/>
        <v>0</v>
      </c>
      <c r="AE71" s="757">
        <v>4</v>
      </c>
      <c r="AF71" s="513">
        <f t="shared" si="57"/>
        <v>40</v>
      </c>
    </row>
    <row r="72" spans="1:32" s="512" customFormat="1" ht="12.6" customHeight="1">
      <c r="A72" s="756">
        <v>172</v>
      </c>
      <c r="B72" s="756">
        <v>20</v>
      </c>
      <c r="C72" s="757">
        <v>4.47</v>
      </c>
      <c r="D72" s="513">
        <f t="shared" si="45"/>
        <v>49.900000000000006</v>
      </c>
      <c r="E72" s="513">
        <f t="shared" si="62"/>
        <v>43.912000000000006</v>
      </c>
      <c r="F72" s="757">
        <v>13.9</v>
      </c>
      <c r="G72" s="513">
        <f t="shared" si="46"/>
        <v>211.5</v>
      </c>
      <c r="H72" s="513">
        <f t="shared" si="63"/>
        <v>243.22499999999999</v>
      </c>
      <c r="I72" s="757">
        <v>0</v>
      </c>
      <c r="J72" s="513">
        <f t="shared" si="47"/>
        <v>0</v>
      </c>
      <c r="K72" s="723">
        <f t="shared" si="58"/>
        <v>0</v>
      </c>
      <c r="L72" s="757">
        <v>0.18</v>
      </c>
      <c r="M72" s="513">
        <f t="shared" si="48"/>
        <v>3.5999999999999996</v>
      </c>
      <c r="N72" s="513">
        <f t="shared" si="59"/>
        <v>4.1399999999999997</v>
      </c>
      <c r="O72" s="723">
        <f t="shared" si="60"/>
        <v>287.137</v>
      </c>
      <c r="P72" s="757">
        <v>0</v>
      </c>
      <c r="Q72" s="513">
        <f t="shared" si="49"/>
        <v>27.7</v>
      </c>
      <c r="R72" s="513">
        <f t="shared" si="50"/>
        <v>27.7</v>
      </c>
      <c r="S72" s="513">
        <f t="shared" si="51"/>
        <v>259.43700000000001</v>
      </c>
      <c r="T72" s="513">
        <f t="shared" si="52"/>
        <v>11099.086950000001</v>
      </c>
      <c r="U72" s="757">
        <v>0</v>
      </c>
      <c r="V72" s="513">
        <f t="shared" si="61"/>
        <v>21</v>
      </c>
      <c r="W72" s="757">
        <v>0</v>
      </c>
      <c r="X72" s="513">
        <f t="shared" si="53"/>
        <v>0</v>
      </c>
      <c r="Y72" s="757">
        <v>0</v>
      </c>
      <c r="Z72" s="513">
        <f t="shared" si="54"/>
        <v>31</v>
      </c>
      <c r="AA72" s="757">
        <v>7.9</v>
      </c>
      <c r="AB72" s="513">
        <f t="shared" si="55"/>
        <v>131</v>
      </c>
      <c r="AC72" s="753">
        <v>0</v>
      </c>
      <c r="AD72" s="513">
        <f t="shared" si="56"/>
        <v>0</v>
      </c>
      <c r="AE72" s="757">
        <v>4.4000000000000004</v>
      </c>
      <c r="AF72" s="513">
        <f t="shared" si="57"/>
        <v>84</v>
      </c>
    </row>
    <row r="73" spans="1:32" s="512" customFormat="1" ht="12.6" customHeight="1">
      <c r="A73" s="756">
        <v>173</v>
      </c>
      <c r="B73" s="756">
        <v>20</v>
      </c>
      <c r="C73" s="757">
        <v>4.82</v>
      </c>
      <c r="D73" s="513">
        <f t="shared" si="45"/>
        <v>92.899999999999991</v>
      </c>
      <c r="E73" s="513">
        <f t="shared" si="62"/>
        <v>81.751999999999995</v>
      </c>
      <c r="F73" s="757">
        <v>26.69</v>
      </c>
      <c r="G73" s="513">
        <f t="shared" si="46"/>
        <v>405.90000000000003</v>
      </c>
      <c r="H73" s="513">
        <f t="shared" si="63"/>
        <v>466.78500000000003</v>
      </c>
      <c r="I73" s="757">
        <v>0</v>
      </c>
      <c r="J73" s="513">
        <f t="shared" si="47"/>
        <v>0</v>
      </c>
      <c r="K73" s="513">
        <f t="shared" si="58"/>
        <v>0</v>
      </c>
      <c r="L73" s="757">
        <v>0.18</v>
      </c>
      <c r="M73" s="513">
        <f t="shared" si="48"/>
        <v>3.5999999999999996</v>
      </c>
      <c r="N73" s="513">
        <f t="shared" si="59"/>
        <v>4.1399999999999997</v>
      </c>
      <c r="O73" s="513">
        <f t="shared" si="60"/>
        <v>548.53700000000003</v>
      </c>
      <c r="P73" s="757">
        <v>0</v>
      </c>
      <c r="Q73" s="513">
        <f t="shared" si="49"/>
        <v>0</v>
      </c>
      <c r="R73" s="513">
        <f t="shared" si="50"/>
        <v>0</v>
      </c>
      <c r="S73" s="513">
        <f t="shared" si="51"/>
        <v>548.53700000000003</v>
      </c>
      <c r="T73" s="513">
        <f t="shared" si="52"/>
        <v>11647.623950000001</v>
      </c>
      <c r="U73" s="757">
        <v>0</v>
      </c>
      <c r="V73" s="513">
        <f t="shared" si="61"/>
        <v>0</v>
      </c>
      <c r="W73" s="757">
        <v>0</v>
      </c>
      <c r="X73" s="513">
        <f t="shared" si="53"/>
        <v>0</v>
      </c>
      <c r="Y73" s="757">
        <v>0</v>
      </c>
      <c r="Z73" s="513">
        <f t="shared" si="54"/>
        <v>0</v>
      </c>
      <c r="AA73" s="757">
        <v>10</v>
      </c>
      <c r="AB73" s="513">
        <f t="shared" si="55"/>
        <v>179</v>
      </c>
      <c r="AC73" s="753">
        <v>0</v>
      </c>
      <c r="AD73" s="513">
        <f t="shared" si="56"/>
        <v>0</v>
      </c>
      <c r="AE73" s="757">
        <v>5</v>
      </c>
      <c r="AF73" s="513">
        <f t="shared" si="57"/>
        <v>94</v>
      </c>
    </row>
    <row r="74" spans="1:32" s="512" customFormat="1" ht="12.6" customHeight="1">
      <c r="A74" s="756">
        <v>174</v>
      </c>
      <c r="B74" s="756">
        <v>20</v>
      </c>
      <c r="C74" s="757">
        <v>6.1</v>
      </c>
      <c r="D74" s="513">
        <f t="shared" si="45"/>
        <v>109.2</v>
      </c>
      <c r="E74" s="513">
        <f t="shared" si="62"/>
        <v>96.096000000000004</v>
      </c>
      <c r="F74" s="757">
        <v>10.3</v>
      </c>
      <c r="G74" s="513">
        <f t="shared" si="46"/>
        <v>369.90000000000003</v>
      </c>
      <c r="H74" s="513">
        <f t="shared" si="63"/>
        <v>425.38499999999999</v>
      </c>
      <c r="I74" s="757">
        <v>0</v>
      </c>
      <c r="J74" s="513">
        <f t="shared" si="47"/>
        <v>0</v>
      </c>
      <c r="K74" s="723">
        <f t="shared" si="58"/>
        <v>0</v>
      </c>
      <c r="L74" s="757">
        <v>0.18</v>
      </c>
      <c r="M74" s="513">
        <f t="shared" si="48"/>
        <v>3.5999999999999996</v>
      </c>
      <c r="N74" s="513">
        <f t="shared" si="59"/>
        <v>4.1399999999999997</v>
      </c>
      <c r="O74" s="723">
        <f t="shared" si="60"/>
        <v>521.48099999999999</v>
      </c>
      <c r="P74" s="757">
        <v>0</v>
      </c>
      <c r="Q74" s="513">
        <f t="shared" si="49"/>
        <v>0</v>
      </c>
      <c r="R74" s="513">
        <f t="shared" si="50"/>
        <v>0</v>
      </c>
      <c r="S74" s="513">
        <f t="shared" si="51"/>
        <v>521.48099999999999</v>
      </c>
      <c r="T74" s="513">
        <f t="shared" si="52"/>
        <v>12169.104950000001</v>
      </c>
      <c r="U74" s="757">
        <v>0</v>
      </c>
      <c r="V74" s="513">
        <f t="shared" si="61"/>
        <v>0</v>
      </c>
      <c r="W74" s="757">
        <v>1.4</v>
      </c>
      <c r="X74" s="513">
        <f t="shared" si="53"/>
        <v>14</v>
      </c>
      <c r="Y74" s="757">
        <v>0</v>
      </c>
      <c r="Z74" s="513">
        <f t="shared" si="54"/>
        <v>0</v>
      </c>
      <c r="AA74" s="757">
        <v>7.5</v>
      </c>
      <c r="AB74" s="513">
        <f t="shared" si="55"/>
        <v>175</v>
      </c>
      <c r="AC74" s="753">
        <v>0</v>
      </c>
      <c r="AD74" s="513">
        <f t="shared" si="56"/>
        <v>0</v>
      </c>
      <c r="AE74" s="757">
        <v>4.0999999999999996</v>
      </c>
      <c r="AF74" s="513">
        <f t="shared" si="57"/>
        <v>91</v>
      </c>
    </row>
    <row r="75" spans="1:32" s="512" customFormat="1" ht="12.6" customHeight="1">
      <c r="A75" s="756">
        <v>175</v>
      </c>
      <c r="B75" s="756">
        <v>20</v>
      </c>
      <c r="C75" s="757">
        <v>8.68</v>
      </c>
      <c r="D75" s="513">
        <f t="shared" si="45"/>
        <v>147.79999999999998</v>
      </c>
      <c r="E75" s="513">
        <f t="shared" si="62"/>
        <v>130.06399999999999</v>
      </c>
      <c r="F75" s="757">
        <v>7.21</v>
      </c>
      <c r="G75" s="513">
        <f t="shared" si="46"/>
        <v>175.10000000000002</v>
      </c>
      <c r="H75" s="513">
        <f t="shared" si="63"/>
        <v>201.36500000000001</v>
      </c>
      <c r="I75" s="757">
        <v>0</v>
      </c>
      <c r="J75" s="513">
        <f t="shared" si="47"/>
        <v>0</v>
      </c>
      <c r="K75" s="513">
        <f t="shared" si="58"/>
        <v>0</v>
      </c>
      <c r="L75" s="757">
        <v>0.18</v>
      </c>
      <c r="M75" s="513">
        <f t="shared" si="48"/>
        <v>3.5999999999999996</v>
      </c>
      <c r="N75" s="513">
        <f t="shared" si="59"/>
        <v>4.1399999999999997</v>
      </c>
      <c r="O75" s="513">
        <f t="shared" si="60"/>
        <v>331.42899999999997</v>
      </c>
      <c r="P75" s="757">
        <v>0</v>
      </c>
      <c r="Q75" s="513">
        <f t="shared" si="49"/>
        <v>0</v>
      </c>
      <c r="R75" s="513">
        <f t="shared" si="50"/>
        <v>0</v>
      </c>
      <c r="S75" s="513">
        <f t="shared" si="51"/>
        <v>331.42899999999997</v>
      </c>
      <c r="T75" s="513">
        <f t="shared" si="52"/>
        <v>12500.533950000001</v>
      </c>
      <c r="U75" s="757">
        <v>0</v>
      </c>
      <c r="V75" s="513">
        <f t="shared" si="61"/>
        <v>0</v>
      </c>
      <c r="W75" s="757">
        <v>1.4</v>
      </c>
      <c r="X75" s="513">
        <f t="shared" si="53"/>
        <v>28</v>
      </c>
      <c r="Y75" s="757">
        <v>0</v>
      </c>
      <c r="Z75" s="513">
        <f t="shared" si="54"/>
        <v>0</v>
      </c>
      <c r="AA75" s="757">
        <v>7.3</v>
      </c>
      <c r="AB75" s="513">
        <f t="shared" si="55"/>
        <v>148</v>
      </c>
      <c r="AC75" s="753">
        <v>0</v>
      </c>
      <c r="AD75" s="513">
        <f t="shared" si="56"/>
        <v>0</v>
      </c>
      <c r="AE75" s="757">
        <v>4</v>
      </c>
      <c r="AF75" s="513">
        <f t="shared" si="57"/>
        <v>81</v>
      </c>
    </row>
    <row r="76" spans="1:32" s="512" customFormat="1" ht="12.6" customHeight="1">
      <c r="A76" s="756">
        <v>176</v>
      </c>
      <c r="B76" s="756">
        <v>20</v>
      </c>
      <c r="C76" s="757">
        <v>8.0399999999999991</v>
      </c>
      <c r="D76" s="513">
        <f t="shared" si="45"/>
        <v>167.2</v>
      </c>
      <c r="E76" s="513">
        <f t="shared" si="62"/>
        <v>147.136</v>
      </c>
      <c r="F76" s="757">
        <v>5.0599999999999996</v>
      </c>
      <c r="G76" s="513">
        <f t="shared" si="46"/>
        <v>122.69999999999999</v>
      </c>
      <c r="H76" s="513">
        <f t="shared" si="63"/>
        <v>141.10499999999999</v>
      </c>
      <c r="I76" s="757">
        <v>0</v>
      </c>
      <c r="J76" s="513">
        <f t="shared" si="47"/>
        <v>0</v>
      </c>
      <c r="K76" s="723">
        <f t="shared" si="58"/>
        <v>0</v>
      </c>
      <c r="L76" s="757">
        <v>0.18</v>
      </c>
      <c r="M76" s="513">
        <f t="shared" si="48"/>
        <v>3.5999999999999996</v>
      </c>
      <c r="N76" s="513">
        <f t="shared" si="59"/>
        <v>4.1399999999999997</v>
      </c>
      <c r="O76" s="723">
        <f t="shared" si="60"/>
        <v>288.24099999999999</v>
      </c>
      <c r="P76" s="757">
        <v>0</v>
      </c>
      <c r="Q76" s="513">
        <f t="shared" si="49"/>
        <v>0</v>
      </c>
      <c r="R76" s="513">
        <f t="shared" si="50"/>
        <v>0</v>
      </c>
      <c r="S76" s="513">
        <f t="shared" si="51"/>
        <v>288.24099999999999</v>
      </c>
      <c r="T76" s="513">
        <f t="shared" si="52"/>
        <v>12788.774950000001</v>
      </c>
      <c r="U76" s="757">
        <v>0</v>
      </c>
      <c r="V76" s="513">
        <f t="shared" si="61"/>
        <v>0</v>
      </c>
      <c r="W76" s="757">
        <v>1.4</v>
      </c>
      <c r="X76" s="513">
        <f t="shared" si="53"/>
        <v>28</v>
      </c>
      <c r="Y76" s="757">
        <v>0</v>
      </c>
      <c r="Z76" s="513">
        <f t="shared" si="54"/>
        <v>0</v>
      </c>
      <c r="AA76" s="757">
        <v>7.1</v>
      </c>
      <c r="AB76" s="513">
        <f t="shared" si="55"/>
        <v>144</v>
      </c>
      <c r="AC76" s="753">
        <v>0</v>
      </c>
      <c r="AD76" s="513">
        <f t="shared" si="56"/>
        <v>0</v>
      </c>
      <c r="AE76" s="757">
        <v>4.0999999999999996</v>
      </c>
      <c r="AF76" s="513">
        <f t="shared" si="57"/>
        <v>81</v>
      </c>
    </row>
    <row r="77" spans="1:32" s="512" customFormat="1" ht="12.6" customHeight="1">
      <c r="A77" s="756" t="s">
        <v>559</v>
      </c>
      <c r="B77" s="756">
        <v>10</v>
      </c>
      <c r="C77" s="757">
        <v>3.17</v>
      </c>
      <c r="D77" s="513">
        <f t="shared" si="45"/>
        <v>56.05</v>
      </c>
      <c r="E77" s="513">
        <f t="shared" si="62"/>
        <v>49.323999999999998</v>
      </c>
      <c r="F77" s="757">
        <v>1.31</v>
      </c>
      <c r="G77" s="513">
        <f t="shared" si="46"/>
        <v>31.849999999999994</v>
      </c>
      <c r="H77" s="513">
        <f t="shared" si="63"/>
        <v>36.627499999999991</v>
      </c>
      <c r="I77" s="757">
        <v>0</v>
      </c>
      <c r="J77" s="513">
        <f t="shared" si="47"/>
        <v>0</v>
      </c>
      <c r="K77" s="513">
        <f t="shared" si="58"/>
        <v>0</v>
      </c>
      <c r="L77" s="757">
        <v>0.18</v>
      </c>
      <c r="M77" s="513">
        <f t="shared" si="48"/>
        <v>1.7999999999999998</v>
      </c>
      <c r="N77" s="754">
        <f t="shared" si="59"/>
        <v>2.0699999999999998</v>
      </c>
      <c r="O77" s="513">
        <f t="shared" si="60"/>
        <v>85.951499999999982</v>
      </c>
      <c r="P77" s="757">
        <v>1.27</v>
      </c>
      <c r="Q77" s="513">
        <f t="shared" si="49"/>
        <v>6.35</v>
      </c>
      <c r="R77" s="513">
        <f t="shared" si="50"/>
        <v>6.35</v>
      </c>
      <c r="S77" s="513">
        <f t="shared" si="51"/>
        <v>79.601499999999987</v>
      </c>
      <c r="T77" s="513">
        <f t="shared" si="52"/>
        <v>12868.376450000002</v>
      </c>
      <c r="U77" s="757">
        <v>3.1</v>
      </c>
      <c r="V77" s="513">
        <f t="shared" si="61"/>
        <v>15.5</v>
      </c>
      <c r="W77" s="757">
        <v>1.2</v>
      </c>
      <c r="X77" s="513">
        <f t="shared" si="53"/>
        <v>12.999999999999998</v>
      </c>
      <c r="Y77" s="757">
        <v>3.6</v>
      </c>
      <c r="Z77" s="513">
        <f t="shared" si="54"/>
        <v>18</v>
      </c>
      <c r="AA77" s="757">
        <v>4.5</v>
      </c>
      <c r="AB77" s="513">
        <f t="shared" si="55"/>
        <v>58</v>
      </c>
      <c r="AC77" s="753">
        <v>1.2</v>
      </c>
      <c r="AD77" s="513">
        <f t="shared" si="56"/>
        <v>6</v>
      </c>
      <c r="AE77" s="757">
        <v>4</v>
      </c>
      <c r="AF77" s="513">
        <f t="shared" si="57"/>
        <v>40.5</v>
      </c>
    </row>
    <row r="78" spans="1:32" s="512" customFormat="1" ht="20.100000000000001" customHeight="1">
      <c r="A78" s="724" t="s">
        <v>174</v>
      </c>
      <c r="B78" s="619">
        <f>SUM(B4:B77)</f>
        <v>1130</v>
      </c>
      <c r="C78" s="622"/>
      <c r="D78" s="617">
        <f>ROUND(SUM(D4:D77),)</f>
        <v>7164</v>
      </c>
      <c r="E78" s="616"/>
      <c r="F78" s="618"/>
      <c r="G78" s="621">
        <f>ROUND(SUM(G4:G77),)</f>
        <v>9813</v>
      </c>
      <c r="H78" s="616"/>
      <c r="I78" s="624"/>
      <c r="J78" s="617">
        <f>ROUND(SUM(J4:J77),)</f>
        <v>8</v>
      </c>
      <c r="K78" s="615"/>
      <c r="L78" s="620"/>
      <c r="M78" s="617">
        <f>ROUND(SUM(M4:M77),)</f>
        <v>182</v>
      </c>
      <c r="N78" s="615"/>
      <c r="O78" s="623">
        <f>ROUND(SUM(O4:O77),)</f>
        <v>17589</v>
      </c>
      <c r="P78" s="618"/>
      <c r="Q78" s="616">
        <f>ROUND(SUM(Q4:Q77),)</f>
        <v>4720</v>
      </c>
      <c r="R78" s="623">
        <f>ROUND(SUM(R4:R77),)</f>
        <v>2083</v>
      </c>
      <c r="S78" s="625">
        <f>ROUND(SUM(S4:S77),)</f>
        <v>12868</v>
      </c>
      <c r="T78" s="623"/>
      <c r="U78" s="618"/>
      <c r="V78" s="616">
        <f>ROUND(SUM(V4:V77),)</f>
        <v>3462</v>
      </c>
      <c r="W78" s="618"/>
      <c r="X78" s="616">
        <f>ROUND(SUM(X4:X77),)</f>
        <v>1490</v>
      </c>
      <c r="Y78" s="618"/>
      <c r="Z78" s="616">
        <f>ROUND(SUM(Z4:Z77),)</f>
        <v>3777</v>
      </c>
      <c r="AA78" s="618"/>
      <c r="AB78" s="616">
        <f>ROUND(SUM(AB4:AB77),)</f>
        <v>7558</v>
      </c>
      <c r="AC78" s="622"/>
      <c r="AD78" s="616">
        <f>ROUND(SUM(AD4:AD77),)</f>
        <v>810</v>
      </c>
      <c r="AE78" s="618"/>
      <c r="AF78" s="616">
        <f>ROUND(SUM(AF4:AF77),)</f>
        <v>5217</v>
      </c>
    </row>
    <row r="79" spans="1:32" s="512" customFormat="1" ht="15" customHeight="1">
      <c r="A79" s="514"/>
      <c r="B79" s="515"/>
      <c r="C79" s="516"/>
      <c r="D79" s="517"/>
      <c r="E79" s="517"/>
      <c r="F79" s="516"/>
      <c r="G79" s="517"/>
      <c r="H79" s="517"/>
      <c r="I79" s="516"/>
      <c r="J79" s="517"/>
      <c r="K79" s="517"/>
      <c r="L79" s="516"/>
      <c r="M79" s="517"/>
      <c r="N79" s="517"/>
      <c r="O79" s="517"/>
      <c r="P79" s="516"/>
      <c r="Q79" s="517"/>
      <c r="R79" s="517"/>
      <c r="S79" s="517"/>
      <c r="T79" s="517"/>
      <c r="U79" s="518"/>
      <c r="V79" s="519"/>
      <c r="W79" s="518"/>
      <c r="X79" s="519"/>
      <c r="Y79" s="518"/>
      <c r="Z79" s="519"/>
      <c r="AA79" s="518"/>
      <c r="AB79" s="519">
        <f>AB78+Z78</f>
        <v>11335</v>
      </c>
      <c r="AC79" s="518"/>
      <c r="AD79" s="519"/>
      <c r="AE79" s="650"/>
      <c r="AF79" s="651"/>
    </row>
    <row r="80" spans="1:32">
      <c r="AE80" s="626"/>
      <c r="AF80" s="627"/>
    </row>
    <row r="81" spans="31:32">
      <c r="AE81" s="626"/>
      <c r="AF81" s="627"/>
    </row>
    <row r="82" spans="31:32">
      <c r="AE82" s="626"/>
      <c r="AF82" s="627"/>
    </row>
    <row r="83" spans="31:32">
      <c r="AE83" s="626"/>
      <c r="AF83" s="627"/>
    </row>
    <row r="84" spans="31:32">
      <c r="AE84" s="626"/>
      <c r="AF84" s="627"/>
    </row>
    <row r="85" spans="31:32">
      <c r="AE85" s="626"/>
      <c r="AF85" s="627"/>
    </row>
    <row r="86" spans="31:32">
      <c r="AE86" s="626"/>
      <c r="AF86" s="627"/>
    </row>
  </sheetData>
  <mergeCells count="22">
    <mergeCell ref="A1:A3"/>
    <mergeCell ref="B1:B3"/>
    <mergeCell ref="C1:H1"/>
    <mergeCell ref="P1:Q2"/>
    <mergeCell ref="S1:S3"/>
    <mergeCell ref="R1:R3"/>
    <mergeCell ref="C2:E2"/>
    <mergeCell ref="O1:O3"/>
    <mergeCell ref="I1:N1"/>
    <mergeCell ref="F2:H2"/>
    <mergeCell ref="AE1:AF2"/>
    <mergeCell ref="I2:K2"/>
    <mergeCell ref="L2:N2"/>
    <mergeCell ref="Y1:AB1"/>
    <mergeCell ref="U2:V2"/>
    <mergeCell ref="W2:X2"/>
    <mergeCell ref="U1:V1"/>
    <mergeCell ref="AC1:AD2"/>
    <mergeCell ref="W1:X1"/>
    <mergeCell ref="AA2:AB2"/>
    <mergeCell ref="Y2:Z2"/>
    <mergeCell ref="T1:T3"/>
  </mergeCells>
  <phoneticPr fontId="4" type="noConversion"/>
  <pageMargins left="0.78740157480314965" right="0.19685039370078741" top="0.19685039370078741" bottom="0" header="0.15748031496062992" footer="0.15748031496062992"/>
  <pageSetup paperSize="9" scale="75" orientation="landscape" r:id="rId1"/>
  <headerFooter alignWithMargins="0"/>
  <rowBreaks count="1" manualBreakCount="1">
    <brk id="52" max="31" man="1"/>
  </rowBreaks>
  <colBreaks count="1" manualBreakCount="1">
    <brk id="17" max="7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150"/>
  <sheetViews>
    <sheetView showGridLines="0" view="pageBreakPreview" topLeftCell="A4" zoomScale="60" zoomScaleNormal="115" workbookViewId="0">
      <selection activeCell="T13" sqref="T13"/>
    </sheetView>
  </sheetViews>
  <sheetFormatPr defaultRowHeight="14.25"/>
  <cols>
    <col min="1" max="1" width="9" style="203"/>
    <col min="2" max="2" width="8.25" style="203" customWidth="1"/>
    <col min="3" max="4" width="9" style="203"/>
    <col min="5" max="6" width="1.5" style="203" customWidth="1"/>
    <col min="7" max="9" width="9" style="203"/>
    <col min="10" max="10" width="10.75" style="203" customWidth="1"/>
    <col min="11" max="14" width="4" style="203" customWidth="1"/>
    <col min="15" max="15" width="4.875" style="203" customWidth="1"/>
    <col min="16" max="16" width="4" style="203" customWidth="1"/>
    <col min="17" max="16384" width="9" style="203"/>
  </cols>
  <sheetData>
    <row r="1" spans="1:26" ht="27">
      <c r="A1" s="1203" t="s">
        <v>253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  <c r="O1" s="1203"/>
      <c r="P1" s="1203"/>
      <c r="Q1" s="1203"/>
      <c r="R1" s="1203"/>
      <c r="S1" s="324"/>
      <c r="T1" s="302"/>
      <c r="U1" s="302"/>
      <c r="V1" s="302"/>
      <c r="W1" s="302"/>
      <c r="X1"/>
      <c r="Y1"/>
      <c r="Z1"/>
    </row>
    <row r="2" spans="1:26" ht="18.75" customHeight="1">
      <c r="B2" s="303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5"/>
      <c r="U2" s="305"/>
      <c r="V2" s="305"/>
      <c r="W2" s="305"/>
      <c r="X2" s="306"/>
      <c r="Y2" s="306"/>
      <c r="Z2" s="306"/>
    </row>
    <row r="3" spans="1:26" ht="21" customHeight="1">
      <c r="B3" s="307"/>
      <c r="C3" s="1204" t="s">
        <v>501</v>
      </c>
      <c r="D3" s="1205"/>
      <c r="E3" s="307"/>
      <c r="F3" s="308"/>
      <c r="G3" s="1209" t="s">
        <v>178</v>
      </c>
      <c r="H3" s="1209"/>
      <c r="I3" s="1204" t="s">
        <v>369</v>
      </c>
      <c r="J3" s="1205"/>
      <c r="K3" s="1211" t="s">
        <v>517</v>
      </c>
      <c r="L3" s="1209"/>
      <c r="M3" s="1209"/>
      <c r="N3" s="1209"/>
      <c r="O3" s="1209"/>
      <c r="P3" s="1212"/>
      <c r="Q3" s="1210" t="s">
        <v>247</v>
      </c>
      <c r="R3" s="1205"/>
      <c r="S3" s="204"/>
      <c r="T3" s="309"/>
      <c r="U3" s="309"/>
      <c r="V3" s="310"/>
      <c r="W3" s="311"/>
      <c r="X3" s="312"/>
      <c r="Y3" s="313"/>
      <c r="Z3" s="313"/>
    </row>
    <row r="4" spans="1:26" ht="21" customHeight="1">
      <c r="B4" s="307"/>
      <c r="C4" s="1206"/>
      <c r="D4" s="1207"/>
      <c r="E4" s="314"/>
      <c r="F4" s="315"/>
      <c r="G4" s="1208">
        <v>12</v>
      </c>
      <c r="H4" s="1208"/>
      <c r="I4" s="1206"/>
      <c r="J4" s="1207"/>
      <c r="K4" s="1213">
        <v>7</v>
      </c>
      <c r="L4" s="1214"/>
      <c r="M4" s="1214"/>
      <c r="N4" s="1214"/>
      <c r="O4" s="1214"/>
      <c r="P4" s="1215"/>
      <c r="Q4" s="1206"/>
      <c r="R4" s="1207"/>
      <c r="S4" s="204"/>
      <c r="T4" s="309"/>
      <c r="U4" s="309"/>
      <c r="V4" s="311"/>
      <c r="W4" s="311"/>
      <c r="X4" s="312"/>
      <c r="Y4" s="313"/>
      <c r="Z4" s="313"/>
    </row>
    <row r="5" spans="1:26" ht="21" customHeight="1">
      <c r="B5" s="307"/>
      <c r="C5" s="316"/>
      <c r="D5" s="316"/>
      <c r="E5" s="307"/>
      <c r="F5" s="307"/>
      <c r="G5" s="307"/>
      <c r="H5" s="316"/>
      <c r="I5" s="307"/>
      <c r="J5" s="307"/>
      <c r="K5" s="483"/>
      <c r="L5" s="483"/>
      <c r="M5" s="483"/>
      <c r="N5" s="484"/>
      <c r="O5" s="483"/>
      <c r="P5" s="484"/>
      <c r="Q5" s="307"/>
      <c r="R5" s="307"/>
      <c r="S5" s="307"/>
      <c r="T5" s="311"/>
      <c r="U5" s="317"/>
      <c r="V5" s="317"/>
      <c r="W5" s="317"/>
      <c r="X5" s="318"/>
      <c r="Y5" s="306"/>
      <c r="Z5"/>
    </row>
    <row r="6" spans="1:26" ht="21" customHeight="1">
      <c r="B6" s="307"/>
      <c r="C6" s="1210" t="s">
        <v>502</v>
      </c>
      <c r="D6" s="1205"/>
      <c r="E6" s="307"/>
      <c r="F6" s="308"/>
      <c r="G6" s="1209" t="s">
        <v>178</v>
      </c>
      <c r="H6" s="1209"/>
      <c r="I6" s="1204" t="str">
        <f>I3</f>
        <v>현장입구</v>
      </c>
      <c r="J6" s="1205"/>
      <c r="K6" s="1211" t="str">
        <f>K3</f>
        <v>1차선이하</v>
      </c>
      <c r="L6" s="1209"/>
      <c r="M6" s="1209"/>
      <c r="N6" s="1209"/>
      <c r="O6" s="1209"/>
      <c r="P6" s="1212"/>
      <c r="Q6" s="1210" t="s">
        <v>247</v>
      </c>
      <c r="R6" s="1205"/>
      <c r="S6" s="204"/>
      <c r="T6" s="309"/>
      <c r="U6" s="309"/>
      <c r="V6" s="310"/>
      <c r="W6" s="311"/>
      <c r="X6" s="312"/>
      <c r="Y6" s="313"/>
      <c r="Z6" s="313"/>
    </row>
    <row r="7" spans="1:26" ht="21" customHeight="1">
      <c r="B7" s="307"/>
      <c r="C7" s="1206"/>
      <c r="D7" s="1207"/>
      <c r="E7" s="314"/>
      <c r="F7" s="315"/>
      <c r="G7" s="1208">
        <v>9.4</v>
      </c>
      <c r="H7" s="1208"/>
      <c r="I7" s="1206"/>
      <c r="J7" s="1207"/>
      <c r="K7" s="1213">
        <f>K4</f>
        <v>7</v>
      </c>
      <c r="L7" s="1214"/>
      <c r="M7" s="1214"/>
      <c r="N7" s="1214"/>
      <c r="O7" s="1214"/>
      <c r="P7" s="1215"/>
      <c r="Q7" s="1206"/>
      <c r="R7" s="1207"/>
      <c r="S7" s="204"/>
      <c r="T7" s="309"/>
      <c r="U7" s="309"/>
      <c r="V7" s="311"/>
      <c r="W7" s="311"/>
      <c r="X7" s="312"/>
      <c r="Y7" s="313"/>
      <c r="Z7" s="313"/>
    </row>
    <row r="8" spans="1:26" ht="21" customHeight="1">
      <c r="B8" s="307"/>
      <c r="C8" s="204"/>
      <c r="D8" s="204"/>
      <c r="E8" s="316"/>
      <c r="F8" s="316"/>
      <c r="G8" s="319"/>
      <c r="H8" s="319"/>
      <c r="I8" s="204"/>
      <c r="J8" s="204"/>
      <c r="K8" s="319"/>
      <c r="L8" s="319"/>
      <c r="M8" s="319"/>
      <c r="N8" s="319"/>
      <c r="O8" s="319"/>
      <c r="P8" s="319"/>
      <c r="Q8" s="204"/>
      <c r="R8" s="204"/>
      <c r="S8" s="204"/>
      <c r="T8" s="309"/>
      <c r="U8" s="309"/>
      <c r="V8" s="311"/>
      <c r="W8" s="311"/>
      <c r="X8" s="312"/>
      <c r="Y8" s="313"/>
      <c r="Z8" s="313"/>
    </row>
    <row r="9" spans="1:26" ht="21" customHeight="1">
      <c r="B9" s="307"/>
      <c r="C9" s="1210" t="s">
        <v>502</v>
      </c>
      <c r="D9" s="1205"/>
      <c r="E9" s="307"/>
      <c r="F9" s="308"/>
      <c r="G9" s="1209" t="s">
        <v>178</v>
      </c>
      <c r="H9" s="1209"/>
      <c r="I9" s="1204" t="str">
        <f>I3</f>
        <v>현장입구</v>
      </c>
      <c r="J9" s="1205"/>
      <c r="K9" s="1211" t="str">
        <f>K3</f>
        <v>1차선이하</v>
      </c>
      <c r="L9" s="1209"/>
      <c r="M9" s="1209"/>
      <c r="N9" s="1209"/>
      <c r="O9" s="1209"/>
      <c r="P9" s="1212"/>
      <c r="Q9" s="1210" t="s">
        <v>247</v>
      </c>
      <c r="R9" s="1205"/>
      <c r="S9" s="204"/>
      <c r="T9" s="309"/>
      <c r="U9" s="309"/>
      <c r="V9" s="310"/>
      <c r="W9" s="311"/>
      <c r="X9" s="312"/>
      <c r="Y9" s="313"/>
      <c r="Z9" s="313"/>
    </row>
    <row r="10" spans="1:26" ht="21" customHeight="1">
      <c r="B10" s="307"/>
      <c r="C10" s="1206"/>
      <c r="D10" s="1207"/>
      <c r="E10" s="314"/>
      <c r="F10" s="315"/>
      <c r="G10" s="1208">
        <f>G7</f>
        <v>9.4</v>
      </c>
      <c r="H10" s="1208"/>
      <c r="I10" s="1206"/>
      <c r="J10" s="1207"/>
      <c r="K10" s="1213">
        <f>K4</f>
        <v>7</v>
      </c>
      <c r="L10" s="1214"/>
      <c r="M10" s="1214"/>
      <c r="N10" s="1214"/>
      <c r="O10" s="1214"/>
      <c r="P10" s="1215"/>
      <c r="Q10" s="1206"/>
      <c r="R10" s="1207"/>
      <c r="S10" s="204"/>
      <c r="T10" s="309"/>
      <c r="U10" s="309"/>
      <c r="V10" s="311"/>
      <c r="W10" s="311"/>
      <c r="X10" s="312"/>
      <c r="Y10" s="313"/>
      <c r="Z10" s="313"/>
    </row>
    <row r="11" spans="1:26" ht="21" customHeight="1">
      <c r="B11" s="307"/>
      <c r="C11" s="204"/>
      <c r="D11" s="204"/>
      <c r="E11" s="307"/>
      <c r="F11" s="307"/>
      <c r="G11" s="307"/>
      <c r="H11" s="316"/>
      <c r="I11" s="307"/>
      <c r="J11" s="307"/>
      <c r="K11" s="316"/>
      <c r="L11" s="316"/>
      <c r="M11" s="316"/>
      <c r="N11" s="307"/>
      <c r="O11" s="316"/>
      <c r="P11" s="307"/>
      <c r="Q11" s="307"/>
      <c r="R11" s="307"/>
      <c r="S11" s="307"/>
      <c r="T11" s="311"/>
      <c r="U11" s="317"/>
      <c r="V11" s="317"/>
      <c r="W11" s="317"/>
      <c r="X11" s="318"/>
      <c r="Y11" s="306"/>
      <c r="Z11"/>
    </row>
    <row r="12" spans="1:26" ht="21" customHeight="1">
      <c r="B12" s="307"/>
      <c r="C12" s="1210" t="s">
        <v>562</v>
      </c>
      <c r="D12" s="1205"/>
      <c r="E12" s="307"/>
      <c r="F12" s="308"/>
      <c r="G12" s="1209" t="s">
        <v>178</v>
      </c>
      <c r="H12" s="1209"/>
      <c r="I12" s="1204" t="str">
        <f>I6</f>
        <v>현장입구</v>
      </c>
      <c r="J12" s="1205"/>
      <c r="K12" s="1211" t="str">
        <f>K3</f>
        <v>1차선이하</v>
      </c>
      <c r="L12" s="1209"/>
      <c r="M12" s="1209"/>
      <c r="N12" s="1209"/>
      <c r="O12" s="1209"/>
      <c r="P12" s="1212"/>
      <c r="Q12" s="1210" t="s">
        <v>247</v>
      </c>
      <c r="R12" s="1205"/>
      <c r="S12" s="204"/>
      <c r="T12" s="309"/>
      <c r="U12" s="309"/>
      <c r="V12" s="310"/>
      <c r="W12" s="311"/>
      <c r="X12" s="312"/>
      <c r="Y12" s="313"/>
      <c r="Z12" s="313"/>
    </row>
    <row r="13" spans="1:26" ht="21" customHeight="1">
      <c r="B13" s="307"/>
      <c r="C13" s="1206"/>
      <c r="D13" s="1207"/>
      <c r="E13" s="314"/>
      <c r="F13" s="315"/>
      <c r="G13" s="1208">
        <v>73</v>
      </c>
      <c r="H13" s="1208"/>
      <c r="I13" s="1206"/>
      <c r="J13" s="1207"/>
      <c r="K13" s="1213">
        <f>K7</f>
        <v>7</v>
      </c>
      <c r="L13" s="1214"/>
      <c r="M13" s="1214"/>
      <c r="N13" s="1214"/>
      <c r="O13" s="1214"/>
      <c r="P13" s="1215"/>
      <c r="Q13" s="1206"/>
      <c r="R13" s="1207"/>
      <c r="S13" s="204"/>
      <c r="T13" s="309"/>
      <c r="U13" s="309"/>
      <c r="V13" s="311"/>
      <c r="W13" s="311"/>
      <c r="X13" s="312"/>
      <c r="Y13" s="313"/>
      <c r="Z13" s="313"/>
    </row>
    <row r="14" spans="1:26" ht="21" customHeight="1">
      <c r="B14" s="307"/>
      <c r="C14" s="204"/>
      <c r="D14" s="204"/>
      <c r="E14" s="307"/>
      <c r="F14" s="307"/>
      <c r="G14" s="307"/>
      <c r="H14" s="316"/>
      <c r="I14" s="307"/>
      <c r="J14" s="307"/>
      <c r="K14" s="316"/>
      <c r="L14" s="316"/>
      <c r="M14" s="316"/>
      <c r="N14" s="307"/>
      <c r="O14" s="316"/>
      <c r="P14" s="307"/>
      <c r="Q14" s="307"/>
      <c r="R14" s="307"/>
      <c r="S14" s="307"/>
      <c r="T14" s="311"/>
      <c r="U14" s="317"/>
      <c r="V14" s="317"/>
      <c r="W14" s="317"/>
      <c r="X14" s="318"/>
      <c r="Y14" s="306"/>
      <c r="Z14"/>
    </row>
    <row r="15" spans="1:26" ht="21" customHeight="1">
      <c r="B15" s="307"/>
      <c r="C15" s="1204" t="s">
        <v>518</v>
      </c>
      <c r="D15" s="1205"/>
      <c r="E15" s="1211"/>
      <c r="F15" s="1209"/>
      <c r="G15" s="1209" t="s">
        <v>178</v>
      </c>
      <c r="H15" s="1209"/>
      <c r="I15" s="1204" t="str">
        <f>I3</f>
        <v>현장입구</v>
      </c>
      <c r="J15" s="1205"/>
      <c r="K15" s="1211" t="str">
        <f>K3</f>
        <v>1차선이하</v>
      </c>
      <c r="L15" s="1209"/>
      <c r="M15" s="1209"/>
      <c r="N15" s="1209"/>
      <c r="O15" s="1209"/>
      <c r="P15" s="1212"/>
      <c r="Q15" s="1210" t="s">
        <v>247</v>
      </c>
      <c r="R15" s="1205"/>
      <c r="S15" s="204"/>
      <c r="T15" s="309"/>
      <c r="U15" s="309"/>
      <c r="V15" s="310"/>
      <c r="W15" s="311"/>
      <c r="X15" s="312"/>
      <c r="Y15" s="313"/>
      <c r="Z15" s="313"/>
    </row>
    <row r="16" spans="1:26" ht="21" customHeight="1">
      <c r="B16" s="307"/>
      <c r="C16" s="1206"/>
      <c r="D16" s="1207"/>
      <c r="E16" s="1229"/>
      <c r="F16" s="1230"/>
      <c r="G16" s="1208">
        <f>G4</f>
        <v>12</v>
      </c>
      <c r="H16" s="1208"/>
      <c r="I16" s="1206"/>
      <c r="J16" s="1207"/>
      <c r="K16" s="1213">
        <f>K4</f>
        <v>7</v>
      </c>
      <c r="L16" s="1214"/>
      <c r="M16" s="1214"/>
      <c r="N16" s="1214"/>
      <c r="O16" s="1214"/>
      <c r="P16" s="1215"/>
      <c r="Q16" s="1206"/>
      <c r="R16" s="1207"/>
      <c r="S16" s="204"/>
      <c r="T16" s="309"/>
      <c r="U16" s="309"/>
      <c r="V16" s="311"/>
      <c r="W16" s="311"/>
      <c r="X16" s="312"/>
      <c r="Y16" s="313"/>
      <c r="Z16" s="313"/>
    </row>
    <row r="17" spans="2:24" ht="21" customHeight="1">
      <c r="B17" s="307"/>
      <c r="C17" s="321"/>
      <c r="D17" s="321"/>
      <c r="E17" s="321"/>
      <c r="F17" s="321"/>
      <c r="G17" s="321"/>
      <c r="H17" s="321"/>
      <c r="I17" s="321"/>
      <c r="J17" s="321"/>
      <c r="K17" s="316"/>
      <c r="L17" s="316"/>
      <c r="M17" s="316"/>
      <c r="N17" s="307"/>
      <c r="O17" s="316"/>
      <c r="P17" s="307"/>
      <c r="Q17" s="321"/>
      <c r="R17" s="321"/>
      <c r="S17" s="204"/>
      <c r="T17" s="309"/>
      <c r="U17" s="309"/>
      <c r="V17" s="309"/>
      <c r="W17" s="309"/>
      <c r="X17" s="320"/>
    </row>
    <row r="18" spans="2:24" ht="21" customHeight="1">
      <c r="B18" s="307"/>
      <c r="C18" s="1219" t="s">
        <v>175</v>
      </c>
      <c r="D18" s="1220"/>
      <c r="E18" s="1220"/>
      <c r="F18" s="1220"/>
      <c r="G18" s="1220"/>
      <c r="H18" s="1220" t="s">
        <v>176</v>
      </c>
      <c r="I18" s="1220"/>
      <c r="J18" s="1220"/>
      <c r="K18" s="1220"/>
      <c r="L18" s="1220"/>
      <c r="M18" s="1220"/>
      <c r="N18" s="1220"/>
      <c r="O18" s="1220"/>
      <c r="P18" s="1220" t="s">
        <v>177</v>
      </c>
      <c r="Q18" s="1220"/>
      <c r="R18" s="1232"/>
      <c r="S18" s="322"/>
      <c r="T18" s="309"/>
      <c r="U18" s="311"/>
      <c r="V18" s="311"/>
      <c r="W18" s="311"/>
      <c r="X18" s="312"/>
    </row>
    <row r="19" spans="2:24" ht="21" customHeight="1">
      <c r="B19" s="307"/>
      <c r="C19" s="1234"/>
      <c r="D19" s="1235"/>
      <c r="E19" s="1235"/>
      <c r="F19" s="1235"/>
      <c r="G19" s="1235"/>
      <c r="H19" s="1235" t="s">
        <v>178</v>
      </c>
      <c r="I19" s="1235"/>
      <c r="J19" s="485" t="s">
        <v>248</v>
      </c>
      <c r="K19" s="1237" t="s">
        <v>356</v>
      </c>
      <c r="L19" s="1237"/>
      <c r="M19" s="1238"/>
      <c r="N19" s="1235" t="s">
        <v>38</v>
      </c>
      <c r="O19" s="1235"/>
      <c r="P19" s="1235"/>
      <c r="Q19" s="1235"/>
      <c r="R19" s="1236"/>
      <c r="S19" s="323"/>
      <c r="T19" s="311"/>
      <c r="U19" s="311"/>
      <c r="V19" s="311"/>
      <c r="W19" s="311"/>
      <c r="X19" s="312"/>
    </row>
    <row r="20" spans="2:24" ht="21" customHeight="1">
      <c r="B20" s="307"/>
      <c r="C20" s="1219" t="s">
        <v>249</v>
      </c>
      <c r="D20" s="1220"/>
      <c r="E20" s="1220"/>
      <c r="F20" s="1220"/>
      <c r="G20" s="1220"/>
      <c r="H20" s="1221">
        <f>G4</f>
        <v>12</v>
      </c>
      <c r="I20" s="1221"/>
      <c r="J20" s="486">
        <f>K4</f>
        <v>7</v>
      </c>
      <c r="K20" s="1222">
        <f>N4</f>
        <v>0</v>
      </c>
      <c r="L20" s="1223"/>
      <c r="M20" s="1224"/>
      <c r="N20" s="1233">
        <f>H20+J20+K20</f>
        <v>19</v>
      </c>
      <c r="O20" s="1233"/>
      <c r="P20" s="1220" t="str">
        <f>C3</f>
        <v>울진군청</v>
      </c>
      <c r="Q20" s="1220"/>
      <c r="R20" s="1232"/>
      <c r="S20" s="323"/>
      <c r="T20" s="311"/>
      <c r="U20" s="311"/>
      <c r="V20" s="311"/>
      <c r="W20" s="311"/>
      <c r="X20" s="312"/>
    </row>
    <row r="21" spans="2:24" ht="21" customHeight="1">
      <c r="B21" s="307"/>
      <c r="C21" s="1216" t="s">
        <v>250</v>
      </c>
      <c r="D21" s="1217"/>
      <c r="E21" s="1217"/>
      <c r="F21" s="1217"/>
      <c r="G21" s="1217"/>
      <c r="H21" s="1218">
        <f>G7</f>
        <v>9.4</v>
      </c>
      <c r="I21" s="1218"/>
      <c r="J21" s="487">
        <f>K7</f>
        <v>7</v>
      </c>
      <c r="K21" s="1225">
        <f>K20</f>
        <v>0</v>
      </c>
      <c r="L21" s="1226"/>
      <c r="M21" s="1227"/>
      <c r="N21" s="1228">
        <f>H21+J21</f>
        <v>16.399999999999999</v>
      </c>
      <c r="O21" s="1228"/>
      <c r="P21" s="1217" t="str">
        <f>C6</f>
        <v>울진 근남</v>
      </c>
      <c r="Q21" s="1217"/>
      <c r="R21" s="1231"/>
      <c r="S21" s="323"/>
      <c r="T21" s="311"/>
      <c r="U21" s="311"/>
      <c r="V21" s="311"/>
      <c r="W21" s="311"/>
      <c r="X21" s="312"/>
    </row>
    <row r="22" spans="2:24" ht="21" customHeight="1">
      <c r="B22" s="307"/>
      <c r="C22" s="1216" t="s">
        <v>251</v>
      </c>
      <c r="D22" s="1217"/>
      <c r="E22" s="1217"/>
      <c r="F22" s="1217"/>
      <c r="G22" s="1217"/>
      <c r="H22" s="1218">
        <f>G10</f>
        <v>9.4</v>
      </c>
      <c r="I22" s="1218"/>
      <c r="J22" s="488">
        <f>K10</f>
        <v>7</v>
      </c>
      <c r="K22" s="1225">
        <f>K21</f>
        <v>0</v>
      </c>
      <c r="L22" s="1226"/>
      <c r="M22" s="1227"/>
      <c r="N22" s="1228">
        <f>H22+J22</f>
        <v>16.399999999999999</v>
      </c>
      <c r="O22" s="1228"/>
      <c r="P22" s="1217" t="str">
        <f>C9</f>
        <v>울진 근남</v>
      </c>
      <c r="Q22" s="1217"/>
      <c r="R22" s="1231"/>
      <c r="S22" s="323"/>
      <c r="T22" s="311"/>
      <c r="U22" s="311"/>
      <c r="V22" s="311"/>
      <c r="W22" s="311"/>
      <c r="X22" s="312"/>
    </row>
    <row r="23" spans="2:24" ht="21" customHeight="1">
      <c r="B23" s="307"/>
      <c r="C23" s="1216" t="s">
        <v>450</v>
      </c>
      <c r="D23" s="1217"/>
      <c r="E23" s="1217"/>
      <c r="F23" s="1217"/>
      <c r="G23" s="1217"/>
      <c r="H23" s="1218">
        <f>G13</f>
        <v>73</v>
      </c>
      <c r="I23" s="1218"/>
      <c r="J23" s="488">
        <f>K13</f>
        <v>7</v>
      </c>
      <c r="K23" s="1225">
        <f>K22</f>
        <v>0</v>
      </c>
      <c r="L23" s="1226"/>
      <c r="M23" s="1227"/>
      <c r="N23" s="1228">
        <f>H23+J23</f>
        <v>80</v>
      </c>
      <c r="O23" s="1228"/>
      <c r="P23" s="1217" t="str">
        <f>C12</f>
        <v>영덕 축산</v>
      </c>
      <c r="Q23" s="1217"/>
      <c r="R23" s="1231"/>
      <c r="S23" s="323"/>
      <c r="T23" s="311"/>
      <c r="U23" s="311"/>
      <c r="V23" s="311"/>
      <c r="W23" s="311"/>
      <c r="X23" s="312"/>
    </row>
    <row r="24" spans="2:24" ht="21" customHeight="1">
      <c r="B24" s="307"/>
      <c r="C24" s="1234" t="s">
        <v>252</v>
      </c>
      <c r="D24" s="1235"/>
      <c r="E24" s="1235"/>
      <c r="F24" s="1235"/>
      <c r="G24" s="1235"/>
      <c r="H24" s="1239">
        <f>G16</f>
        <v>12</v>
      </c>
      <c r="I24" s="1239"/>
      <c r="J24" s="489">
        <f>K16</f>
        <v>7</v>
      </c>
      <c r="K24" s="1241">
        <f>K23</f>
        <v>0</v>
      </c>
      <c r="L24" s="1237"/>
      <c r="M24" s="1238"/>
      <c r="N24" s="1240">
        <f>H24+J24</f>
        <v>19</v>
      </c>
      <c r="O24" s="1240"/>
      <c r="P24" s="1235" t="str">
        <f>C15</f>
        <v>울진군청</v>
      </c>
      <c r="Q24" s="1235"/>
      <c r="R24" s="1236"/>
      <c r="S24" s="323"/>
      <c r="T24" s="311"/>
      <c r="U24" s="311"/>
      <c r="V24" s="311"/>
      <c r="W24" s="311"/>
      <c r="X24" s="312"/>
    </row>
    <row r="25" spans="2:24"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2"/>
      <c r="U25" s="302"/>
      <c r="V25" s="302"/>
      <c r="W25" s="302"/>
      <c r="X25"/>
    </row>
    <row r="26" spans="2:24">
      <c r="B26" s="303"/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4"/>
      <c r="S26" s="304"/>
      <c r="T26" s="302"/>
      <c r="U26" s="302"/>
      <c r="V26" s="302"/>
      <c r="W26" s="302"/>
      <c r="X26"/>
    </row>
    <row r="27" spans="2:24"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4"/>
      <c r="S27" s="304"/>
      <c r="T27" s="302"/>
      <c r="U27" s="302"/>
      <c r="V27" s="302"/>
      <c r="W27" s="302"/>
      <c r="X27"/>
    </row>
    <row r="28" spans="2:24"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4"/>
      <c r="S28" s="304"/>
      <c r="T28" s="302"/>
      <c r="U28" s="302"/>
      <c r="V28" s="302"/>
      <c r="W28" s="302"/>
      <c r="X28"/>
    </row>
    <row r="29" spans="2:24"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4"/>
      <c r="S29" s="304"/>
      <c r="T29" s="302"/>
      <c r="U29" s="302"/>
      <c r="V29" s="302"/>
      <c r="W29" s="302"/>
      <c r="X29"/>
    </row>
    <row r="30" spans="2:24"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4"/>
      <c r="S30" s="304"/>
      <c r="T30" s="302"/>
      <c r="U30" s="302"/>
      <c r="V30" s="302"/>
      <c r="W30" s="302"/>
      <c r="X30"/>
    </row>
    <row r="31" spans="2:24">
      <c r="B31" s="303"/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4"/>
      <c r="S31" s="304"/>
      <c r="T31" s="302"/>
      <c r="U31" s="302"/>
      <c r="V31" s="302"/>
      <c r="W31" s="302"/>
    </row>
    <row r="32" spans="2:24">
      <c r="B32" s="303"/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4"/>
      <c r="S32" s="304"/>
      <c r="T32" s="302"/>
      <c r="U32" s="302"/>
      <c r="V32" s="302"/>
      <c r="W32" s="302"/>
    </row>
    <row r="33" spans="2:23">
      <c r="B33" s="303"/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3"/>
      <c r="Q33" s="303"/>
      <c r="R33" s="304"/>
      <c r="S33" s="304"/>
      <c r="T33" s="302"/>
      <c r="U33" s="302"/>
      <c r="V33" s="302"/>
      <c r="W33" s="302"/>
    </row>
    <row r="34" spans="2:23">
      <c r="B34" s="303"/>
      <c r="C34" s="303"/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3"/>
      <c r="R34" s="304"/>
      <c r="S34" s="304"/>
      <c r="T34" s="302"/>
      <c r="U34" s="302"/>
      <c r="V34" s="302"/>
      <c r="W34" s="302"/>
    </row>
    <row r="35" spans="2:23"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/>
      <c r="Q35" s="303"/>
      <c r="R35" s="304"/>
      <c r="S35" s="304"/>
      <c r="T35" s="302"/>
      <c r="U35" s="302"/>
      <c r="V35" s="302"/>
      <c r="W35" s="302"/>
    </row>
    <row r="36" spans="2:23">
      <c r="B36" s="303"/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4"/>
      <c r="S36" s="304"/>
      <c r="T36" s="302"/>
      <c r="U36" s="302"/>
      <c r="V36" s="302"/>
      <c r="W36" s="302"/>
    </row>
    <row r="37" spans="2:23"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304"/>
      <c r="S37" s="304"/>
      <c r="T37" s="302"/>
      <c r="U37" s="302"/>
      <c r="V37" s="302"/>
      <c r="W37" s="302"/>
    </row>
    <row r="38" spans="2:23">
      <c r="B38" s="303"/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/>
      <c r="Q38" s="303"/>
      <c r="R38" s="304"/>
      <c r="S38" s="304"/>
      <c r="T38" s="302"/>
      <c r="U38" s="302"/>
      <c r="V38" s="302"/>
      <c r="W38" s="302"/>
    </row>
    <row r="39" spans="2:23">
      <c r="B39" s="303"/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2"/>
      <c r="U39" s="302"/>
      <c r="V39" s="302"/>
      <c r="W39" s="302"/>
    </row>
    <row r="40" spans="2:23"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2"/>
      <c r="U40" s="302"/>
      <c r="V40" s="302"/>
      <c r="W40" s="302"/>
    </row>
    <row r="41" spans="2:23">
      <c r="B41" s="303"/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3"/>
      <c r="O41" s="303"/>
      <c r="P41" s="303"/>
      <c r="Q41" s="303"/>
      <c r="R41" s="303"/>
      <c r="S41" s="303"/>
      <c r="T41" s="302"/>
      <c r="U41" s="302"/>
      <c r="V41" s="302"/>
      <c r="W41" s="302"/>
    </row>
    <row r="42" spans="2:23"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2"/>
      <c r="U42" s="302"/>
      <c r="V42" s="302"/>
      <c r="W42" s="302"/>
    </row>
    <row r="43" spans="2:23">
      <c r="B43" s="303"/>
      <c r="C43" s="303"/>
      <c r="D43" s="303"/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3"/>
      <c r="P43" s="303"/>
      <c r="Q43" s="303"/>
      <c r="R43" s="303"/>
      <c r="S43" s="303"/>
      <c r="T43" s="302"/>
      <c r="U43" s="302"/>
      <c r="V43" s="302"/>
      <c r="W43" s="302"/>
    </row>
    <row r="44" spans="2:23">
      <c r="B44" s="303"/>
      <c r="C44" s="303"/>
      <c r="D44" s="303"/>
      <c r="E44" s="303"/>
      <c r="F44" s="303"/>
      <c r="G44" s="303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2"/>
      <c r="U44" s="302"/>
      <c r="V44" s="302"/>
      <c r="W44" s="302"/>
    </row>
    <row r="45" spans="2:23"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3"/>
      <c r="T45" s="302"/>
      <c r="U45" s="302"/>
      <c r="V45" s="302"/>
      <c r="W45" s="302"/>
    </row>
    <row r="46" spans="2:23">
      <c r="B46" s="303"/>
      <c r="C46" s="303"/>
      <c r="D46" s="303"/>
      <c r="E46" s="303"/>
      <c r="F46" s="303"/>
      <c r="G46" s="303"/>
      <c r="H46" s="303"/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3"/>
      <c r="T46" s="302"/>
      <c r="U46" s="302"/>
      <c r="V46" s="302"/>
      <c r="W46" s="302"/>
    </row>
    <row r="47" spans="2:23">
      <c r="B47" s="303"/>
      <c r="C47" s="303"/>
      <c r="D47" s="303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3"/>
      <c r="T47" s="302"/>
      <c r="U47" s="302"/>
      <c r="V47" s="302"/>
      <c r="W47" s="302"/>
    </row>
    <row r="48" spans="2:23">
      <c r="B48" s="303"/>
      <c r="C48" s="303"/>
      <c r="D48" s="303"/>
      <c r="E48" s="303"/>
      <c r="F48" s="303"/>
      <c r="G48" s="303"/>
      <c r="H48" s="303"/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302"/>
      <c r="U48" s="302"/>
      <c r="V48" s="302"/>
      <c r="W48" s="302"/>
    </row>
    <row r="49" spans="2:23">
      <c r="B49" s="303"/>
      <c r="C49" s="303"/>
      <c r="D49" s="303"/>
      <c r="E49" s="303"/>
      <c r="F49" s="303"/>
      <c r="G49" s="303"/>
      <c r="H49" s="303"/>
      <c r="I49" s="303"/>
      <c r="J49" s="303"/>
      <c r="K49" s="303"/>
      <c r="L49" s="303"/>
      <c r="M49" s="303"/>
      <c r="N49" s="303"/>
      <c r="O49" s="303"/>
      <c r="P49" s="303"/>
      <c r="Q49" s="303"/>
      <c r="R49" s="303"/>
      <c r="S49" s="303"/>
      <c r="T49" s="302"/>
      <c r="U49" s="302"/>
      <c r="V49" s="302"/>
      <c r="W49" s="302"/>
    </row>
    <row r="50" spans="2:23">
      <c r="B50" s="303"/>
      <c r="C50" s="303"/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  <c r="O50" s="303"/>
      <c r="P50" s="303"/>
      <c r="Q50" s="303"/>
      <c r="R50" s="303"/>
      <c r="S50" s="303"/>
      <c r="T50" s="302"/>
      <c r="U50" s="302"/>
      <c r="V50" s="302"/>
      <c r="W50" s="302"/>
    </row>
    <row r="51" spans="2:23">
      <c r="B51" s="303"/>
      <c r="C51" s="303"/>
      <c r="D51" s="303"/>
      <c r="E51" s="303"/>
      <c r="F51" s="303"/>
      <c r="G51" s="303"/>
      <c r="H51" s="303"/>
      <c r="I51" s="303"/>
      <c r="J51" s="303"/>
      <c r="K51" s="303"/>
      <c r="L51" s="303"/>
      <c r="M51" s="303"/>
      <c r="N51" s="303"/>
      <c r="O51" s="303"/>
      <c r="P51" s="303"/>
      <c r="Q51" s="303"/>
      <c r="R51" s="303"/>
      <c r="S51" s="303"/>
      <c r="T51" s="302"/>
      <c r="U51" s="302"/>
      <c r="V51" s="302"/>
      <c r="W51" s="302"/>
    </row>
    <row r="52" spans="2:23">
      <c r="B52" s="303"/>
      <c r="C52" s="303"/>
      <c r="D52" s="303"/>
      <c r="E52" s="303"/>
      <c r="F52" s="303"/>
      <c r="G52" s="303"/>
      <c r="H52" s="303"/>
      <c r="I52" s="303"/>
      <c r="J52" s="303"/>
      <c r="K52" s="303"/>
      <c r="L52" s="303"/>
      <c r="M52" s="303"/>
      <c r="N52" s="303"/>
      <c r="O52" s="303"/>
      <c r="P52" s="303"/>
      <c r="Q52" s="303"/>
      <c r="R52" s="303"/>
      <c r="S52" s="303"/>
      <c r="T52" s="302"/>
      <c r="U52" s="302"/>
      <c r="V52" s="302"/>
      <c r="W52" s="302"/>
    </row>
    <row r="53" spans="2:23">
      <c r="B53" s="303"/>
      <c r="C53" s="303"/>
      <c r="D53" s="303"/>
      <c r="E53" s="303"/>
      <c r="F53" s="303"/>
      <c r="G53" s="303"/>
      <c r="H53" s="303"/>
      <c r="I53" s="303"/>
      <c r="J53" s="303"/>
      <c r="K53" s="303"/>
      <c r="L53" s="303"/>
      <c r="M53" s="303"/>
      <c r="N53" s="303"/>
      <c r="O53" s="303"/>
      <c r="P53" s="303"/>
      <c r="Q53" s="303"/>
      <c r="R53" s="303"/>
      <c r="S53" s="303"/>
      <c r="T53" s="302"/>
      <c r="U53" s="302"/>
      <c r="V53" s="302"/>
      <c r="W53" s="302"/>
    </row>
    <row r="54" spans="2:23">
      <c r="B54" s="303"/>
      <c r="C54" s="303"/>
      <c r="D54" s="303"/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3"/>
      <c r="P54" s="303"/>
      <c r="Q54" s="303"/>
      <c r="R54" s="303"/>
      <c r="S54" s="303"/>
      <c r="T54" s="302"/>
      <c r="U54" s="302"/>
      <c r="V54" s="302"/>
      <c r="W54" s="302"/>
    </row>
    <row r="55" spans="2:23">
      <c r="B55" s="303"/>
      <c r="C55" s="303"/>
      <c r="D55" s="303"/>
      <c r="E55" s="303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2"/>
      <c r="U55" s="302"/>
      <c r="V55" s="302"/>
      <c r="W55" s="302"/>
    </row>
    <row r="56" spans="2:23">
      <c r="B56" s="303"/>
      <c r="C56" s="303"/>
      <c r="D56" s="303"/>
      <c r="E56" s="303"/>
      <c r="F56" s="303"/>
      <c r="G56" s="303"/>
      <c r="H56" s="303"/>
      <c r="I56" s="303"/>
      <c r="J56" s="303"/>
      <c r="K56" s="303"/>
      <c r="L56" s="303"/>
      <c r="M56" s="303"/>
      <c r="N56" s="303"/>
      <c r="O56" s="303"/>
      <c r="P56" s="303"/>
      <c r="Q56" s="303"/>
      <c r="R56" s="303"/>
      <c r="S56" s="303"/>
      <c r="T56" s="302"/>
      <c r="U56" s="302"/>
      <c r="V56" s="302"/>
      <c r="W56" s="302"/>
    </row>
    <row r="57" spans="2:23"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  <c r="W57" s="302"/>
    </row>
    <row r="58" spans="2:23">
      <c r="B58" s="302"/>
      <c r="C58" s="302"/>
      <c r="D58" s="302"/>
      <c r="E58" s="302"/>
      <c r="F58" s="302"/>
      <c r="G58" s="302"/>
      <c r="H58" s="302"/>
      <c r="I58" s="302"/>
      <c r="J58" s="302"/>
      <c r="K58" s="302"/>
      <c r="L58" s="302"/>
      <c r="M58" s="302"/>
      <c r="N58" s="302"/>
      <c r="O58" s="302"/>
      <c r="P58" s="302"/>
      <c r="Q58" s="302"/>
      <c r="R58" s="302"/>
      <c r="S58" s="302"/>
      <c r="T58" s="302"/>
      <c r="U58" s="302"/>
      <c r="V58" s="302"/>
      <c r="W58" s="302"/>
    </row>
    <row r="59" spans="2:23">
      <c r="B59" s="302"/>
      <c r="C59" s="302"/>
      <c r="D59" s="302"/>
      <c r="E59" s="302"/>
      <c r="F59" s="302"/>
      <c r="G59" s="302"/>
      <c r="H59" s="302"/>
      <c r="I59" s="302"/>
      <c r="J59" s="302"/>
      <c r="K59" s="302"/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</row>
    <row r="60" spans="2:23">
      <c r="B60" s="302"/>
      <c r="C60" s="302"/>
      <c r="D60" s="302"/>
      <c r="E60" s="302"/>
      <c r="F60" s="302"/>
      <c r="G60" s="302"/>
      <c r="H60" s="302"/>
      <c r="I60" s="302"/>
      <c r="J60" s="302"/>
      <c r="K60" s="302"/>
      <c r="L60" s="302"/>
      <c r="M60" s="302"/>
      <c r="N60" s="302"/>
      <c r="O60" s="302"/>
      <c r="P60" s="302"/>
      <c r="Q60" s="302"/>
      <c r="R60" s="302"/>
      <c r="S60" s="302"/>
      <c r="T60" s="302"/>
      <c r="U60" s="302"/>
      <c r="V60" s="302"/>
      <c r="W60" s="302"/>
    </row>
    <row r="61" spans="2:23">
      <c r="B61" s="302"/>
      <c r="C61" s="302"/>
      <c r="D61" s="302"/>
      <c r="E61" s="302"/>
      <c r="F61" s="302"/>
      <c r="G61" s="302"/>
      <c r="H61" s="302"/>
      <c r="I61" s="302"/>
      <c r="J61" s="302"/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</row>
    <row r="62" spans="2:23">
      <c r="B62" s="302"/>
      <c r="C62" s="302"/>
      <c r="D62" s="302"/>
      <c r="E62" s="302"/>
      <c r="F62" s="302"/>
      <c r="G62" s="302"/>
      <c r="H62" s="302"/>
      <c r="I62" s="302"/>
      <c r="J62" s="302"/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</row>
    <row r="63" spans="2:23"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  <c r="W63" s="302"/>
    </row>
    <row r="64" spans="2:23">
      <c r="B64" s="302"/>
      <c r="C64" s="302"/>
      <c r="D64" s="302"/>
      <c r="E64" s="302"/>
      <c r="F64" s="302"/>
      <c r="G64" s="302"/>
      <c r="H64" s="302"/>
      <c r="I64" s="302"/>
      <c r="J64" s="302"/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  <c r="W64" s="302"/>
    </row>
    <row r="65" spans="2:23">
      <c r="B65" s="302"/>
      <c r="C65" s="302"/>
      <c r="D65" s="302"/>
      <c r="E65" s="302"/>
      <c r="F65" s="302"/>
      <c r="G65" s="302"/>
      <c r="H65" s="302"/>
      <c r="I65" s="302"/>
      <c r="J65" s="302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</row>
    <row r="66" spans="2:23">
      <c r="B66" s="302"/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O66" s="302"/>
      <c r="P66" s="302"/>
      <c r="Q66" s="302"/>
      <c r="R66" s="302"/>
      <c r="S66" s="302"/>
      <c r="T66" s="302"/>
      <c r="U66" s="302"/>
      <c r="V66" s="302"/>
      <c r="W66" s="302"/>
    </row>
    <row r="67" spans="2:23">
      <c r="B67" s="302"/>
      <c r="C67" s="302"/>
      <c r="D67" s="302"/>
      <c r="E67" s="302"/>
      <c r="F67" s="302"/>
      <c r="G67" s="302"/>
      <c r="H67" s="302"/>
      <c r="I67" s="302"/>
      <c r="J67" s="302"/>
      <c r="K67" s="302"/>
      <c r="L67" s="302"/>
      <c r="M67" s="302"/>
      <c r="N67" s="302"/>
      <c r="O67" s="302"/>
      <c r="P67" s="302"/>
      <c r="Q67" s="302"/>
      <c r="R67" s="302"/>
      <c r="S67" s="302"/>
      <c r="T67" s="302"/>
      <c r="U67" s="302"/>
      <c r="V67" s="302"/>
      <c r="W67" s="302"/>
    </row>
    <row r="68" spans="2:23">
      <c r="B68" s="302"/>
      <c r="C68" s="302"/>
      <c r="D68" s="302"/>
      <c r="E68" s="302"/>
      <c r="F68" s="302"/>
      <c r="G68" s="302"/>
      <c r="H68" s="302"/>
      <c r="I68" s="302"/>
      <c r="J68" s="302"/>
      <c r="K68" s="302"/>
      <c r="L68" s="302"/>
      <c r="M68" s="302"/>
      <c r="N68" s="302"/>
      <c r="O68" s="302"/>
      <c r="P68" s="302"/>
      <c r="Q68" s="302"/>
      <c r="R68" s="302"/>
      <c r="S68" s="302"/>
      <c r="T68" s="302"/>
      <c r="U68" s="302"/>
      <c r="V68" s="302"/>
      <c r="W68" s="302"/>
    </row>
    <row r="69" spans="2:23">
      <c r="B69" s="302"/>
      <c r="C69" s="302"/>
      <c r="D69" s="302"/>
      <c r="E69" s="302"/>
      <c r="F69" s="302"/>
      <c r="G69" s="302"/>
      <c r="H69" s="302"/>
      <c r="I69" s="302"/>
      <c r="J69" s="302"/>
      <c r="K69" s="302"/>
      <c r="L69" s="302"/>
      <c r="M69" s="302"/>
      <c r="N69" s="302"/>
      <c r="O69" s="302"/>
      <c r="P69" s="302"/>
      <c r="Q69" s="302"/>
      <c r="R69" s="302"/>
      <c r="S69" s="302"/>
      <c r="T69" s="302"/>
      <c r="U69" s="302"/>
      <c r="V69" s="302"/>
      <c r="W69" s="302"/>
    </row>
    <row r="70" spans="2:23">
      <c r="B70" s="302"/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  <c r="W70" s="302"/>
    </row>
    <row r="71" spans="2:23">
      <c r="B71" s="302"/>
      <c r="C71" s="302"/>
      <c r="D71" s="302"/>
      <c r="E71" s="302"/>
      <c r="F71" s="302"/>
      <c r="G71" s="302"/>
      <c r="H71" s="302"/>
      <c r="I71" s="302"/>
      <c r="J71" s="302"/>
      <c r="K71" s="302"/>
      <c r="L71" s="302"/>
      <c r="M71" s="302"/>
      <c r="N71" s="302"/>
      <c r="O71" s="302"/>
      <c r="P71" s="302"/>
      <c r="Q71" s="302"/>
      <c r="R71" s="302"/>
      <c r="S71" s="302"/>
      <c r="T71" s="302"/>
      <c r="U71" s="302"/>
      <c r="V71" s="302"/>
      <c r="W71" s="302"/>
    </row>
    <row r="72" spans="2:23">
      <c r="B72" s="302"/>
      <c r="C72" s="302"/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</row>
    <row r="73" spans="2:23">
      <c r="B73" s="302"/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</row>
    <row r="74" spans="2:23">
      <c r="B74" s="302"/>
      <c r="C74" s="302"/>
      <c r="D74" s="302"/>
      <c r="E74" s="302"/>
      <c r="F74" s="302"/>
      <c r="G74" s="302"/>
      <c r="H74" s="302"/>
      <c r="I74" s="302"/>
      <c r="J74" s="302"/>
      <c r="K74" s="302"/>
      <c r="L74" s="302"/>
      <c r="M74" s="302"/>
      <c r="N74" s="302"/>
      <c r="O74" s="302"/>
      <c r="P74" s="302"/>
      <c r="Q74" s="302"/>
      <c r="R74" s="302"/>
      <c r="S74" s="302"/>
      <c r="T74" s="302"/>
      <c r="U74" s="302"/>
      <c r="V74" s="302"/>
      <c r="W74" s="302"/>
    </row>
    <row r="75" spans="2:23">
      <c r="B75" s="302"/>
      <c r="C75" s="302"/>
      <c r="D75" s="302"/>
      <c r="E75" s="302"/>
      <c r="F75" s="302"/>
      <c r="G75" s="302"/>
      <c r="H75" s="302"/>
      <c r="I75" s="302"/>
      <c r="J75" s="302"/>
      <c r="K75" s="302"/>
      <c r="L75" s="302"/>
      <c r="M75" s="302"/>
      <c r="N75" s="302"/>
      <c r="O75" s="302"/>
      <c r="P75" s="302"/>
      <c r="Q75" s="302"/>
      <c r="R75" s="302"/>
      <c r="S75" s="302"/>
      <c r="T75" s="302"/>
      <c r="U75" s="302"/>
      <c r="V75" s="302"/>
      <c r="W75" s="302"/>
    </row>
    <row r="76" spans="2:23">
      <c r="B76" s="302"/>
      <c r="C76" s="302"/>
      <c r="D76" s="302"/>
      <c r="E76" s="302"/>
      <c r="F76" s="302"/>
      <c r="G76" s="302"/>
      <c r="H76" s="302"/>
      <c r="I76" s="302"/>
      <c r="J76" s="302"/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</row>
    <row r="77" spans="2:23">
      <c r="B77" s="302"/>
      <c r="C77" s="302"/>
      <c r="D77" s="302"/>
      <c r="E77" s="302"/>
      <c r="F77" s="302"/>
      <c r="G77" s="302"/>
      <c r="H77" s="302"/>
      <c r="I77" s="302"/>
      <c r="J77" s="302"/>
      <c r="K77" s="302"/>
      <c r="L77" s="302"/>
      <c r="M77" s="302"/>
      <c r="N77" s="302"/>
      <c r="O77" s="302"/>
      <c r="P77" s="302"/>
      <c r="Q77" s="302"/>
      <c r="R77" s="302"/>
      <c r="S77" s="302"/>
      <c r="T77" s="302"/>
      <c r="U77" s="302"/>
      <c r="V77" s="302"/>
      <c r="W77" s="302"/>
    </row>
    <row r="78" spans="2:23">
      <c r="B78" s="302"/>
      <c r="C78" s="302"/>
      <c r="D78" s="302"/>
      <c r="E78" s="302"/>
      <c r="F78" s="302"/>
      <c r="G78" s="302"/>
      <c r="H78" s="302"/>
      <c r="I78" s="302"/>
      <c r="J78" s="302"/>
      <c r="K78" s="302"/>
      <c r="L78" s="302"/>
      <c r="M78" s="302"/>
      <c r="N78" s="302"/>
      <c r="O78" s="302"/>
      <c r="P78" s="302"/>
      <c r="Q78" s="302"/>
      <c r="R78" s="302"/>
      <c r="S78" s="302"/>
      <c r="T78" s="302"/>
      <c r="U78" s="302"/>
      <c r="V78" s="302"/>
      <c r="W78" s="302"/>
    </row>
    <row r="79" spans="2:23">
      <c r="B79" s="302"/>
      <c r="C79" s="302"/>
      <c r="D79" s="302"/>
      <c r="E79" s="302"/>
      <c r="F79" s="302"/>
      <c r="G79" s="302"/>
      <c r="H79" s="302"/>
      <c r="I79" s="302"/>
      <c r="J79" s="302"/>
      <c r="K79" s="302"/>
      <c r="L79" s="302"/>
      <c r="M79" s="302"/>
      <c r="N79" s="302"/>
      <c r="O79" s="302"/>
      <c r="P79" s="302"/>
      <c r="Q79" s="302"/>
      <c r="R79" s="302"/>
      <c r="S79" s="302"/>
      <c r="T79" s="302"/>
      <c r="U79" s="302"/>
      <c r="V79" s="302"/>
      <c r="W79" s="302"/>
    </row>
    <row r="80" spans="2:23">
      <c r="B80" s="302"/>
      <c r="C80" s="302"/>
      <c r="D80" s="302"/>
      <c r="E80" s="302"/>
      <c r="F80" s="302"/>
      <c r="G80" s="302"/>
      <c r="H80" s="302"/>
      <c r="I80" s="302"/>
      <c r="J80" s="302"/>
      <c r="K80" s="302"/>
      <c r="L80" s="302"/>
      <c r="M80" s="302"/>
      <c r="N80" s="302"/>
      <c r="O80" s="302"/>
      <c r="P80" s="302"/>
      <c r="Q80" s="302"/>
      <c r="R80" s="302"/>
      <c r="S80" s="302"/>
      <c r="T80" s="302"/>
      <c r="U80" s="302"/>
      <c r="V80" s="302"/>
      <c r="W80" s="302"/>
    </row>
    <row r="81" spans="2:23"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02"/>
      <c r="V81" s="302"/>
      <c r="W81" s="302"/>
    </row>
    <row r="82" spans="2:23">
      <c r="B82" s="302"/>
      <c r="C82" s="302"/>
      <c r="D82" s="302"/>
      <c r="E82" s="302"/>
      <c r="F82" s="302"/>
      <c r="G82" s="302"/>
      <c r="H82" s="302"/>
      <c r="I82" s="302"/>
      <c r="J82" s="302"/>
      <c r="K82" s="302"/>
      <c r="L82" s="302"/>
      <c r="M82" s="302"/>
      <c r="N82" s="302"/>
      <c r="O82" s="302"/>
      <c r="P82" s="302"/>
      <c r="Q82" s="302"/>
      <c r="R82" s="302"/>
      <c r="S82" s="302"/>
      <c r="T82" s="302"/>
      <c r="U82" s="302"/>
      <c r="V82" s="302"/>
      <c r="W82" s="302"/>
    </row>
    <row r="83" spans="2:23">
      <c r="B83" s="302"/>
      <c r="C83" s="302"/>
      <c r="D83" s="302"/>
      <c r="E83" s="302"/>
      <c r="F83" s="302"/>
      <c r="G83" s="302"/>
      <c r="H83" s="302"/>
      <c r="I83" s="302"/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</row>
    <row r="84" spans="2:23">
      <c r="B84" s="302"/>
      <c r="C84" s="302"/>
      <c r="D84" s="302"/>
      <c r="E84" s="302"/>
      <c r="F84" s="302"/>
      <c r="G84" s="302"/>
      <c r="H84" s="302"/>
      <c r="I84" s="302"/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</row>
    <row r="85" spans="2:23">
      <c r="B85" s="302"/>
      <c r="C85" s="302"/>
      <c r="D85" s="302"/>
      <c r="E85" s="302"/>
      <c r="F85" s="302"/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</row>
    <row r="86" spans="2:23">
      <c r="B86" s="302"/>
      <c r="C86" s="302"/>
      <c r="D86" s="302"/>
      <c r="E86" s="302"/>
      <c r="F86" s="302"/>
      <c r="G86" s="302"/>
      <c r="H86" s="302"/>
      <c r="I86" s="302"/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302"/>
      <c r="V86" s="302"/>
      <c r="W86" s="302"/>
    </row>
    <row r="87" spans="2:23">
      <c r="B87" s="302"/>
      <c r="C87" s="302"/>
      <c r="D87" s="302"/>
      <c r="E87" s="302"/>
      <c r="F87" s="302"/>
      <c r="G87" s="302"/>
      <c r="H87" s="302"/>
      <c r="I87" s="302"/>
      <c r="J87" s="302"/>
      <c r="K87" s="302"/>
      <c r="L87" s="302"/>
      <c r="M87" s="302"/>
      <c r="N87" s="302"/>
      <c r="O87" s="302"/>
      <c r="P87" s="302"/>
      <c r="Q87" s="302"/>
      <c r="R87" s="302"/>
      <c r="S87" s="302"/>
      <c r="T87" s="302"/>
      <c r="U87" s="302"/>
      <c r="V87" s="302"/>
      <c r="W87" s="302"/>
    </row>
    <row r="88" spans="2:23">
      <c r="B88" s="302"/>
      <c r="C88" s="302"/>
      <c r="D88" s="302"/>
      <c r="E88" s="302"/>
      <c r="F88" s="302"/>
      <c r="G88" s="302"/>
      <c r="H88" s="302"/>
      <c r="I88" s="302"/>
      <c r="J88" s="302"/>
      <c r="K88" s="302"/>
      <c r="L88" s="302"/>
      <c r="M88" s="302"/>
      <c r="N88" s="302"/>
      <c r="O88" s="302"/>
      <c r="P88" s="302"/>
      <c r="Q88" s="302"/>
      <c r="R88" s="302"/>
      <c r="S88" s="302"/>
      <c r="T88" s="302"/>
      <c r="U88" s="302"/>
      <c r="V88" s="302"/>
      <c r="W88" s="302"/>
    </row>
    <row r="89" spans="2:23">
      <c r="B89" s="302"/>
      <c r="C89" s="302"/>
      <c r="D89" s="302"/>
      <c r="E89" s="302"/>
      <c r="F89" s="302"/>
      <c r="G89" s="302"/>
      <c r="H89" s="302"/>
      <c r="I89" s="302"/>
      <c r="J89" s="302"/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</row>
    <row r="90" spans="2:23">
      <c r="B90" s="302"/>
      <c r="C90" s="302"/>
      <c r="D90" s="302"/>
      <c r="E90" s="302"/>
      <c r="F90" s="302"/>
      <c r="G90" s="302"/>
      <c r="H90" s="302"/>
      <c r="I90" s="302"/>
      <c r="J90" s="302"/>
      <c r="K90" s="302"/>
      <c r="L90" s="302"/>
      <c r="M90" s="302"/>
      <c r="N90" s="302"/>
      <c r="O90" s="302"/>
      <c r="P90" s="302"/>
      <c r="Q90" s="302"/>
      <c r="R90" s="302"/>
      <c r="S90" s="302"/>
      <c r="T90" s="302"/>
      <c r="U90" s="302"/>
      <c r="V90" s="302"/>
      <c r="W90" s="302"/>
    </row>
    <row r="91" spans="2:23">
      <c r="B91" s="302"/>
      <c r="C91" s="302"/>
      <c r="D91" s="302"/>
      <c r="E91" s="302"/>
      <c r="F91" s="302"/>
      <c r="G91" s="302"/>
      <c r="H91" s="302"/>
      <c r="I91" s="302"/>
      <c r="J91" s="302"/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</row>
    <row r="92" spans="2:23">
      <c r="B92" s="302"/>
      <c r="C92" s="302"/>
      <c r="D92" s="302"/>
      <c r="E92" s="302"/>
      <c r="F92" s="302"/>
      <c r="G92" s="302"/>
      <c r="H92" s="302"/>
      <c r="I92" s="302"/>
      <c r="J92" s="302"/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</row>
    <row r="93" spans="2:23">
      <c r="B93" s="302"/>
      <c r="C93" s="302"/>
      <c r="D93" s="302"/>
      <c r="E93" s="302"/>
      <c r="F93" s="302"/>
      <c r="G93" s="302"/>
      <c r="H93" s="302"/>
      <c r="I93" s="302"/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</row>
    <row r="94" spans="2:23">
      <c r="B94" s="302"/>
      <c r="C94" s="302"/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</row>
    <row r="95" spans="2:23">
      <c r="B95" s="302"/>
      <c r="C95" s="302"/>
      <c r="D95" s="302"/>
      <c r="E95" s="302"/>
      <c r="F95" s="302"/>
      <c r="G95" s="302"/>
      <c r="H95" s="302"/>
      <c r="I95" s="302"/>
      <c r="J95" s="302"/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</row>
    <row r="96" spans="2:23">
      <c r="B96" s="302"/>
      <c r="C96" s="302"/>
      <c r="D96" s="302"/>
      <c r="E96" s="302"/>
      <c r="F96" s="302"/>
      <c r="G96" s="302"/>
      <c r="H96" s="302"/>
      <c r="I96" s="302"/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</row>
    <row r="97" spans="2:23">
      <c r="B97" s="302"/>
      <c r="C97" s="302"/>
      <c r="D97" s="302"/>
      <c r="E97" s="302"/>
      <c r="F97" s="302"/>
      <c r="G97" s="302"/>
      <c r="H97" s="302"/>
      <c r="I97" s="302"/>
      <c r="J97" s="302"/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</row>
    <row r="98" spans="2:23">
      <c r="B98" s="302"/>
      <c r="C98" s="302"/>
      <c r="D98" s="302"/>
      <c r="E98" s="302"/>
      <c r="F98" s="302"/>
      <c r="G98" s="302"/>
      <c r="H98" s="302"/>
      <c r="I98" s="302"/>
      <c r="J98" s="302"/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2"/>
      <c r="V98" s="302"/>
      <c r="W98" s="302"/>
    </row>
    <row r="99" spans="2:23">
      <c r="B99" s="302"/>
      <c r="C99" s="302"/>
      <c r="D99" s="302"/>
      <c r="E99" s="302"/>
      <c r="F99" s="302"/>
      <c r="G99" s="302"/>
      <c r="H99" s="302"/>
      <c r="I99" s="302"/>
      <c r="J99" s="302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</row>
    <row r="100" spans="2:23">
      <c r="B100" s="302"/>
      <c r="C100" s="302"/>
      <c r="D100" s="302"/>
      <c r="E100" s="302"/>
      <c r="F100" s="302"/>
      <c r="G100" s="302"/>
      <c r="H100" s="302"/>
      <c r="I100" s="302"/>
      <c r="J100" s="302"/>
      <c r="K100" s="302"/>
      <c r="L100" s="302"/>
      <c r="M100" s="302"/>
      <c r="N100" s="302"/>
      <c r="O100" s="302"/>
      <c r="P100" s="302"/>
      <c r="Q100" s="302"/>
      <c r="R100" s="302"/>
      <c r="S100" s="302"/>
      <c r="T100" s="302"/>
      <c r="U100" s="302"/>
      <c r="V100" s="302"/>
      <c r="W100" s="302"/>
    </row>
    <row r="101" spans="2:23">
      <c r="B101" s="302"/>
      <c r="C101" s="302"/>
      <c r="D101" s="302"/>
      <c r="E101" s="302"/>
      <c r="F101" s="302"/>
      <c r="G101" s="302"/>
      <c r="H101" s="302"/>
      <c r="I101" s="302"/>
      <c r="J101" s="302"/>
      <c r="K101" s="302"/>
      <c r="L101" s="302"/>
      <c r="M101" s="302"/>
      <c r="N101" s="302"/>
      <c r="O101" s="302"/>
      <c r="P101" s="302"/>
      <c r="Q101" s="302"/>
      <c r="R101" s="302"/>
      <c r="S101" s="302"/>
      <c r="T101" s="302"/>
      <c r="U101" s="302"/>
      <c r="V101" s="302"/>
      <c r="W101" s="302"/>
    </row>
    <row r="102" spans="2:23">
      <c r="B102" s="302"/>
      <c r="C102" s="302"/>
      <c r="D102" s="302"/>
      <c r="E102" s="302"/>
      <c r="F102" s="302"/>
      <c r="G102" s="302"/>
      <c r="H102" s="302"/>
      <c r="I102" s="302"/>
      <c r="J102" s="302"/>
      <c r="K102" s="302"/>
      <c r="L102" s="30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  <c r="W102" s="302"/>
    </row>
    <row r="103" spans="2:23">
      <c r="B103" s="302"/>
      <c r="C103" s="302"/>
      <c r="D103" s="302"/>
      <c r="E103" s="302"/>
      <c r="F103" s="302"/>
      <c r="G103" s="302"/>
      <c r="H103" s="302"/>
      <c r="I103" s="302"/>
      <c r="J103" s="302"/>
      <c r="K103" s="302"/>
      <c r="L103" s="302"/>
      <c r="M103" s="302"/>
      <c r="N103" s="302"/>
      <c r="O103" s="302"/>
      <c r="P103" s="302"/>
      <c r="Q103" s="302"/>
      <c r="R103" s="302"/>
      <c r="S103" s="302"/>
      <c r="T103" s="302"/>
      <c r="U103" s="302"/>
      <c r="V103" s="302"/>
      <c r="W103" s="302"/>
    </row>
    <row r="104" spans="2:23">
      <c r="B104" s="302"/>
      <c r="C104" s="302"/>
      <c r="D104" s="302"/>
      <c r="E104" s="302"/>
      <c r="F104" s="302"/>
      <c r="G104" s="302"/>
      <c r="H104" s="302"/>
      <c r="I104" s="302"/>
      <c r="J104" s="302"/>
      <c r="K104" s="302"/>
      <c r="L104" s="302"/>
      <c r="M104" s="302"/>
      <c r="N104" s="302"/>
      <c r="O104" s="302"/>
      <c r="P104" s="302"/>
      <c r="Q104" s="302"/>
      <c r="R104" s="302"/>
      <c r="S104" s="302"/>
      <c r="T104" s="302"/>
      <c r="U104" s="302"/>
      <c r="V104" s="302"/>
      <c r="W104" s="302"/>
    </row>
    <row r="105" spans="2:23">
      <c r="B105" s="302"/>
      <c r="C105" s="302"/>
      <c r="D105" s="302"/>
      <c r="E105" s="302"/>
      <c r="F105" s="302"/>
      <c r="G105" s="302"/>
      <c r="H105" s="302"/>
      <c r="I105" s="302"/>
      <c r="J105" s="302"/>
      <c r="K105" s="302"/>
      <c r="L105" s="302"/>
      <c r="M105" s="302"/>
      <c r="N105" s="302"/>
      <c r="O105" s="302"/>
      <c r="P105" s="302"/>
      <c r="Q105" s="302"/>
      <c r="R105" s="302"/>
      <c r="S105" s="302"/>
      <c r="T105" s="302"/>
      <c r="U105" s="302"/>
      <c r="V105" s="302"/>
      <c r="W105" s="302"/>
    </row>
    <row r="106" spans="2:23">
      <c r="B106" s="302"/>
      <c r="C106" s="302"/>
      <c r="D106" s="302"/>
      <c r="E106" s="302"/>
      <c r="F106" s="302"/>
      <c r="G106" s="302"/>
      <c r="H106" s="302"/>
      <c r="I106" s="302"/>
      <c r="J106" s="302"/>
      <c r="K106" s="302"/>
      <c r="L106" s="302"/>
      <c r="M106" s="302"/>
      <c r="N106" s="302"/>
      <c r="O106" s="302"/>
      <c r="P106" s="302"/>
      <c r="Q106" s="302"/>
      <c r="R106" s="302"/>
      <c r="S106" s="302"/>
      <c r="T106" s="302"/>
      <c r="U106" s="302"/>
      <c r="V106" s="302"/>
      <c r="W106" s="302"/>
    </row>
    <row r="107" spans="2:23">
      <c r="B107" s="302"/>
      <c r="C107" s="302"/>
      <c r="D107" s="302"/>
      <c r="E107" s="302"/>
      <c r="F107" s="302"/>
      <c r="G107" s="302"/>
      <c r="H107" s="302"/>
      <c r="I107" s="302"/>
      <c r="J107" s="302"/>
      <c r="K107" s="302"/>
      <c r="L107" s="302"/>
      <c r="M107" s="302"/>
      <c r="N107" s="302"/>
      <c r="O107" s="302"/>
      <c r="P107" s="302"/>
      <c r="Q107" s="302"/>
      <c r="R107" s="302"/>
      <c r="S107" s="302"/>
      <c r="T107" s="302"/>
      <c r="U107" s="302"/>
      <c r="V107" s="302"/>
      <c r="W107" s="302"/>
    </row>
    <row r="108" spans="2:23">
      <c r="B108" s="302"/>
      <c r="C108" s="302"/>
      <c r="D108" s="302"/>
      <c r="E108" s="302"/>
      <c r="F108" s="302"/>
      <c r="G108" s="302"/>
      <c r="H108" s="302"/>
      <c r="I108" s="302"/>
      <c r="J108" s="302"/>
      <c r="K108" s="302"/>
      <c r="L108" s="302"/>
      <c r="M108" s="302"/>
      <c r="N108" s="302"/>
      <c r="O108" s="302"/>
      <c r="P108" s="302"/>
      <c r="Q108" s="302"/>
      <c r="R108" s="302"/>
      <c r="S108" s="302"/>
      <c r="T108" s="302"/>
      <c r="U108" s="302"/>
      <c r="V108" s="302"/>
      <c r="W108" s="302"/>
    </row>
    <row r="109" spans="2:23">
      <c r="B109" s="302"/>
      <c r="C109" s="302"/>
      <c r="D109" s="302"/>
      <c r="E109" s="302"/>
      <c r="F109" s="302"/>
      <c r="G109" s="302"/>
      <c r="H109" s="302"/>
      <c r="I109" s="302"/>
      <c r="J109" s="302"/>
      <c r="K109" s="302"/>
      <c r="L109" s="30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  <c r="W109" s="302"/>
    </row>
    <row r="110" spans="2:23">
      <c r="B110" s="302"/>
      <c r="C110" s="302"/>
      <c r="D110" s="302"/>
      <c r="E110" s="302"/>
      <c r="F110" s="302"/>
      <c r="G110" s="302"/>
      <c r="H110" s="302"/>
      <c r="I110" s="302"/>
      <c r="J110" s="302"/>
      <c r="K110" s="302"/>
      <c r="L110" s="302"/>
      <c r="M110" s="302"/>
      <c r="N110" s="302"/>
      <c r="O110" s="302"/>
      <c r="P110" s="302"/>
      <c r="Q110" s="302"/>
      <c r="R110" s="302"/>
      <c r="S110" s="302"/>
      <c r="T110" s="302"/>
      <c r="U110" s="302"/>
      <c r="V110" s="302"/>
      <c r="W110" s="302"/>
    </row>
    <row r="111" spans="2:23">
      <c r="B111" s="302"/>
      <c r="C111" s="302"/>
      <c r="D111" s="302"/>
      <c r="E111" s="302"/>
      <c r="F111" s="302"/>
      <c r="G111" s="302"/>
      <c r="H111" s="302"/>
      <c r="I111" s="302"/>
      <c r="J111" s="302"/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  <c r="W111" s="302"/>
    </row>
    <row r="112" spans="2:23">
      <c r="B112" s="302"/>
      <c r="C112" s="302"/>
      <c r="D112" s="302"/>
      <c r="E112" s="302"/>
      <c r="F112" s="302"/>
      <c r="G112" s="302"/>
      <c r="H112" s="302"/>
      <c r="I112" s="302"/>
      <c r="J112" s="302"/>
      <c r="K112" s="302"/>
      <c r="L112" s="302"/>
      <c r="M112" s="302"/>
      <c r="N112" s="302"/>
      <c r="O112" s="302"/>
      <c r="P112" s="302"/>
      <c r="Q112" s="302"/>
      <c r="R112" s="302"/>
      <c r="S112" s="302"/>
      <c r="T112" s="302"/>
      <c r="U112" s="302"/>
      <c r="V112" s="302"/>
      <c r="W112" s="302"/>
    </row>
    <row r="113" spans="2:23">
      <c r="B113" s="302"/>
      <c r="C113" s="302"/>
      <c r="D113" s="302"/>
      <c r="E113" s="302"/>
      <c r="F113" s="302"/>
      <c r="G113" s="302"/>
      <c r="H113" s="302"/>
      <c r="I113" s="302"/>
      <c r="J113" s="302"/>
      <c r="K113" s="302"/>
      <c r="L113" s="30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  <c r="W113" s="302"/>
    </row>
    <row r="114" spans="2:23">
      <c r="B114" s="302"/>
      <c r="C114" s="302"/>
      <c r="D114" s="302"/>
      <c r="E114" s="302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  <c r="W114" s="302"/>
    </row>
    <row r="115" spans="2:23">
      <c r="B115" s="302"/>
      <c r="C115" s="302"/>
      <c r="D115" s="302"/>
      <c r="E115" s="302"/>
      <c r="F115" s="302"/>
      <c r="G115" s="302"/>
      <c r="H115" s="302"/>
      <c r="I115" s="302"/>
      <c r="J115" s="302"/>
      <c r="K115" s="302"/>
      <c r="L115" s="302"/>
      <c r="M115" s="302"/>
      <c r="N115" s="302"/>
      <c r="O115" s="302"/>
      <c r="P115" s="302"/>
      <c r="Q115" s="302"/>
      <c r="R115" s="302"/>
      <c r="S115" s="302"/>
      <c r="T115" s="302"/>
      <c r="U115" s="302"/>
      <c r="V115" s="302"/>
      <c r="W115" s="302"/>
    </row>
    <row r="116" spans="2:23">
      <c r="B116" s="302"/>
      <c r="C116" s="302"/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  <c r="O116" s="302"/>
      <c r="P116" s="302"/>
      <c r="Q116" s="302"/>
      <c r="R116" s="302"/>
      <c r="S116" s="302"/>
      <c r="T116" s="302"/>
      <c r="U116" s="302"/>
      <c r="V116" s="302"/>
      <c r="W116" s="302"/>
    </row>
    <row r="117" spans="2:23">
      <c r="B117" s="302"/>
      <c r="C117" s="302"/>
      <c r="D117" s="302"/>
      <c r="E117" s="302"/>
      <c r="F117" s="302"/>
      <c r="G117" s="302"/>
      <c r="H117" s="302"/>
      <c r="I117" s="302"/>
      <c r="J117" s="302"/>
      <c r="K117" s="302"/>
      <c r="L117" s="302"/>
      <c r="M117" s="302"/>
      <c r="N117" s="302"/>
      <c r="O117" s="302"/>
      <c r="P117" s="302"/>
      <c r="Q117" s="302"/>
      <c r="R117" s="302"/>
      <c r="S117" s="302"/>
      <c r="T117" s="302"/>
      <c r="U117" s="302"/>
      <c r="V117" s="302"/>
      <c r="W117" s="302"/>
    </row>
    <row r="118" spans="2:23">
      <c r="B118" s="302"/>
      <c r="C118" s="302"/>
      <c r="D118" s="302"/>
      <c r="E118" s="302"/>
      <c r="F118" s="302"/>
      <c r="G118" s="302"/>
      <c r="H118" s="302"/>
      <c r="I118" s="302"/>
      <c r="J118" s="302"/>
      <c r="K118" s="302"/>
      <c r="L118" s="302"/>
      <c r="M118" s="302"/>
      <c r="N118" s="302"/>
      <c r="O118" s="302"/>
      <c r="P118" s="302"/>
      <c r="Q118" s="302"/>
      <c r="R118" s="302"/>
      <c r="S118" s="302"/>
      <c r="T118" s="302"/>
      <c r="U118" s="302"/>
      <c r="V118" s="302"/>
      <c r="W118" s="302"/>
    </row>
    <row r="119" spans="2:23">
      <c r="B119" s="302"/>
      <c r="C119" s="302"/>
      <c r="D119" s="302"/>
      <c r="E119" s="302"/>
      <c r="F119" s="302"/>
      <c r="G119" s="302"/>
      <c r="H119" s="302"/>
      <c r="I119" s="302"/>
      <c r="J119" s="302"/>
      <c r="K119" s="302"/>
      <c r="L119" s="302"/>
      <c r="M119" s="302"/>
      <c r="N119" s="302"/>
      <c r="O119" s="302"/>
      <c r="P119" s="302"/>
      <c r="Q119" s="302"/>
      <c r="R119" s="302"/>
      <c r="S119" s="302"/>
      <c r="T119" s="302"/>
      <c r="U119" s="302"/>
      <c r="V119" s="302"/>
      <c r="W119" s="302"/>
    </row>
    <row r="120" spans="2:23">
      <c r="B120" s="302"/>
      <c r="C120" s="302"/>
      <c r="D120" s="302"/>
      <c r="E120" s="302"/>
      <c r="F120" s="302"/>
      <c r="G120" s="302"/>
      <c r="H120" s="302"/>
      <c r="I120" s="302"/>
      <c r="J120" s="302"/>
      <c r="K120" s="302"/>
      <c r="L120" s="302"/>
      <c r="M120" s="302"/>
      <c r="N120" s="302"/>
      <c r="O120" s="302"/>
      <c r="P120" s="302"/>
      <c r="Q120" s="302"/>
      <c r="R120" s="302"/>
      <c r="S120" s="302"/>
      <c r="T120" s="302"/>
      <c r="U120" s="302"/>
      <c r="V120" s="302"/>
      <c r="W120" s="302"/>
    </row>
    <row r="121" spans="2:23">
      <c r="B121" s="302"/>
      <c r="C121" s="302"/>
      <c r="D121" s="302"/>
      <c r="E121" s="302"/>
      <c r="F121" s="302"/>
      <c r="G121" s="302"/>
      <c r="H121" s="302"/>
      <c r="I121" s="302"/>
      <c r="J121" s="302"/>
      <c r="K121" s="302"/>
      <c r="L121" s="30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  <c r="W121" s="302"/>
    </row>
    <row r="122" spans="2:23">
      <c r="B122" s="302"/>
      <c r="C122" s="302"/>
      <c r="D122" s="302"/>
      <c r="E122" s="302"/>
      <c r="F122" s="302"/>
      <c r="G122" s="302"/>
      <c r="H122" s="302"/>
      <c r="I122" s="302"/>
      <c r="J122" s="302"/>
      <c r="K122" s="302"/>
      <c r="L122" s="302"/>
      <c r="M122" s="302"/>
      <c r="N122" s="302"/>
      <c r="O122" s="302"/>
      <c r="P122" s="302"/>
      <c r="Q122" s="302"/>
      <c r="R122" s="302"/>
      <c r="S122" s="302"/>
      <c r="T122" s="302"/>
      <c r="U122" s="302"/>
      <c r="V122" s="302"/>
      <c r="W122" s="302"/>
    </row>
    <row r="123" spans="2:23">
      <c r="B123" s="302"/>
      <c r="C123" s="302"/>
      <c r="D123" s="302"/>
      <c r="E123" s="302"/>
      <c r="F123" s="302"/>
      <c r="G123" s="302"/>
      <c r="H123" s="302"/>
      <c r="I123" s="302"/>
      <c r="J123" s="302"/>
      <c r="K123" s="302"/>
      <c r="L123" s="30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  <c r="W123" s="302"/>
    </row>
    <row r="124" spans="2:23">
      <c r="B124" s="302"/>
      <c r="C124" s="302"/>
      <c r="D124" s="302"/>
      <c r="E124" s="302"/>
      <c r="F124" s="302"/>
      <c r="G124" s="302"/>
      <c r="H124" s="302"/>
      <c r="I124" s="302"/>
      <c r="J124" s="302"/>
      <c r="K124" s="302"/>
      <c r="L124" s="302"/>
      <c r="M124" s="302"/>
      <c r="N124" s="302"/>
      <c r="O124" s="302"/>
      <c r="P124" s="302"/>
      <c r="Q124" s="302"/>
      <c r="R124" s="302"/>
      <c r="S124" s="302"/>
      <c r="T124" s="302"/>
      <c r="U124" s="302"/>
      <c r="V124" s="302"/>
      <c r="W124" s="302"/>
    </row>
    <row r="125" spans="2:23">
      <c r="B125" s="302"/>
      <c r="C125" s="302"/>
      <c r="D125" s="302"/>
      <c r="E125" s="302"/>
      <c r="F125" s="302"/>
      <c r="G125" s="302"/>
      <c r="H125" s="302"/>
      <c r="I125" s="302"/>
      <c r="J125" s="302"/>
      <c r="K125" s="302"/>
      <c r="L125" s="30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  <c r="W125" s="302"/>
    </row>
    <row r="126" spans="2:23">
      <c r="B126" s="302"/>
      <c r="C126" s="302"/>
      <c r="D126" s="302"/>
      <c r="E126" s="302"/>
      <c r="F126" s="302"/>
      <c r="G126" s="302"/>
      <c r="H126" s="302"/>
      <c r="I126" s="302"/>
      <c r="J126" s="302"/>
      <c r="K126" s="302"/>
      <c r="L126" s="30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  <c r="W126" s="302"/>
    </row>
    <row r="127" spans="2:23">
      <c r="B127" s="302"/>
      <c r="C127" s="302"/>
      <c r="D127" s="302"/>
      <c r="E127" s="302"/>
      <c r="F127" s="302"/>
      <c r="G127" s="302"/>
      <c r="H127" s="302"/>
      <c r="I127" s="302"/>
      <c r="J127" s="302"/>
      <c r="K127" s="302"/>
      <c r="L127" s="302"/>
      <c r="M127" s="302"/>
      <c r="N127" s="302"/>
      <c r="O127" s="302"/>
      <c r="P127" s="302"/>
      <c r="Q127" s="302"/>
      <c r="R127" s="302"/>
      <c r="S127" s="302"/>
      <c r="T127" s="302"/>
      <c r="U127" s="302"/>
      <c r="V127" s="302"/>
      <c r="W127" s="302"/>
    </row>
    <row r="128" spans="2:23">
      <c r="B128" s="302"/>
      <c r="C128" s="302"/>
      <c r="D128" s="302"/>
      <c r="E128" s="302"/>
      <c r="F128" s="302"/>
      <c r="G128" s="302"/>
      <c r="H128" s="302"/>
      <c r="I128" s="302"/>
      <c r="J128" s="302"/>
      <c r="K128" s="302"/>
      <c r="L128" s="30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  <c r="W128" s="302"/>
    </row>
    <row r="129" spans="2:23">
      <c r="B129" s="302"/>
      <c r="C129" s="302"/>
      <c r="D129" s="302"/>
      <c r="E129" s="302"/>
      <c r="F129" s="302"/>
      <c r="G129" s="302"/>
      <c r="H129" s="302"/>
      <c r="I129" s="302"/>
      <c r="J129" s="302"/>
      <c r="K129" s="302"/>
      <c r="L129" s="302"/>
      <c r="M129" s="302"/>
      <c r="N129" s="302"/>
      <c r="O129" s="302"/>
      <c r="P129" s="302"/>
      <c r="Q129" s="302"/>
      <c r="R129" s="302"/>
      <c r="S129" s="302"/>
      <c r="T129" s="302"/>
      <c r="U129" s="302"/>
      <c r="V129" s="302"/>
      <c r="W129" s="302"/>
    </row>
    <row r="130" spans="2:23">
      <c r="B130" s="302"/>
      <c r="C130" s="302"/>
      <c r="D130" s="302"/>
      <c r="E130" s="302"/>
      <c r="F130" s="302"/>
      <c r="G130" s="302"/>
      <c r="H130" s="302"/>
      <c r="I130" s="302"/>
      <c r="J130" s="302"/>
      <c r="K130" s="302"/>
      <c r="L130" s="302"/>
      <c r="M130" s="302"/>
      <c r="N130" s="302"/>
      <c r="O130" s="302"/>
      <c r="P130" s="302"/>
      <c r="Q130" s="302"/>
      <c r="R130" s="302"/>
      <c r="S130" s="302"/>
      <c r="T130" s="302"/>
      <c r="U130" s="302"/>
      <c r="V130" s="302"/>
      <c r="W130" s="302"/>
    </row>
    <row r="131" spans="2:23">
      <c r="B131" s="302"/>
      <c r="C131" s="302"/>
      <c r="D131" s="302"/>
      <c r="E131" s="302"/>
      <c r="F131" s="302"/>
      <c r="G131" s="302"/>
      <c r="H131" s="302"/>
      <c r="I131" s="302"/>
      <c r="J131" s="302"/>
      <c r="K131" s="302"/>
      <c r="L131" s="302"/>
      <c r="M131" s="302"/>
      <c r="N131" s="302"/>
      <c r="O131" s="302"/>
      <c r="P131" s="302"/>
      <c r="Q131" s="302"/>
      <c r="R131" s="302"/>
      <c r="S131" s="302"/>
      <c r="T131" s="302"/>
      <c r="U131" s="302"/>
      <c r="V131" s="302"/>
      <c r="W131" s="302"/>
    </row>
    <row r="132" spans="2:23">
      <c r="B132" s="302"/>
      <c r="C132" s="302"/>
      <c r="D132" s="302"/>
      <c r="E132" s="302"/>
      <c r="F132" s="302"/>
      <c r="G132" s="302"/>
      <c r="H132" s="302"/>
      <c r="I132" s="302"/>
      <c r="J132" s="302"/>
      <c r="K132" s="302"/>
      <c r="L132" s="302"/>
      <c r="M132" s="302"/>
      <c r="N132" s="302"/>
      <c r="O132" s="302"/>
      <c r="P132" s="302"/>
      <c r="Q132" s="302"/>
      <c r="R132" s="302"/>
      <c r="S132" s="302"/>
      <c r="T132" s="302"/>
      <c r="U132" s="302"/>
      <c r="V132" s="302"/>
      <c r="W132" s="302"/>
    </row>
    <row r="133" spans="2:23">
      <c r="B133" s="302"/>
      <c r="C133" s="302"/>
      <c r="D133" s="302"/>
      <c r="E133" s="302"/>
      <c r="F133" s="302"/>
      <c r="G133" s="302"/>
      <c r="H133" s="302"/>
      <c r="I133" s="302"/>
      <c r="J133" s="302"/>
      <c r="K133" s="302"/>
      <c r="L133" s="30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  <c r="W133" s="302"/>
    </row>
    <row r="134" spans="2:23">
      <c r="B134" s="302"/>
      <c r="C134" s="302"/>
      <c r="D134" s="302"/>
      <c r="E134" s="302"/>
      <c r="F134" s="302"/>
      <c r="G134" s="302"/>
      <c r="H134" s="302"/>
      <c r="I134" s="302"/>
      <c r="J134" s="302"/>
      <c r="K134" s="302"/>
      <c r="L134" s="302"/>
      <c r="M134" s="302"/>
      <c r="N134" s="302"/>
      <c r="O134" s="302"/>
      <c r="P134" s="302"/>
      <c r="Q134" s="302"/>
      <c r="R134" s="302"/>
      <c r="S134" s="302"/>
      <c r="T134" s="302"/>
      <c r="U134" s="302"/>
      <c r="V134" s="302"/>
      <c r="W134" s="302"/>
    </row>
    <row r="135" spans="2:23">
      <c r="B135" s="302"/>
      <c r="C135" s="302"/>
      <c r="D135" s="302"/>
      <c r="E135" s="302"/>
      <c r="F135" s="302"/>
      <c r="G135" s="302"/>
      <c r="H135" s="302"/>
      <c r="I135" s="302"/>
      <c r="J135" s="302"/>
      <c r="K135" s="302"/>
      <c r="L135" s="302"/>
      <c r="M135" s="302"/>
      <c r="N135" s="302"/>
      <c r="O135" s="302"/>
      <c r="P135" s="302"/>
      <c r="Q135" s="302"/>
      <c r="R135" s="302"/>
      <c r="S135" s="302"/>
      <c r="T135" s="302"/>
      <c r="U135" s="302"/>
      <c r="V135" s="302"/>
      <c r="W135" s="302"/>
    </row>
    <row r="136" spans="2:23">
      <c r="B136" s="302"/>
      <c r="C136" s="302"/>
      <c r="D136" s="302"/>
      <c r="E136" s="302"/>
      <c r="F136" s="302"/>
      <c r="G136" s="302"/>
      <c r="H136" s="302"/>
      <c r="I136" s="302"/>
      <c r="J136" s="302"/>
      <c r="K136" s="302"/>
      <c r="L136" s="302"/>
      <c r="M136" s="302"/>
      <c r="N136" s="302"/>
      <c r="O136" s="302"/>
      <c r="P136" s="302"/>
      <c r="Q136" s="302"/>
      <c r="R136" s="302"/>
      <c r="S136" s="302"/>
      <c r="T136" s="302"/>
      <c r="U136" s="302"/>
      <c r="V136" s="302"/>
      <c r="W136" s="302"/>
    </row>
    <row r="137" spans="2:23">
      <c r="B137" s="302"/>
      <c r="C137" s="302"/>
      <c r="D137" s="302"/>
      <c r="E137" s="302"/>
      <c r="F137" s="302"/>
      <c r="G137" s="302"/>
      <c r="H137" s="302"/>
      <c r="I137" s="302"/>
      <c r="J137" s="302"/>
      <c r="K137" s="302"/>
      <c r="L137" s="30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  <c r="W137" s="302"/>
    </row>
    <row r="138" spans="2:23">
      <c r="B138" s="302"/>
      <c r="C138" s="302"/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  <c r="O138" s="302"/>
      <c r="P138" s="302"/>
      <c r="Q138" s="302"/>
      <c r="R138" s="302"/>
      <c r="S138" s="302"/>
      <c r="T138" s="302"/>
      <c r="U138" s="302"/>
      <c r="V138" s="302"/>
      <c r="W138" s="302"/>
    </row>
    <row r="139" spans="2:23">
      <c r="B139" s="302"/>
      <c r="C139" s="302"/>
      <c r="D139" s="302"/>
      <c r="E139" s="302"/>
      <c r="F139" s="302"/>
      <c r="G139" s="302"/>
      <c r="H139" s="302"/>
      <c r="I139" s="302"/>
      <c r="J139" s="302"/>
      <c r="K139" s="302"/>
      <c r="L139" s="30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</row>
    <row r="140" spans="2:23">
      <c r="B140" s="302"/>
      <c r="C140" s="302"/>
      <c r="D140" s="302"/>
      <c r="E140" s="302"/>
      <c r="F140" s="302"/>
      <c r="G140" s="302"/>
      <c r="H140" s="302"/>
      <c r="I140" s="302"/>
      <c r="J140" s="302"/>
      <c r="K140" s="302"/>
      <c r="L140" s="30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  <c r="W140" s="302"/>
    </row>
    <row r="141" spans="2:23">
      <c r="B141" s="302"/>
      <c r="C141" s="302"/>
      <c r="D141" s="302"/>
      <c r="E141" s="302"/>
      <c r="F141" s="302"/>
      <c r="G141" s="302"/>
      <c r="H141" s="302"/>
      <c r="I141" s="302"/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</row>
    <row r="142" spans="2:23">
      <c r="B142" s="302"/>
      <c r="C142" s="302"/>
      <c r="D142" s="302"/>
      <c r="E142" s="302"/>
      <c r="F142" s="302"/>
      <c r="G142" s="302"/>
      <c r="H142" s="302"/>
      <c r="I142" s="302"/>
      <c r="J142" s="302"/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  <c r="W142" s="302"/>
    </row>
    <row r="143" spans="2:23">
      <c r="B143" s="302"/>
      <c r="C143" s="302"/>
      <c r="D143" s="302"/>
      <c r="E143" s="302"/>
      <c r="F143" s="302"/>
      <c r="G143" s="302"/>
      <c r="H143" s="302"/>
      <c r="I143" s="302"/>
      <c r="J143" s="302"/>
      <c r="K143" s="302"/>
      <c r="L143" s="30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  <c r="W143" s="302"/>
    </row>
    <row r="144" spans="2:23">
      <c r="B144" s="302"/>
      <c r="C144" s="302"/>
      <c r="D144" s="302"/>
      <c r="E144" s="302"/>
      <c r="F144" s="302"/>
      <c r="G144" s="302"/>
      <c r="H144" s="302"/>
      <c r="I144" s="302"/>
      <c r="J144" s="302"/>
      <c r="K144" s="302"/>
      <c r="L144" s="30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  <c r="W144" s="302"/>
    </row>
    <row r="145" spans="2:23">
      <c r="B145" s="302"/>
      <c r="C145" s="302"/>
      <c r="D145" s="302"/>
      <c r="E145" s="302"/>
      <c r="F145" s="302"/>
      <c r="G145" s="302"/>
      <c r="H145" s="302"/>
      <c r="I145" s="302"/>
      <c r="J145" s="302"/>
      <c r="K145" s="302"/>
      <c r="L145" s="30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  <c r="W145" s="302"/>
    </row>
    <row r="146" spans="2:23">
      <c r="B146" s="302"/>
      <c r="C146" s="302"/>
      <c r="D146" s="302"/>
      <c r="E146" s="302"/>
      <c r="F146" s="302"/>
      <c r="G146" s="302"/>
      <c r="H146" s="302"/>
      <c r="I146" s="302"/>
      <c r="J146" s="302"/>
      <c r="K146" s="302"/>
      <c r="L146" s="30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  <c r="W146" s="302"/>
    </row>
    <row r="147" spans="2:23">
      <c r="B147" s="302"/>
      <c r="C147" s="302"/>
      <c r="D147" s="302"/>
      <c r="E147" s="302"/>
      <c r="F147" s="302"/>
      <c r="G147" s="302"/>
      <c r="H147" s="302"/>
      <c r="I147" s="302"/>
      <c r="J147" s="302"/>
      <c r="K147" s="302"/>
      <c r="L147" s="302"/>
      <c r="M147" s="302"/>
      <c r="N147" s="302"/>
      <c r="O147" s="302"/>
      <c r="P147" s="302"/>
      <c r="Q147" s="302"/>
      <c r="R147" s="302"/>
      <c r="S147" s="302"/>
      <c r="T147" s="302"/>
      <c r="U147" s="302"/>
      <c r="V147" s="302"/>
      <c r="W147" s="302"/>
    </row>
    <row r="148" spans="2:23">
      <c r="B148" s="302"/>
      <c r="C148" s="302"/>
      <c r="D148" s="302"/>
      <c r="E148" s="302"/>
      <c r="F148" s="302"/>
      <c r="G148" s="302"/>
      <c r="H148" s="302"/>
      <c r="I148" s="302"/>
      <c r="J148" s="302"/>
      <c r="K148" s="302"/>
      <c r="L148" s="302"/>
      <c r="M148" s="302"/>
      <c r="N148" s="302"/>
      <c r="O148" s="302"/>
      <c r="P148" s="302"/>
      <c r="Q148" s="302"/>
      <c r="R148" s="302"/>
      <c r="S148" s="302"/>
      <c r="T148" s="302"/>
      <c r="U148" s="302"/>
      <c r="V148" s="302"/>
      <c r="W148" s="302"/>
    </row>
    <row r="149" spans="2:23">
      <c r="B149" s="302"/>
      <c r="C149" s="302"/>
      <c r="D149" s="302"/>
      <c r="E149" s="302"/>
      <c r="F149" s="302"/>
      <c r="G149" s="302"/>
      <c r="H149" s="302"/>
      <c r="I149" s="302"/>
      <c r="J149" s="302"/>
      <c r="K149" s="302"/>
      <c r="L149" s="302"/>
      <c r="M149" s="302"/>
      <c r="N149" s="302"/>
      <c r="O149" s="302"/>
      <c r="P149" s="302"/>
      <c r="Q149" s="302"/>
      <c r="R149" s="302"/>
      <c r="S149" s="302"/>
      <c r="T149" s="302"/>
      <c r="U149" s="302"/>
      <c r="V149" s="302"/>
      <c r="W149" s="302"/>
    </row>
    <row r="150" spans="2:23">
      <c r="B150" s="302"/>
      <c r="C150" s="302"/>
      <c r="D150" s="302"/>
      <c r="E150" s="302"/>
      <c r="F150" s="302"/>
      <c r="G150" s="302"/>
      <c r="H150" s="302"/>
      <c r="I150" s="302"/>
      <c r="J150" s="302"/>
      <c r="K150" s="302"/>
      <c r="L150" s="302"/>
      <c r="M150" s="302"/>
      <c r="N150" s="302"/>
      <c r="O150" s="302"/>
      <c r="P150" s="302"/>
      <c r="Q150" s="302"/>
      <c r="R150" s="302"/>
      <c r="S150" s="302"/>
      <c r="T150" s="302"/>
      <c r="U150" s="302"/>
      <c r="V150" s="302"/>
      <c r="W150" s="302"/>
    </row>
  </sheetData>
  <mergeCells count="79">
    <mergeCell ref="C24:G24"/>
    <mergeCell ref="H24:I24"/>
    <mergeCell ref="N24:O24"/>
    <mergeCell ref="P24:R24"/>
    <mergeCell ref="K24:M24"/>
    <mergeCell ref="C23:G23"/>
    <mergeCell ref="H23:I23"/>
    <mergeCell ref="N23:O23"/>
    <mergeCell ref="P23:R23"/>
    <mergeCell ref="C22:G22"/>
    <mergeCell ref="H22:I22"/>
    <mergeCell ref="K23:M23"/>
    <mergeCell ref="N22:O22"/>
    <mergeCell ref="K22:M22"/>
    <mergeCell ref="P18:R19"/>
    <mergeCell ref="H19:I19"/>
    <mergeCell ref="N19:O19"/>
    <mergeCell ref="K19:M19"/>
    <mergeCell ref="P22:R22"/>
    <mergeCell ref="K20:M20"/>
    <mergeCell ref="K21:M21"/>
    <mergeCell ref="N21:O21"/>
    <mergeCell ref="C9:D10"/>
    <mergeCell ref="Q9:R10"/>
    <mergeCell ref="C15:D16"/>
    <mergeCell ref="E15:F15"/>
    <mergeCell ref="G15:H15"/>
    <mergeCell ref="I15:J16"/>
    <mergeCell ref="E16:F16"/>
    <mergeCell ref="G16:H16"/>
    <mergeCell ref="K9:M9"/>
    <mergeCell ref="N9:P9"/>
    <mergeCell ref="P21:R21"/>
    <mergeCell ref="P20:R20"/>
    <mergeCell ref="N20:O20"/>
    <mergeCell ref="C6:D7"/>
    <mergeCell ref="G6:H6"/>
    <mergeCell ref="I6:J7"/>
    <mergeCell ref="C21:G21"/>
    <mergeCell ref="H21:I21"/>
    <mergeCell ref="C20:G20"/>
    <mergeCell ref="H20:I20"/>
    <mergeCell ref="C12:D13"/>
    <mergeCell ref="G12:H12"/>
    <mergeCell ref="I12:J13"/>
    <mergeCell ref="G13:H13"/>
    <mergeCell ref="C18:G19"/>
    <mergeCell ref="H18:O18"/>
    <mergeCell ref="Q6:R7"/>
    <mergeCell ref="G7:H7"/>
    <mergeCell ref="G10:H10"/>
    <mergeCell ref="G9:H9"/>
    <mergeCell ref="I9:J10"/>
    <mergeCell ref="Q15:R16"/>
    <mergeCell ref="K6:M6"/>
    <mergeCell ref="N6:P6"/>
    <mergeCell ref="K7:M7"/>
    <mergeCell ref="N7:P7"/>
    <mergeCell ref="K10:M10"/>
    <mergeCell ref="N10:P10"/>
    <mergeCell ref="K16:M16"/>
    <mergeCell ref="N16:P16"/>
    <mergeCell ref="K15:M15"/>
    <mergeCell ref="N15:P15"/>
    <mergeCell ref="K12:M12"/>
    <mergeCell ref="N12:P12"/>
    <mergeCell ref="Q12:R13"/>
    <mergeCell ref="K13:M13"/>
    <mergeCell ref="N13:P13"/>
    <mergeCell ref="A1:R1"/>
    <mergeCell ref="I3:J4"/>
    <mergeCell ref="G4:H4"/>
    <mergeCell ref="C3:D4"/>
    <mergeCell ref="G3:H3"/>
    <mergeCell ref="Q3:R4"/>
    <mergeCell ref="K3:M3"/>
    <mergeCell ref="N3:P3"/>
    <mergeCell ref="K4:M4"/>
    <mergeCell ref="N4:P4"/>
  </mergeCells>
  <phoneticPr fontId="4" type="noConversion"/>
  <printOptions horizontalCentered="1" verticalCentered="1"/>
  <pageMargins left="0.51181102362204722" right="0.74803149606299213" top="0.55118110236220474" bottom="0.51181102362204722" header="0.51181102362204722" footer="0.39370078740157483"/>
  <pageSetup paperSize="9" scale="9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25</vt:i4>
      </vt:variant>
      <vt:variant>
        <vt:lpstr>이름이 지정된 범위</vt:lpstr>
      </vt:variant>
      <vt:variant>
        <vt:i4>23</vt:i4>
      </vt:variant>
    </vt:vector>
  </HeadingPairs>
  <TitlesOfParts>
    <vt:vector size="48" baseType="lpstr">
      <vt:lpstr>표지</vt:lpstr>
      <vt:lpstr>구조물위치</vt:lpstr>
      <vt:lpstr>총괄집계</vt:lpstr>
      <vt:lpstr>콘크리트자재</vt:lpstr>
      <vt:lpstr>수량집계표</vt:lpstr>
      <vt:lpstr>표지(토공)</vt:lpstr>
      <vt:lpstr>토적집계</vt:lpstr>
      <vt:lpstr>토적표</vt:lpstr>
      <vt:lpstr>거리이정표</vt:lpstr>
      <vt:lpstr>파쇄암운반거리 및 단가 비교표</vt:lpstr>
      <vt:lpstr>수리집수면적유역도</vt:lpstr>
      <vt:lpstr>최소관800</vt:lpstr>
      <vt:lpstr>135+14</vt:lpstr>
      <vt:lpstr>138+17물넘이</vt:lpstr>
      <vt:lpstr>170+12</vt:lpstr>
      <vt:lpstr>수리계산서(최소관적용Φ1000)</vt:lpstr>
      <vt:lpstr>수리계산서(물넘이포장)</vt:lpstr>
      <vt:lpstr>######</vt:lpstr>
      <vt:lpstr>사방공</vt:lpstr>
      <vt:lpstr>준비공</vt:lpstr>
      <vt:lpstr>자갈운반거리 및 단가 비교표</vt:lpstr>
      <vt:lpstr>수리계산서(Φ1500)</vt:lpstr>
      <vt:lpstr>NO.8+7(BOX)</vt:lpstr>
      <vt:lpstr>혼합석</vt:lpstr>
      <vt:lpstr>Sheet1</vt:lpstr>
      <vt:lpstr>'135+14'!Print_Area</vt:lpstr>
      <vt:lpstr>'138+17물넘이'!Print_Area</vt:lpstr>
      <vt:lpstr>'170+12'!Print_Area</vt:lpstr>
      <vt:lpstr>'NO.8+7(BOX)'!Print_Area</vt:lpstr>
      <vt:lpstr>거리이정표!Print_Area</vt:lpstr>
      <vt:lpstr>사방공!Print_Area</vt:lpstr>
      <vt:lpstr>수량집계표!Print_Area</vt:lpstr>
      <vt:lpstr>'수리계산서(Φ1500)'!Print_Area</vt:lpstr>
      <vt:lpstr>'수리계산서(물넘이포장)'!Print_Area</vt:lpstr>
      <vt:lpstr>'수리계산서(최소관적용Φ1000)'!Print_Area</vt:lpstr>
      <vt:lpstr>수리집수면적유역도!Print_Area</vt:lpstr>
      <vt:lpstr>'자갈운반거리 및 단가 비교표'!Print_Area</vt:lpstr>
      <vt:lpstr>총괄집계!Print_Area</vt:lpstr>
      <vt:lpstr>최소관800!Print_Area</vt:lpstr>
      <vt:lpstr>토적집계!Print_Area</vt:lpstr>
      <vt:lpstr>토적표!Print_Area</vt:lpstr>
      <vt:lpstr>'파쇄암운반거리 및 단가 비교표'!Print_Area</vt:lpstr>
      <vt:lpstr>표지!Print_Area</vt:lpstr>
      <vt:lpstr>'표지(토공)'!Print_Area</vt:lpstr>
      <vt:lpstr>혼합석!Print_Area</vt:lpstr>
      <vt:lpstr>구조물위치!Print_Titles</vt:lpstr>
      <vt:lpstr>수량집계표!Print_Titles</vt:lpstr>
      <vt:lpstr>토적표!Print_Titles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이상민</dc:creator>
  <cp:lastModifiedBy>user</cp:lastModifiedBy>
  <cp:lastPrinted>2024-04-15T02:22:45Z</cp:lastPrinted>
  <dcterms:created xsi:type="dcterms:W3CDTF">2017-11-22T06:39:00Z</dcterms:created>
  <dcterms:modified xsi:type="dcterms:W3CDTF">2024-04-15T02:22:52Z</dcterms:modified>
</cp:coreProperties>
</file>